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Wang\Documents\HARRIS\Spring 2017\Machine Learning\Project\NCES\"/>
    </mc:Choice>
  </mc:AlternateContent>
  <bookViews>
    <workbookView xWindow="0" yWindow="0" windowWidth="28800" windowHeight="11910"/>
  </bookViews>
  <sheets>
    <sheet name="ELSI_csv_export_636291746868638" sheetId="1" r:id="rId1"/>
  </sheets>
  <calcPr calcId="0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C43" i="1"/>
  <c r="I43" i="1"/>
  <c r="I44" i="1"/>
  <c r="I45" i="1"/>
  <c r="I46" i="1"/>
  <c r="I47" i="1"/>
  <c r="I48" i="1"/>
  <c r="I49" i="1"/>
  <c r="I50" i="1"/>
  <c r="I51" i="1"/>
  <c r="I52" i="1"/>
  <c r="I53" i="1"/>
  <c r="I54" i="1"/>
  <c r="C55" i="1"/>
  <c r="I55" i="1"/>
  <c r="C56" i="1"/>
  <c r="I56" i="1"/>
  <c r="I57" i="1"/>
  <c r="C58" i="1"/>
  <c r="I58" i="1"/>
  <c r="C59" i="1"/>
  <c r="I59" i="1"/>
  <c r="C60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D105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C275" i="1"/>
  <c r="D275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D291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C479" i="1"/>
  <c r="D479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D664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C688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C795" i="1"/>
  <c r="D795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C850" i="1"/>
  <c r="D850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C870" i="1"/>
  <c r="D870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C908" i="1"/>
  <c r="I908" i="1"/>
  <c r="F909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D927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C975" i="1"/>
  <c r="D975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D1058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C1128" i="1"/>
  <c r="D1128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C1157" i="1"/>
  <c r="D1157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C1182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D1247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G1504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C1541" i="1"/>
  <c r="D1541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D1729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C1853" i="1"/>
  <c r="D1853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F1891" i="1"/>
  <c r="G1891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C1929" i="1"/>
  <c r="D1929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C1952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D2028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C2382" i="1"/>
  <c r="D2382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C2615" i="1"/>
  <c r="D2615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D2665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C2679" i="1"/>
  <c r="D2679" i="1"/>
  <c r="I2679" i="1"/>
  <c r="I2680" i="1"/>
  <c r="I2681" i="1"/>
  <c r="I2682" i="1"/>
  <c r="I2683" i="1"/>
  <c r="I2684" i="1"/>
  <c r="C2685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C2716" i="1"/>
  <c r="D2716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C2954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C2971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D3004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C3016" i="1"/>
  <c r="D3016" i="1"/>
  <c r="I3016" i="1"/>
  <c r="C3017" i="1"/>
  <c r="D3017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D3034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C3159" i="1"/>
  <c r="D3159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C3202" i="1"/>
  <c r="D3202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D3274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D3346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C3414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C3488" i="1"/>
  <c r="D3488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D3553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C3603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C3852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C3895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C4092" i="1"/>
  <c r="D4092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C4209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C4258" i="1"/>
  <c r="D4258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C4343" i="1"/>
  <c r="D4343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C4364" i="1"/>
  <c r="D4364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C4726" i="1"/>
  <c r="D4726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D4862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C5256" i="1"/>
  <c r="D5256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D5417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C5506" i="1"/>
  <c r="D5506" i="1"/>
  <c r="I5506" i="1"/>
  <c r="I5507" i="1"/>
  <c r="C5508" i="1"/>
  <c r="D5508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D5523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C5871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C6077" i="1"/>
  <c r="D6077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C6154" i="1"/>
  <c r="I6154" i="1"/>
  <c r="I6155" i="1"/>
  <c r="I6156" i="1"/>
  <c r="I6157" i="1"/>
  <c r="I6158" i="1"/>
  <c r="C6159" i="1"/>
  <c r="D6159" i="1"/>
  <c r="I6159" i="1"/>
  <c r="C6160" i="1"/>
  <c r="D6160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C6232" i="1"/>
  <c r="D6232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D6291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C6346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C6358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D6508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C6539" i="1"/>
  <c r="D6539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C6625" i="1"/>
  <c r="D6625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C6638" i="1"/>
  <c r="D6638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C6727" i="1"/>
  <c r="D6727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C6793" i="1"/>
  <c r="D6793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C6942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C6983" i="1"/>
  <c r="D6983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I7044" i="1"/>
  <c r="I7045" i="1"/>
  <c r="I7046" i="1"/>
  <c r="I7047" i="1"/>
  <c r="I7048" i="1"/>
  <c r="I7049" i="1"/>
  <c r="I7050" i="1"/>
  <c r="I7051" i="1"/>
  <c r="I7052" i="1"/>
  <c r="I7053" i="1"/>
  <c r="I7054" i="1"/>
  <c r="I7055" i="1"/>
  <c r="I7056" i="1"/>
  <c r="I7057" i="1"/>
  <c r="I7058" i="1"/>
  <c r="I7059" i="1"/>
  <c r="I7060" i="1"/>
  <c r="I7061" i="1"/>
  <c r="I7062" i="1"/>
  <c r="I7063" i="1"/>
  <c r="I7064" i="1"/>
  <c r="I7065" i="1"/>
  <c r="I7066" i="1"/>
  <c r="I7067" i="1"/>
  <c r="I7068" i="1"/>
  <c r="I7069" i="1"/>
  <c r="I7070" i="1"/>
  <c r="I7071" i="1"/>
  <c r="I7072" i="1"/>
  <c r="I7073" i="1"/>
  <c r="I7074" i="1"/>
  <c r="I7075" i="1"/>
  <c r="I7076" i="1"/>
  <c r="I7077" i="1"/>
  <c r="I7078" i="1"/>
  <c r="I7079" i="1"/>
  <c r="I7080" i="1"/>
  <c r="I7081" i="1"/>
  <c r="I7082" i="1"/>
  <c r="I7083" i="1"/>
  <c r="I7084" i="1"/>
  <c r="I7085" i="1"/>
  <c r="I7086" i="1"/>
  <c r="I7087" i="1"/>
  <c r="I7088" i="1"/>
  <c r="I7089" i="1"/>
  <c r="I7090" i="1"/>
  <c r="I7091" i="1"/>
  <c r="I7092" i="1"/>
  <c r="I7093" i="1"/>
  <c r="I7094" i="1"/>
  <c r="I7095" i="1"/>
  <c r="I7096" i="1"/>
  <c r="I7097" i="1"/>
  <c r="I7098" i="1"/>
  <c r="I7099" i="1"/>
  <c r="I7100" i="1"/>
  <c r="I7101" i="1"/>
  <c r="I7102" i="1"/>
  <c r="I7103" i="1"/>
  <c r="I7104" i="1"/>
  <c r="I7105" i="1"/>
  <c r="I7106" i="1"/>
  <c r="I7107" i="1"/>
  <c r="I7108" i="1"/>
  <c r="I7109" i="1"/>
  <c r="I7110" i="1"/>
  <c r="I7111" i="1"/>
  <c r="G7112" i="1"/>
  <c r="I7112" i="1"/>
  <c r="I7113" i="1"/>
  <c r="I7114" i="1"/>
  <c r="I7115" i="1"/>
  <c r="I7116" i="1"/>
  <c r="I7117" i="1"/>
  <c r="I7118" i="1"/>
  <c r="I7119" i="1"/>
  <c r="I7120" i="1"/>
  <c r="I7121" i="1"/>
  <c r="I7122" i="1"/>
  <c r="I7123" i="1"/>
  <c r="I7124" i="1"/>
  <c r="I7125" i="1"/>
  <c r="I7126" i="1"/>
  <c r="I7127" i="1"/>
  <c r="I7128" i="1"/>
  <c r="I7129" i="1"/>
  <c r="I7130" i="1"/>
  <c r="I7131" i="1"/>
  <c r="I7132" i="1"/>
  <c r="I7133" i="1"/>
  <c r="I7134" i="1"/>
  <c r="I7135" i="1"/>
  <c r="I7136" i="1"/>
  <c r="I7137" i="1"/>
  <c r="I7138" i="1"/>
  <c r="I7139" i="1"/>
  <c r="I7140" i="1"/>
  <c r="I7141" i="1"/>
  <c r="I7142" i="1"/>
  <c r="I7143" i="1"/>
  <c r="I7144" i="1"/>
  <c r="I7145" i="1"/>
  <c r="I7146" i="1"/>
  <c r="I7147" i="1"/>
  <c r="I7148" i="1"/>
  <c r="I7149" i="1"/>
  <c r="I7150" i="1"/>
  <c r="I7151" i="1"/>
  <c r="I7152" i="1"/>
  <c r="I7153" i="1"/>
  <c r="I7154" i="1"/>
  <c r="I7155" i="1"/>
  <c r="I7156" i="1"/>
  <c r="I7157" i="1"/>
  <c r="C7158" i="1"/>
  <c r="D7158" i="1"/>
  <c r="I7158" i="1"/>
  <c r="C7159" i="1"/>
  <c r="D7159" i="1"/>
  <c r="I7159" i="1"/>
  <c r="I7160" i="1"/>
  <c r="I7161" i="1"/>
  <c r="I7162" i="1"/>
  <c r="I7163" i="1"/>
  <c r="I7164" i="1"/>
  <c r="I7165" i="1"/>
  <c r="I7166" i="1"/>
  <c r="I7167" i="1"/>
  <c r="I7168" i="1"/>
  <c r="I7169" i="1"/>
  <c r="I7170" i="1"/>
  <c r="I7171" i="1"/>
  <c r="I7172" i="1"/>
  <c r="I7173" i="1"/>
  <c r="I7174" i="1"/>
  <c r="I7175" i="1"/>
  <c r="I7176" i="1"/>
  <c r="I7177" i="1"/>
  <c r="I7178" i="1"/>
  <c r="I7179" i="1"/>
  <c r="I7180" i="1"/>
  <c r="I7181" i="1"/>
  <c r="I7182" i="1"/>
  <c r="I7183" i="1"/>
  <c r="I7184" i="1"/>
  <c r="I7185" i="1"/>
  <c r="I7186" i="1"/>
  <c r="I7187" i="1"/>
  <c r="I7188" i="1"/>
  <c r="I7189" i="1"/>
  <c r="I7190" i="1"/>
  <c r="I7191" i="1"/>
  <c r="I7192" i="1"/>
  <c r="I7193" i="1"/>
  <c r="I7194" i="1"/>
  <c r="I7195" i="1"/>
  <c r="I7196" i="1"/>
  <c r="I7197" i="1"/>
  <c r="I7198" i="1"/>
  <c r="I7199" i="1"/>
  <c r="I7200" i="1"/>
  <c r="I7201" i="1"/>
  <c r="I7202" i="1"/>
  <c r="I7203" i="1"/>
  <c r="I7204" i="1"/>
  <c r="I7205" i="1"/>
  <c r="I7206" i="1"/>
  <c r="I7207" i="1"/>
  <c r="I7208" i="1"/>
  <c r="I7209" i="1"/>
  <c r="I7210" i="1"/>
  <c r="I7211" i="1"/>
  <c r="I7212" i="1"/>
  <c r="I7213" i="1"/>
  <c r="I7214" i="1"/>
  <c r="I7215" i="1"/>
  <c r="I7216" i="1"/>
  <c r="I7217" i="1"/>
  <c r="I7218" i="1"/>
  <c r="I7219" i="1"/>
  <c r="I7220" i="1"/>
  <c r="I7221" i="1"/>
  <c r="I7222" i="1"/>
  <c r="I7223" i="1"/>
  <c r="I7224" i="1"/>
  <c r="I7225" i="1"/>
  <c r="I7226" i="1"/>
  <c r="I7227" i="1"/>
  <c r="I7228" i="1"/>
  <c r="I7229" i="1"/>
  <c r="I7230" i="1"/>
  <c r="I7231" i="1"/>
  <c r="I7232" i="1"/>
  <c r="I7233" i="1"/>
  <c r="I7234" i="1"/>
  <c r="I7235" i="1"/>
  <c r="C7236" i="1"/>
  <c r="I7236" i="1"/>
  <c r="I7237" i="1"/>
  <c r="I7238" i="1"/>
  <c r="I7239" i="1"/>
  <c r="I7240" i="1"/>
  <c r="C7241" i="1"/>
  <c r="D7241" i="1"/>
  <c r="I7241" i="1"/>
  <c r="I7242" i="1"/>
  <c r="I7243" i="1"/>
  <c r="I7244" i="1"/>
  <c r="I7245" i="1"/>
  <c r="I7246" i="1"/>
  <c r="I7247" i="1"/>
  <c r="I7248" i="1"/>
  <c r="I7249" i="1"/>
  <c r="I7250" i="1"/>
  <c r="I7251" i="1"/>
  <c r="I7252" i="1"/>
  <c r="I7253" i="1"/>
  <c r="I7254" i="1"/>
  <c r="I7255" i="1"/>
  <c r="I7256" i="1"/>
  <c r="I7257" i="1"/>
  <c r="I7258" i="1"/>
  <c r="I7259" i="1"/>
  <c r="I7260" i="1"/>
  <c r="I7261" i="1"/>
  <c r="I7262" i="1"/>
  <c r="I7263" i="1"/>
  <c r="I7264" i="1"/>
  <c r="I7265" i="1"/>
  <c r="I7266" i="1"/>
  <c r="I7267" i="1"/>
  <c r="I7268" i="1"/>
  <c r="I7269" i="1"/>
  <c r="I7270" i="1"/>
  <c r="I7271" i="1"/>
  <c r="I7272" i="1"/>
  <c r="I7273" i="1"/>
  <c r="I7274" i="1"/>
  <c r="I7275" i="1"/>
  <c r="I7276" i="1"/>
  <c r="I7277" i="1"/>
  <c r="I7278" i="1"/>
  <c r="I7279" i="1"/>
  <c r="I7280" i="1"/>
  <c r="I7281" i="1"/>
  <c r="I7282" i="1"/>
  <c r="I7283" i="1"/>
  <c r="I7284" i="1"/>
  <c r="I7285" i="1"/>
  <c r="C7286" i="1"/>
  <c r="D7286" i="1"/>
  <c r="I7286" i="1"/>
  <c r="I7287" i="1"/>
  <c r="I7288" i="1"/>
  <c r="I7289" i="1"/>
  <c r="I7290" i="1"/>
  <c r="I7291" i="1"/>
  <c r="I7292" i="1"/>
  <c r="I7293" i="1"/>
  <c r="I7294" i="1"/>
  <c r="I7295" i="1"/>
  <c r="I7296" i="1"/>
  <c r="I7297" i="1"/>
  <c r="I7298" i="1"/>
  <c r="C7299" i="1"/>
  <c r="D7299" i="1"/>
  <c r="I7299" i="1"/>
  <c r="I7300" i="1"/>
  <c r="I7301" i="1"/>
  <c r="I7302" i="1"/>
  <c r="I7303" i="1"/>
  <c r="I7304" i="1"/>
  <c r="I7305" i="1"/>
  <c r="I7306" i="1"/>
  <c r="I7307" i="1"/>
  <c r="I7308" i="1"/>
  <c r="I7309" i="1"/>
  <c r="I7310" i="1"/>
  <c r="I7311" i="1"/>
  <c r="I7312" i="1"/>
  <c r="I7313" i="1"/>
  <c r="I7314" i="1"/>
  <c r="I7315" i="1"/>
  <c r="I7316" i="1"/>
  <c r="I7317" i="1"/>
  <c r="I7318" i="1"/>
  <c r="I7319" i="1"/>
  <c r="I7320" i="1"/>
  <c r="I7321" i="1"/>
  <c r="I7322" i="1"/>
  <c r="I7323" i="1"/>
  <c r="I7324" i="1"/>
  <c r="I7325" i="1"/>
  <c r="I7326" i="1"/>
  <c r="I7327" i="1"/>
  <c r="I7328" i="1"/>
  <c r="I7329" i="1"/>
  <c r="I7330" i="1"/>
  <c r="I7331" i="1"/>
  <c r="I7332" i="1"/>
  <c r="I7333" i="1"/>
  <c r="I7334" i="1"/>
  <c r="I7335" i="1"/>
  <c r="I7336" i="1"/>
  <c r="I7337" i="1"/>
  <c r="I7338" i="1"/>
  <c r="I7339" i="1"/>
  <c r="I7340" i="1"/>
  <c r="I7341" i="1"/>
  <c r="I7342" i="1"/>
  <c r="I7343" i="1"/>
  <c r="I7344" i="1"/>
  <c r="I7345" i="1"/>
  <c r="I7346" i="1"/>
  <c r="I7347" i="1"/>
  <c r="I7348" i="1"/>
  <c r="I7349" i="1"/>
  <c r="I7350" i="1"/>
  <c r="I7351" i="1"/>
  <c r="I7352" i="1"/>
  <c r="I7353" i="1"/>
  <c r="I7354" i="1"/>
  <c r="I7355" i="1"/>
  <c r="I7356" i="1"/>
  <c r="I7357" i="1"/>
  <c r="I7358" i="1"/>
  <c r="I7359" i="1"/>
  <c r="I7360" i="1"/>
  <c r="I7361" i="1"/>
  <c r="I7362" i="1"/>
  <c r="I7363" i="1"/>
  <c r="I7364" i="1"/>
  <c r="I7365" i="1"/>
  <c r="I7366" i="1"/>
  <c r="I7367" i="1"/>
  <c r="I7368" i="1"/>
  <c r="I7369" i="1"/>
  <c r="I7370" i="1"/>
  <c r="I7371" i="1"/>
  <c r="I7372" i="1"/>
  <c r="I7373" i="1"/>
  <c r="I7374" i="1"/>
  <c r="I7375" i="1"/>
  <c r="C7376" i="1"/>
  <c r="I7376" i="1"/>
  <c r="I7377" i="1"/>
  <c r="I7378" i="1"/>
  <c r="I7379" i="1"/>
  <c r="I7380" i="1"/>
  <c r="I7381" i="1"/>
  <c r="I7382" i="1"/>
  <c r="I7383" i="1"/>
  <c r="I7384" i="1"/>
  <c r="I7385" i="1"/>
  <c r="I7386" i="1"/>
  <c r="I7387" i="1"/>
  <c r="I7388" i="1"/>
  <c r="I7389" i="1"/>
  <c r="I7390" i="1"/>
  <c r="I7391" i="1"/>
  <c r="I7392" i="1"/>
  <c r="I7393" i="1"/>
  <c r="I7394" i="1"/>
  <c r="I7395" i="1"/>
  <c r="I7396" i="1"/>
  <c r="I7397" i="1"/>
  <c r="I7398" i="1"/>
  <c r="I7399" i="1"/>
  <c r="I7400" i="1"/>
  <c r="I7401" i="1"/>
  <c r="I7402" i="1"/>
  <c r="I7403" i="1"/>
  <c r="I7404" i="1"/>
  <c r="I7405" i="1"/>
  <c r="I7406" i="1"/>
  <c r="D7407" i="1"/>
  <c r="I7407" i="1"/>
  <c r="I7408" i="1"/>
  <c r="I7409" i="1"/>
  <c r="I7410" i="1"/>
  <c r="I7411" i="1"/>
  <c r="I7412" i="1"/>
  <c r="I7413" i="1"/>
  <c r="I7414" i="1"/>
  <c r="I7415" i="1"/>
  <c r="I7416" i="1"/>
  <c r="I7417" i="1"/>
  <c r="I7418" i="1"/>
  <c r="I7419" i="1"/>
  <c r="I7420" i="1"/>
  <c r="I7421" i="1"/>
  <c r="I7422" i="1"/>
  <c r="I7423" i="1"/>
  <c r="I7424" i="1"/>
  <c r="I7425" i="1"/>
  <c r="I7426" i="1"/>
  <c r="I7427" i="1"/>
  <c r="I7428" i="1"/>
  <c r="I7429" i="1"/>
  <c r="I7430" i="1"/>
  <c r="I7431" i="1"/>
  <c r="I7432" i="1"/>
  <c r="I7433" i="1"/>
  <c r="I7434" i="1"/>
  <c r="I7435" i="1"/>
  <c r="I7436" i="1"/>
  <c r="I7437" i="1"/>
  <c r="I7438" i="1"/>
  <c r="I7439" i="1"/>
  <c r="I7440" i="1"/>
  <c r="I7441" i="1"/>
  <c r="I7442" i="1"/>
  <c r="I7443" i="1"/>
  <c r="I7444" i="1"/>
  <c r="I7445" i="1"/>
  <c r="I7446" i="1"/>
  <c r="I7447" i="1"/>
  <c r="I7448" i="1"/>
  <c r="I7449" i="1"/>
  <c r="I7450" i="1"/>
  <c r="I7451" i="1"/>
  <c r="I7452" i="1"/>
  <c r="I7453" i="1"/>
  <c r="I7454" i="1"/>
  <c r="I7455" i="1"/>
  <c r="C7456" i="1"/>
  <c r="I7456" i="1"/>
  <c r="I7457" i="1"/>
  <c r="I7458" i="1"/>
  <c r="I7459" i="1"/>
  <c r="I7460" i="1"/>
  <c r="I7461" i="1"/>
  <c r="I7462" i="1"/>
  <c r="I7463" i="1"/>
  <c r="I7464" i="1"/>
  <c r="I7465" i="1"/>
  <c r="I7466" i="1"/>
  <c r="I7467" i="1"/>
  <c r="I7468" i="1"/>
  <c r="I7469" i="1"/>
  <c r="I7470" i="1"/>
  <c r="I7471" i="1"/>
  <c r="I7472" i="1"/>
  <c r="I7473" i="1"/>
  <c r="I7474" i="1"/>
  <c r="I7475" i="1"/>
  <c r="I7476" i="1"/>
  <c r="I7477" i="1"/>
  <c r="I7478" i="1"/>
  <c r="I7479" i="1"/>
  <c r="I7480" i="1"/>
  <c r="I7481" i="1"/>
  <c r="I7482" i="1"/>
  <c r="I7483" i="1"/>
  <c r="I7484" i="1"/>
  <c r="I7485" i="1"/>
  <c r="I7486" i="1"/>
  <c r="I7487" i="1"/>
  <c r="I7488" i="1"/>
  <c r="I7489" i="1"/>
  <c r="I7490" i="1"/>
  <c r="I7491" i="1"/>
  <c r="I7492" i="1"/>
  <c r="I7493" i="1"/>
  <c r="I7494" i="1"/>
  <c r="I7495" i="1"/>
  <c r="I7496" i="1"/>
  <c r="I7497" i="1"/>
  <c r="I7498" i="1"/>
  <c r="I7499" i="1"/>
  <c r="I7500" i="1"/>
  <c r="I7501" i="1"/>
  <c r="I7502" i="1"/>
  <c r="I7503" i="1"/>
  <c r="I7504" i="1"/>
  <c r="I7505" i="1"/>
  <c r="I7506" i="1"/>
  <c r="I7507" i="1"/>
  <c r="I7508" i="1"/>
  <c r="I7509" i="1"/>
  <c r="I7510" i="1"/>
  <c r="I7511" i="1"/>
  <c r="I7512" i="1"/>
  <c r="I7513" i="1"/>
  <c r="I7514" i="1"/>
  <c r="I7515" i="1"/>
  <c r="I7516" i="1"/>
  <c r="D7517" i="1"/>
  <c r="I7517" i="1"/>
  <c r="I7518" i="1"/>
  <c r="I7519" i="1"/>
  <c r="I7520" i="1"/>
  <c r="I7521" i="1"/>
  <c r="I7522" i="1"/>
  <c r="I7523" i="1"/>
  <c r="I7524" i="1"/>
  <c r="I7525" i="1"/>
  <c r="I7526" i="1"/>
  <c r="I7527" i="1"/>
  <c r="I7528" i="1"/>
  <c r="I7529" i="1"/>
  <c r="I7530" i="1"/>
  <c r="I7531" i="1"/>
  <c r="I7532" i="1"/>
  <c r="C7533" i="1"/>
  <c r="I7533" i="1"/>
  <c r="C7534" i="1"/>
  <c r="I7534" i="1"/>
  <c r="I7535" i="1"/>
  <c r="I7536" i="1"/>
  <c r="I7537" i="1"/>
  <c r="I7538" i="1"/>
  <c r="I7539" i="1"/>
  <c r="I7540" i="1"/>
  <c r="I7541" i="1"/>
  <c r="I7542" i="1"/>
  <c r="I7543" i="1"/>
  <c r="I7544" i="1"/>
  <c r="I7545" i="1"/>
  <c r="I7546" i="1"/>
  <c r="I7547" i="1"/>
  <c r="I7548" i="1"/>
  <c r="I7549" i="1"/>
  <c r="I7550" i="1"/>
  <c r="I7551" i="1"/>
  <c r="I7552" i="1"/>
  <c r="I7553" i="1"/>
  <c r="I7554" i="1"/>
  <c r="I7555" i="1"/>
  <c r="I7556" i="1"/>
  <c r="I7557" i="1"/>
  <c r="I7558" i="1"/>
  <c r="I7559" i="1"/>
  <c r="I7560" i="1"/>
  <c r="I7561" i="1"/>
  <c r="I7562" i="1"/>
  <c r="I7563" i="1"/>
  <c r="I7564" i="1"/>
  <c r="I7565" i="1"/>
  <c r="I7566" i="1"/>
  <c r="I7567" i="1"/>
  <c r="I7568" i="1"/>
  <c r="I7569" i="1"/>
  <c r="I7570" i="1"/>
  <c r="I7571" i="1"/>
  <c r="I7572" i="1"/>
  <c r="I7573" i="1"/>
  <c r="I7574" i="1"/>
  <c r="I7575" i="1"/>
  <c r="I7576" i="1"/>
  <c r="I7577" i="1"/>
  <c r="I7578" i="1"/>
  <c r="I7579" i="1"/>
  <c r="I7580" i="1"/>
  <c r="I7581" i="1"/>
  <c r="I7582" i="1"/>
  <c r="I7583" i="1"/>
  <c r="I7584" i="1"/>
  <c r="I7585" i="1"/>
  <c r="I7586" i="1"/>
  <c r="I7587" i="1"/>
  <c r="I7588" i="1"/>
  <c r="I7589" i="1"/>
  <c r="I7590" i="1"/>
  <c r="I7591" i="1"/>
  <c r="I7592" i="1"/>
  <c r="I7593" i="1"/>
  <c r="I7594" i="1"/>
  <c r="I7595" i="1"/>
  <c r="I7596" i="1"/>
  <c r="I7597" i="1"/>
  <c r="I7598" i="1"/>
  <c r="I7599" i="1"/>
  <c r="I7600" i="1"/>
  <c r="I7601" i="1"/>
  <c r="I7602" i="1"/>
  <c r="I7603" i="1"/>
  <c r="I7604" i="1"/>
  <c r="I7605" i="1"/>
  <c r="I7606" i="1"/>
  <c r="I7607" i="1"/>
  <c r="I7608" i="1"/>
  <c r="I7609" i="1"/>
  <c r="I7610" i="1"/>
  <c r="I7611" i="1"/>
  <c r="I7612" i="1"/>
  <c r="I7613" i="1"/>
  <c r="I7614" i="1"/>
  <c r="I7615" i="1"/>
  <c r="I7616" i="1"/>
  <c r="I7617" i="1"/>
  <c r="I7618" i="1"/>
  <c r="I7619" i="1"/>
  <c r="I7620" i="1"/>
  <c r="I7621" i="1"/>
  <c r="I7622" i="1"/>
  <c r="I7623" i="1"/>
  <c r="I7624" i="1"/>
  <c r="C7625" i="1"/>
  <c r="I7625" i="1"/>
  <c r="I7626" i="1"/>
  <c r="I7627" i="1"/>
  <c r="I7628" i="1"/>
  <c r="I7629" i="1"/>
  <c r="I7630" i="1"/>
  <c r="I7631" i="1"/>
  <c r="I7632" i="1"/>
  <c r="I7633" i="1"/>
  <c r="I7634" i="1"/>
  <c r="I7635" i="1"/>
  <c r="I7636" i="1"/>
  <c r="I7637" i="1"/>
  <c r="I7638" i="1"/>
  <c r="I7639" i="1"/>
  <c r="I7640" i="1"/>
  <c r="I7641" i="1"/>
  <c r="I7642" i="1"/>
  <c r="I7643" i="1"/>
  <c r="I7644" i="1"/>
  <c r="I7645" i="1"/>
  <c r="I7646" i="1"/>
  <c r="I7647" i="1"/>
  <c r="I7648" i="1"/>
  <c r="I7649" i="1"/>
  <c r="I7650" i="1"/>
  <c r="I7651" i="1"/>
  <c r="I7652" i="1"/>
  <c r="I7653" i="1"/>
  <c r="I7654" i="1"/>
  <c r="I7655" i="1"/>
  <c r="I7656" i="1"/>
  <c r="I7657" i="1"/>
  <c r="I7658" i="1"/>
  <c r="I7659" i="1"/>
  <c r="I7660" i="1"/>
  <c r="I7661" i="1"/>
  <c r="I7662" i="1"/>
  <c r="I7663" i="1"/>
  <c r="I7664" i="1"/>
  <c r="I7665" i="1"/>
  <c r="I7666" i="1"/>
  <c r="I7667" i="1"/>
  <c r="I7668" i="1"/>
  <c r="I7669" i="1"/>
  <c r="I7670" i="1"/>
  <c r="I7671" i="1"/>
  <c r="I7672" i="1"/>
  <c r="I7673" i="1"/>
  <c r="I7674" i="1"/>
  <c r="I7675" i="1"/>
  <c r="I7676" i="1"/>
  <c r="I7677" i="1"/>
  <c r="I7678" i="1"/>
  <c r="I7679" i="1"/>
  <c r="I7680" i="1"/>
  <c r="I7681" i="1"/>
  <c r="I7682" i="1"/>
  <c r="I7683" i="1"/>
  <c r="I7684" i="1"/>
  <c r="I7685" i="1"/>
  <c r="I7686" i="1"/>
  <c r="I7687" i="1"/>
  <c r="I7688" i="1"/>
  <c r="I7689" i="1"/>
  <c r="I7690" i="1"/>
  <c r="I7691" i="1"/>
  <c r="I7692" i="1"/>
  <c r="I7693" i="1"/>
  <c r="I7694" i="1"/>
  <c r="I7695" i="1"/>
  <c r="I7696" i="1"/>
  <c r="I7697" i="1"/>
  <c r="I7698" i="1"/>
  <c r="I7699" i="1"/>
  <c r="I7700" i="1"/>
  <c r="I7701" i="1"/>
  <c r="I7702" i="1"/>
  <c r="I7703" i="1"/>
  <c r="I7704" i="1"/>
  <c r="I7705" i="1"/>
  <c r="I7706" i="1"/>
  <c r="I7707" i="1"/>
  <c r="I7708" i="1"/>
  <c r="I7709" i="1"/>
  <c r="I7710" i="1"/>
  <c r="I7711" i="1"/>
  <c r="I7712" i="1"/>
  <c r="I7713" i="1"/>
  <c r="I7714" i="1"/>
  <c r="I7715" i="1"/>
  <c r="I7716" i="1"/>
  <c r="I7717" i="1"/>
  <c r="I7718" i="1"/>
  <c r="I7719" i="1"/>
  <c r="I7720" i="1"/>
  <c r="I7721" i="1"/>
  <c r="I7722" i="1"/>
  <c r="I7723" i="1"/>
  <c r="I7724" i="1"/>
  <c r="I7725" i="1"/>
  <c r="I7726" i="1"/>
  <c r="I7727" i="1"/>
  <c r="I7728" i="1"/>
  <c r="I7729" i="1"/>
  <c r="I7730" i="1"/>
  <c r="I7731" i="1"/>
  <c r="I7732" i="1"/>
  <c r="I7733" i="1"/>
  <c r="I7734" i="1"/>
  <c r="I7735" i="1"/>
  <c r="I7736" i="1"/>
  <c r="I7737" i="1"/>
  <c r="I7738" i="1"/>
  <c r="I7739" i="1"/>
  <c r="I7740" i="1"/>
  <c r="I7741" i="1"/>
  <c r="I7742" i="1"/>
  <c r="I7743" i="1"/>
  <c r="I7744" i="1"/>
  <c r="I7745" i="1"/>
  <c r="I7746" i="1"/>
  <c r="I7747" i="1"/>
  <c r="I7748" i="1"/>
  <c r="I7749" i="1"/>
  <c r="I7750" i="1"/>
  <c r="I7751" i="1"/>
  <c r="I7752" i="1"/>
  <c r="I7753" i="1"/>
  <c r="I7754" i="1"/>
  <c r="I7755" i="1"/>
  <c r="I7756" i="1"/>
  <c r="I7757" i="1"/>
  <c r="I7758" i="1"/>
  <c r="I7759" i="1"/>
  <c r="I7760" i="1"/>
  <c r="I7761" i="1"/>
  <c r="I7762" i="1"/>
  <c r="I7763" i="1"/>
  <c r="I7764" i="1"/>
  <c r="I7765" i="1"/>
  <c r="I7766" i="1"/>
  <c r="I7767" i="1"/>
  <c r="I7768" i="1"/>
  <c r="I7769" i="1"/>
  <c r="I7770" i="1"/>
  <c r="I7771" i="1"/>
  <c r="I7772" i="1"/>
  <c r="I7773" i="1"/>
  <c r="D7774" i="1"/>
  <c r="I7774" i="1"/>
  <c r="I7775" i="1"/>
  <c r="I7776" i="1"/>
  <c r="I7777" i="1"/>
  <c r="I7778" i="1"/>
  <c r="I7779" i="1"/>
  <c r="I7780" i="1"/>
  <c r="I7781" i="1"/>
  <c r="I7782" i="1"/>
  <c r="I7783" i="1"/>
  <c r="I7784" i="1"/>
  <c r="I7785" i="1"/>
  <c r="I7786" i="1"/>
  <c r="I7787" i="1"/>
  <c r="I7788" i="1"/>
  <c r="I7789" i="1"/>
  <c r="I7790" i="1"/>
  <c r="I7791" i="1"/>
  <c r="I7792" i="1"/>
  <c r="I7793" i="1"/>
  <c r="I7794" i="1"/>
  <c r="I7795" i="1"/>
  <c r="I7796" i="1"/>
  <c r="I7797" i="1"/>
  <c r="I7798" i="1"/>
  <c r="I7799" i="1"/>
  <c r="I7800" i="1"/>
  <c r="I7801" i="1"/>
  <c r="I7802" i="1"/>
  <c r="I7803" i="1"/>
  <c r="I7804" i="1"/>
  <c r="I7805" i="1"/>
  <c r="I7806" i="1"/>
  <c r="I7807" i="1"/>
  <c r="I7808" i="1"/>
  <c r="I7809" i="1"/>
  <c r="I7810" i="1"/>
  <c r="I7811" i="1"/>
  <c r="I7812" i="1"/>
  <c r="I7813" i="1"/>
  <c r="I7814" i="1"/>
  <c r="I7815" i="1"/>
  <c r="I7816" i="1"/>
  <c r="I7817" i="1"/>
  <c r="I7818" i="1"/>
  <c r="I7819" i="1"/>
  <c r="I7820" i="1"/>
  <c r="I7821" i="1"/>
  <c r="I7822" i="1"/>
  <c r="I7823" i="1"/>
  <c r="I7824" i="1"/>
  <c r="I7825" i="1"/>
  <c r="I7826" i="1"/>
  <c r="I7827" i="1"/>
  <c r="I7828" i="1"/>
  <c r="I7829" i="1"/>
  <c r="I7830" i="1"/>
  <c r="I7831" i="1"/>
  <c r="I7832" i="1"/>
  <c r="I7833" i="1"/>
  <c r="I7834" i="1"/>
  <c r="I7835" i="1"/>
  <c r="I7836" i="1"/>
  <c r="I7837" i="1"/>
  <c r="I7838" i="1"/>
  <c r="I7839" i="1"/>
  <c r="I7840" i="1"/>
  <c r="I7841" i="1"/>
  <c r="I7842" i="1"/>
  <c r="I7843" i="1"/>
  <c r="I7844" i="1"/>
  <c r="I7845" i="1"/>
  <c r="I7846" i="1"/>
  <c r="I7847" i="1"/>
  <c r="I7848" i="1"/>
  <c r="I7849" i="1"/>
  <c r="I7850" i="1"/>
  <c r="I7851" i="1"/>
  <c r="I7852" i="1"/>
  <c r="I7853" i="1"/>
  <c r="I7854" i="1"/>
  <c r="I7855" i="1"/>
  <c r="I7856" i="1"/>
  <c r="I7857" i="1"/>
  <c r="I7858" i="1"/>
  <c r="I7859" i="1"/>
  <c r="I7860" i="1"/>
  <c r="I7861" i="1"/>
  <c r="I7862" i="1"/>
  <c r="I7863" i="1"/>
  <c r="I7864" i="1"/>
  <c r="I7865" i="1"/>
  <c r="I7866" i="1"/>
  <c r="I7867" i="1"/>
  <c r="I7868" i="1"/>
  <c r="I7869" i="1"/>
  <c r="I7870" i="1"/>
  <c r="I7871" i="1"/>
  <c r="I7872" i="1"/>
  <c r="I7873" i="1"/>
  <c r="I7874" i="1"/>
  <c r="I7875" i="1"/>
  <c r="I7876" i="1"/>
  <c r="I7877" i="1"/>
  <c r="I7878" i="1"/>
  <c r="I7879" i="1"/>
  <c r="I7880" i="1"/>
  <c r="I7881" i="1"/>
  <c r="I7882" i="1"/>
  <c r="I7883" i="1"/>
  <c r="I7884" i="1"/>
  <c r="I7885" i="1"/>
  <c r="I7886" i="1"/>
  <c r="C7887" i="1"/>
  <c r="D7887" i="1"/>
  <c r="I7887" i="1"/>
  <c r="I7888" i="1"/>
  <c r="I7889" i="1"/>
  <c r="I7890" i="1"/>
  <c r="I7891" i="1"/>
  <c r="I7892" i="1"/>
  <c r="I7893" i="1"/>
  <c r="I7894" i="1"/>
  <c r="I7895" i="1"/>
  <c r="I7896" i="1"/>
  <c r="I7897" i="1"/>
  <c r="I7898" i="1"/>
  <c r="I7899" i="1"/>
  <c r="I7900" i="1"/>
  <c r="I7901" i="1"/>
  <c r="I7902" i="1"/>
  <c r="I7903" i="1"/>
  <c r="I7904" i="1"/>
  <c r="I7905" i="1"/>
  <c r="I7906" i="1"/>
  <c r="I7907" i="1"/>
  <c r="I7908" i="1"/>
  <c r="I7909" i="1"/>
  <c r="I7910" i="1"/>
  <c r="I7911" i="1"/>
  <c r="I7912" i="1"/>
  <c r="I7913" i="1"/>
  <c r="I7914" i="1"/>
  <c r="I7915" i="1"/>
  <c r="I7916" i="1"/>
  <c r="I7917" i="1"/>
  <c r="I7918" i="1"/>
  <c r="I7919" i="1"/>
  <c r="I7920" i="1"/>
  <c r="I7921" i="1"/>
  <c r="I7922" i="1"/>
  <c r="I7923" i="1"/>
  <c r="I7924" i="1"/>
  <c r="I7925" i="1"/>
  <c r="I7926" i="1"/>
  <c r="I7927" i="1"/>
  <c r="I7928" i="1"/>
  <c r="I7929" i="1"/>
  <c r="I7930" i="1"/>
  <c r="D7931" i="1"/>
  <c r="I7931" i="1"/>
  <c r="I7932" i="1"/>
  <c r="I7933" i="1"/>
  <c r="I7934" i="1"/>
  <c r="I7935" i="1"/>
  <c r="I7936" i="1"/>
  <c r="I7937" i="1"/>
  <c r="I7938" i="1"/>
  <c r="I7939" i="1"/>
  <c r="I7940" i="1"/>
  <c r="I7941" i="1"/>
  <c r="I7942" i="1"/>
  <c r="I7943" i="1"/>
  <c r="I7944" i="1"/>
  <c r="I7945" i="1"/>
  <c r="I7946" i="1"/>
  <c r="I7947" i="1"/>
  <c r="I7948" i="1"/>
  <c r="I7949" i="1"/>
  <c r="I7950" i="1"/>
  <c r="I7951" i="1"/>
  <c r="I7952" i="1"/>
  <c r="I7953" i="1"/>
  <c r="I7954" i="1"/>
  <c r="I7955" i="1"/>
  <c r="I7956" i="1"/>
  <c r="I7957" i="1"/>
  <c r="I7958" i="1"/>
  <c r="I7959" i="1"/>
  <c r="I7960" i="1"/>
  <c r="I7961" i="1"/>
  <c r="I7962" i="1"/>
  <c r="I7963" i="1"/>
  <c r="I7964" i="1"/>
  <c r="I7965" i="1"/>
  <c r="I7966" i="1"/>
  <c r="I7967" i="1"/>
  <c r="I7968" i="1"/>
  <c r="I7969" i="1"/>
  <c r="I7970" i="1"/>
  <c r="I7971" i="1"/>
  <c r="I7972" i="1"/>
  <c r="I7973" i="1"/>
  <c r="I7974" i="1"/>
  <c r="I7975" i="1"/>
  <c r="I7976" i="1"/>
  <c r="I7977" i="1"/>
  <c r="I7978" i="1"/>
  <c r="I7979" i="1"/>
  <c r="I7980" i="1"/>
  <c r="I7981" i="1"/>
  <c r="I7982" i="1"/>
  <c r="I7983" i="1"/>
  <c r="I7984" i="1"/>
  <c r="I7985" i="1"/>
  <c r="I7986" i="1"/>
  <c r="I7987" i="1"/>
  <c r="I7988" i="1"/>
  <c r="I7989" i="1"/>
  <c r="I7990" i="1"/>
  <c r="I7991" i="1"/>
  <c r="I7992" i="1"/>
  <c r="I7993" i="1"/>
  <c r="I7994" i="1"/>
  <c r="I7995" i="1"/>
  <c r="I7996" i="1"/>
  <c r="I7997" i="1"/>
  <c r="I7998" i="1"/>
  <c r="I7999" i="1"/>
  <c r="I8000" i="1"/>
  <c r="I8001" i="1"/>
  <c r="I8002" i="1"/>
  <c r="I8003" i="1"/>
  <c r="I8004" i="1"/>
  <c r="I8005" i="1"/>
  <c r="I8006" i="1"/>
  <c r="I8007" i="1"/>
  <c r="I8008" i="1"/>
  <c r="I8009" i="1"/>
  <c r="I8010" i="1"/>
  <c r="I8011" i="1"/>
  <c r="I8012" i="1"/>
  <c r="I8013" i="1"/>
  <c r="I8014" i="1"/>
  <c r="I8015" i="1"/>
  <c r="I8016" i="1"/>
  <c r="I8017" i="1"/>
  <c r="I8018" i="1"/>
  <c r="I8019" i="1"/>
  <c r="I8020" i="1"/>
  <c r="I8021" i="1"/>
  <c r="I8022" i="1"/>
  <c r="I8023" i="1"/>
  <c r="I8024" i="1"/>
  <c r="I8025" i="1"/>
  <c r="I8026" i="1"/>
  <c r="I8027" i="1"/>
  <c r="I8028" i="1"/>
  <c r="I8029" i="1"/>
  <c r="I8030" i="1"/>
  <c r="I8031" i="1"/>
  <c r="I8032" i="1"/>
  <c r="I8033" i="1"/>
  <c r="I8034" i="1"/>
  <c r="I8035" i="1"/>
  <c r="I8036" i="1"/>
  <c r="I8037" i="1"/>
  <c r="I8038" i="1"/>
  <c r="I8039" i="1"/>
  <c r="I8040" i="1"/>
  <c r="I8041" i="1"/>
  <c r="I8042" i="1"/>
  <c r="I8043" i="1"/>
  <c r="I8044" i="1"/>
  <c r="I8045" i="1"/>
  <c r="I8046" i="1"/>
  <c r="I8047" i="1"/>
  <c r="I8048" i="1"/>
  <c r="I8049" i="1"/>
  <c r="I8050" i="1"/>
  <c r="I8051" i="1"/>
  <c r="I8052" i="1"/>
  <c r="I8053" i="1"/>
  <c r="I8054" i="1"/>
  <c r="I8055" i="1"/>
  <c r="I8056" i="1"/>
  <c r="I8057" i="1"/>
  <c r="I8058" i="1"/>
  <c r="I8059" i="1"/>
  <c r="I8060" i="1"/>
  <c r="I8061" i="1"/>
  <c r="I8062" i="1"/>
  <c r="I8063" i="1"/>
  <c r="I8064" i="1"/>
  <c r="I8065" i="1"/>
  <c r="I8066" i="1"/>
  <c r="I8067" i="1"/>
  <c r="I8068" i="1"/>
  <c r="I8069" i="1"/>
  <c r="I8070" i="1"/>
  <c r="I8071" i="1"/>
  <c r="I8072" i="1"/>
  <c r="C8073" i="1"/>
  <c r="I8073" i="1"/>
  <c r="C8074" i="1"/>
  <c r="I8074" i="1"/>
  <c r="I8075" i="1"/>
  <c r="I8076" i="1"/>
  <c r="I8077" i="1"/>
  <c r="I8078" i="1"/>
  <c r="I8079" i="1"/>
  <c r="I8080" i="1"/>
  <c r="I8081" i="1"/>
  <c r="I8082" i="1"/>
  <c r="I8083" i="1"/>
  <c r="I8084" i="1"/>
  <c r="I8085" i="1"/>
  <c r="I8086" i="1"/>
  <c r="I8087" i="1"/>
  <c r="I8088" i="1"/>
  <c r="I8089" i="1"/>
  <c r="I8090" i="1"/>
  <c r="I8091" i="1"/>
  <c r="I8092" i="1"/>
  <c r="D8093" i="1"/>
  <c r="I8093" i="1"/>
  <c r="I8094" i="1"/>
  <c r="I8095" i="1"/>
  <c r="I8096" i="1"/>
  <c r="I8097" i="1"/>
  <c r="I8098" i="1"/>
  <c r="I8099" i="1"/>
  <c r="I8100" i="1"/>
  <c r="I8101" i="1"/>
  <c r="I8102" i="1"/>
  <c r="I8103" i="1"/>
  <c r="I8104" i="1"/>
  <c r="I8105" i="1"/>
  <c r="I8106" i="1"/>
  <c r="I8107" i="1"/>
  <c r="I8108" i="1"/>
  <c r="I8109" i="1"/>
  <c r="I8110" i="1"/>
  <c r="I8111" i="1"/>
  <c r="I8112" i="1"/>
  <c r="I8113" i="1"/>
  <c r="I8114" i="1"/>
  <c r="I8115" i="1"/>
  <c r="I8116" i="1"/>
  <c r="I8117" i="1"/>
  <c r="I8118" i="1"/>
  <c r="I8119" i="1"/>
  <c r="I8120" i="1"/>
  <c r="I8121" i="1"/>
  <c r="I8122" i="1"/>
  <c r="I8123" i="1"/>
  <c r="I8124" i="1"/>
  <c r="I8125" i="1"/>
  <c r="I8126" i="1"/>
  <c r="I8127" i="1"/>
  <c r="I8128" i="1"/>
  <c r="I8129" i="1"/>
  <c r="I8130" i="1"/>
  <c r="I8131" i="1"/>
  <c r="I8132" i="1"/>
  <c r="I8133" i="1"/>
  <c r="I8134" i="1"/>
  <c r="I8135" i="1"/>
  <c r="I8136" i="1"/>
  <c r="I8137" i="1"/>
  <c r="I8138" i="1"/>
  <c r="I8139" i="1"/>
  <c r="I8140" i="1"/>
  <c r="I8141" i="1"/>
  <c r="I8142" i="1"/>
  <c r="I8143" i="1"/>
  <c r="I8144" i="1"/>
  <c r="I8145" i="1"/>
  <c r="I8146" i="1"/>
  <c r="I8147" i="1"/>
  <c r="I8148" i="1"/>
  <c r="I8149" i="1"/>
  <c r="I8150" i="1"/>
  <c r="I8151" i="1"/>
  <c r="I8152" i="1"/>
  <c r="I8153" i="1"/>
  <c r="I8154" i="1"/>
  <c r="I8155" i="1"/>
  <c r="I8156" i="1"/>
  <c r="I8157" i="1"/>
  <c r="I8158" i="1"/>
  <c r="I8159" i="1"/>
  <c r="I8160" i="1"/>
  <c r="I8161" i="1"/>
  <c r="I8162" i="1"/>
  <c r="I8163" i="1"/>
  <c r="I8164" i="1"/>
  <c r="I8165" i="1"/>
  <c r="I8166" i="1"/>
  <c r="I8167" i="1"/>
  <c r="I8168" i="1"/>
  <c r="I8169" i="1"/>
  <c r="I8170" i="1"/>
  <c r="I8171" i="1"/>
  <c r="I8172" i="1"/>
  <c r="I8173" i="1"/>
  <c r="I8174" i="1"/>
  <c r="I8175" i="1"/>
  <c r="I8176" i="1"/>
  <c r="I8177" i="1"/>
  <c r="I8178" i="1"/>
  <c r="I8179" i="1"/>
  <c r="I8180" i="1"/>
  <c r="I8181" i="1"/>
  <c r="I8182" i="1"/>
  <c r="I8183" i="1"/>
  <c r="I8184" i="1"/>
  <c r="I8185" i="1"/>
  <c r="I8186" i="1"/>
  <c r="I8187" i="1"/>
  <c r="I8188" i="1"/>
  <c r="I8189" i="1"/>
  <c r="I8190" i="1"/>
  <c r="I8191" i="1"/>
  <c r="I8192" i="1"/>
  <c r="I8193" i="1"/>
  <c r="I8194" i="1"/>
  <c r="I8195" i="1"/>
  <c r="I8196" i="1"/>
  <c r="I8197" i="1"/>
  <c r="I8198" i="1"/>
  <c r="I8199" i="1"/>
  <c r="I8200" i="1"/>
  <c r="I8201" i="1"/>
  <c r="I8202" i="1"/>
  <c r="I8203" i="1"/>
  <c r="I8204" i="1"/>
  <c r="I8205" i="1"/>
  <c r="I8206" i="1"/>
  <c r="I8207" i="1"/>
  <c r="I8208" i="1"/>
  <c r="I8209" i="1"/>
  <c r="I8210" i="1"/>
  <c r="I8211" i="1"/>
  <c r="I8212" i="1"/>
  <c r="I8213" i="1"/>
  <c r="I8214" i="1"/>
  <c r="I8215" i="1"/>
  <c r="I8216" i="1"/>
  <c r="I8217" i="1"/>
  <c r="I8218" i="1"/>
  <c r="I8219" i="1"/>
  <c r="I8220" i="1"/>
  <c r="I8221" i="1"/>
  <c r="I8222" i="1"/>
  <c r="I8223" i="1"/>
  <c r="I8224" i="1"/>
  <c r="I8225" i="1"/>
  <c r="I8226" i="1"/>
  <c r="I8227" i="1"/>
  <c r="I8228" i="1"/>
  <c r="I8229" i="1"/>
  <c r="I8230" i="1"/>
  <c r="I8231" i="1"/>
  <c r="I8232" i="1"/>
  <c r="I8233" i="1"/>
  <c r="I8234" i="1"/>
  <c r="I8235" i="1"/>
  <c r="I8236" i="1"/>
  <c r="I8237" i="1"/>
  <c r="I8238" i="1"/>
  <c r="I8239" i="1"/>
  <c r="I8240" i="1"/>
  <c r="I8241" i="1"/>
  <c r="I8242" i="1"/>
  <c r="I8243" i="1"/>
  <c r="I8244" i="1"/>
  <c r="I8245" i="1"/>
  <c r="I8246" i="1"/>
  <c r="I8247" i="1"/>
  <c r="I8248" i="1"/>
  <c r="I8249" i="1"/>
  <c r="I8250" i="1"/>
  <c r="I8251" i="1"/>
  <c r="I8252" i="1"/>
  <c r="I8253" i="1"/>
  <c r="I8254" i="1"/>
  <c r="I8255" i="1"/>
  <c r="I8256" i="1"/>
  <c r="I8257" i="1"/>
  <c r="I8258" i="1"/>
  <c r="I8259" i="1"/>
  <c r="I8260" i="1"/>
  <c r="I8261" i="1"/>
  <c r="I8262" i="1"/>
  <c r="I8263" i="1"/>
  <c r="I8264" i="1"/>
  <c r="I8265" i="1"/>
  <c r="I8266" i="1"/>
  <c r="I8267" i="1"/>
  <c r="I8268" i="1"/>
  <c r="I8269" i="1"/>
  <c r="I8270" i="1"/>
  <c r="I8271" i="1"/>
  <c r="I8272" i="1"/>
  <c r="I8273" i="1"/>
  <c r="I8274" i="1"/>
  <c r="I8275" i="1"/>
  <c r="I8276" i="1"/>
  <c r="I8277" i="1"/>
  <c r="I8278" i="1"/>
  <c r="I8279" i="1"/>
  <c r="I8280" i="1"/>
  <c r="I8281" i="1"/>
  <c r="I8282" i="1"/>
  <c r="I8283" i="1"/>
  <c r="I8284" i="1"/>
  <c r="I8285" i="1"/>
  <c r="I8286" i="1"/>
  <c r="I8287" i="1"/>
  <c r="I8288" i="1"/>
  <c r="I8289" i="1"/>
  <c r="I8290" i="1"/>
  <c r="I8291" i="1"/>
  <c r="I8292" i="1"/>
  <c r="I8293" i="1"/>
  <c r="I8294" i="1"/>
  <c r="I8295" i="1"/>
  <c r="I8296" i="1"/>
  <c r="I8297" i="1"/>
  <c r="I8298" i="1"/>
  <c r="I8299" i="1"/>
  <c r="I8300" i="1"/>
  <c r="I8301" i="1"/>
  <c r="I8302" i="1"/>
  <c r="I8303" i="1"/>
  <c r="I8304" i="1"/>
  <c r="I8305" i="1"/>
  <c r="I8306" i="1"/>
  <c r="I8307" i="1"/>
  <c r="I8308" i="1"/>
  <c r="I8309" i="1"/>
  <c r="I8310" i="1"/>
  <c r="I8311" i="1"/>
  <c r="I8312" i="1"/>
  <c r="I8313" i="1"/>
  <c r="I8314" i="1"/>
  <c r="I8315" i="1"/>
  <c r="I8316" i="1"/>
  <c r="I8317" i="1"/>
  <c r="I8318" i="1"/>
  <c r="I8319" i="1"/>
  <c r="I8320" i="1"/>
  <c r="I8321" i="1"/>
  <c r="I8322" i="1"/>
  <c r="I8323" i="1"/>
  <c r="I8324" i="1"/>
  <c r="I8325" i="1"/>
  <c r="I8326" i="1"/>
  <c r="I8327" i="1"/>
  <c r="I8328" i="1"/>
  <c r="I8329" i="1"/>
  <c r="I8330" i="1"/>
  <c r="I8331" i="1"/>
  <c r="I8332" i="1"/>
  <c r="I8333" i="1"/>
  <c r="I8334" i="1"/>
  <c r="I8335" i="1"/>
  <c r="I8336" i="1"/>
  <c r="I8337" i="1"/>
  <c r="I8338" i="1"/>
  <c r="I8339" i="1"/>
  <c r="I8340" i="1"/>
  <c r="I8341" i="1"/>
  <c r="I8342" i="1"/>
  <c r="I8343" i="1"/>
  <c r="I8344" i="1"/>
  <c r="I8345" i="1"/>
  <c r="I8346" i="1"/>
  <c r="I8347" i="1"/>
  <c r="I8348" i="1"/>
  <c r="I8349" i="1"/>
  <c r="I8350" i="1"/>
  <c r="I8351" i="1"/>
  <c r="I8352" i="1"/>
  <c r="I8353" i="1"/>
  <c r="I8354" i="1"/>
  <c r="I8355" i="1"/>
  <c r="I8356" i="1"/>
  <c r="I8357" i="1"/>
  <c r="I8358" i="1"/>
  <c r="I8359" i="1"/>
  <c r="I8360" i="1"/>
  <c r="I8361" i="1"/>
  <c r="I8362" i="1"/>
  <c r="I8363" i="1"/>
  <c r="I8364" i="1"/>
  <c r="I8365" i="1"/>
  <c r="I8366" i="1"/>
  <c r="I8367" i="1"/>
  <c r="I8368" i="1"/>
  <c r="I8369" i="1"/>
  <c r="I8370" i="1"/>
  <c r="I8371" i="1"/>
  <c r="I8372" i="1"/>
  <c r="I8373" i="1"/>
  <c r="I8374" i="1"/>
  <c r="I8375" i="1"/>
  <c r="I8376" i="1"/>
  <c r="I8377" i="1"/>
  <c r="I8378" i="1"/>
  <c r="I8379" i="1"/>
  <c r="I8380" i="1"/>
  <c r="I8381" i="1"/>
  <c r="I8382" i="1"/>
  <c r="I8383" i="1"/>
  <c r="I8384" i="1"/>
  <c r="I8385" i="1"/>
  <c r="I8386" i="1"/>
  <c r="I8387" i="1"/>
  <c r="I8388" i="1"/>
  <c r="I8389" i="1"/>
  <c r="I8390" i="1"/>
  <c r="I8391" i="1"/>
  <c r="I8392" i="1"/>
  <c r="I8393" i="1"/>
  <c r="I8394" i="1"/>
  <c r="I8395" i="1"/>
  <c r="I8396" i="1"/>
  <c r="I8397" i="1"/>
  <c r="I8398" i="1"/>
  <c r="I8399" i="1"/>
  <c r="I8400" i="1"/>
  <c r="I8401" i="1"/>
  <c r="I8402" i="1"/>
  <c r="I8403" i="1"/>
  <c r="I8404" i="1"/>
  <c r="I8405" i="1"/>
  <c r="I8406" i="1"/>
  <c r="I8407" i="1"/>
  <c r="I8408" i="1"/>
  <c r="I8409" i="1"/>
  <c r="I8410" i="1"/>
  <c r="I8411" i="1"/>
  <c r="I8412" i="1"/>
  <c r="I8413" i="1"/>
  <c r="I8414" i="1"/>
  <c r="I8415" i="1"/>
  <c r="I8416" i="1"/>
  <c r="I8417" i="1"/>
  <c r="I8418" i="1"/>
  <c r="I8419" i="1"/>
  <c r="I8420" i="1"/>
  <c r="I8421" i="1"/>
  <c r="I8422" i="1"/>
  <c r="I8423" i="1"/>
  <c r="I8424" i="1"/>
  <c r="I8425" i="1"/>
  <c r="I8426" i="1"/>
  <c r="I8427" i="1"/>
  <c r="I8428" i="1"/>
  <c r="I8429" i="1"/>
  <c r="I8430" i="1"/>
  <c r="I8431" i="1"/>
  <c r="I8432" i="1"/>
  <c r="I8433" i="1"/>
  <c r="I8434" i="1"/>
  <c r="I8435" i="1"/>
  <c r="I8436" i="1"/>
  <c r="I8437" i="1"/>
  <c r="I8438" i="1"/>
  <c r="I8439" i="1"/>
  <c r="I8440" i="1"/>
  <c r="I8441" i="1"/>
  <c r="I8442" i="1"/>
  <c r="I8443" i="1"/>
  <c r="I8444" i="1"/>
  <c r="I8445" i="1"/>
  <c r="I8446" i="1"/>
  <c r="I8447" i="1"/>
  <c r="I8448" i="1"/>
  <c r="I8449" i="1"/>
  <c r="I8450" i="1"/>
  <c r="I8451" i="1"/>
  <c r="I8452" i="1"/>
  <c r="I8453" i="1"/>
  <c r="I8454" i="1"/>
  <c r="I8455" i="1"/>
  <c r="I8456" i="1"/>
  <c r="I8457" i="1"/>
  <c r="I8458" i="1"/>
  <c r="I8459" i="1"/>
  <c r="I8460" i="1"/>
  <c r="I8461" i="1"/>
  <c r="I8462" i="1"/>
  <c r="I8463" i="1"/>
  <c r="I8464" i="1"/>
  <c r="I8465" i="1"/>
  <c r="I8466" i="1"/>
  <c r="I8467" i="1"/>
  <c r="I8468" i="1"/>
  <c r="I8469" i="1"/>
  <c r="I8470" i="1"/>
  <c r="I8471" i="1"/>
  <c r="I8472" i="1"/>
  <c r="I8473" i="1"/>
  <c r="I8474" i="1"/>
  <c r="I8475" i="1"/>
  <c r="I8476" i="1"/>
  <c r="I8477" i="1"/>
  <c r="I8478" i="1"/>
  <c r="I8479" i="1"/>
  <c r="I8480" i="1"/>
  <c r="I8481" i="1"/>
  <c r="I8482" i="1"/>
  <c r="I8483" i="1"/>
  <c r="I8484" i="1"/>
  <c r="I8485" i="1"/>
  <c r="I8486" i="1"/>
  <c r="I8487" i="1"/>
  <c r="I8488" i="1"/>
  <c r="I8489" i="1"/>
  <c r="I8490" i="1"/>
  <c r="I8491" i="1"/>
  <c r="I8492" i="1"/>
  <c r="I8493" i="1"/>
  <c r="I8494" i="1"/>
  <c r="I8495" i="1"/>
  <c r="I8496" i="1"/>
  <c r="I8497" i="1"/>
  <c r="I8498" i="1"/>
  <c r="I8499" i="1"/>
  <c r="I8500" i="1"/>
  <c r="I8501" i="1"/>
  <c r="I8502" i="1"/>
  <c r="I8503" i="1"/>
  <c r="I8504" i="1"/>
  <c r="I8505" i="1"/>
  <c r="I8506" i="1"/>
  <c r="I8507" i="1"/>
  <c r="I8508" i="1"/>
  <c r="I8509" i="1"/>
  <c r="I8510" i="1"/>
  <c r="I8511" i="1"/>
  <c r="I8512" i="1"/>
  <c r="I8513" i="1"/>
  <c r="I8514" i="1"/>
  <c r="I8515" i="1"/>
  <c r="I8516" i="1"/>
  <c r="I8517" i="1"/>
  <c r="I8518" i="1"/>
  <c r="I8519" i="1"/>
  <c r="I8520" i="1"/>
  <c r="I8521" i="1"/>
  <c r="I8522" i="1"/>
  <c r="I8523" i="1"/>
  <c r="I8524" i="1"/>
  <c r="I8525" i="1"/>
  <c r="I8526" i="1"/>
  <c r="I8527" i="1"/>
  <c r="I8528" i="1"/>
  <c r="I8529" i="1"/>
  <c r="I8530" i="1"/>
  <c r="I8531" i="1"/>
  <c r="I8532" i="1"/>
  <c r="I8533" i="1"/>
  <c r="I8534" i="1"/>
  <c r="I8535" i="1"/>
  <c r="I8536" i="1"/>
  <c r="I8537" i="1"/>
  <c r="I8538" i="1"/>
  <c r="I8539" i="1"/>
  <c r="I8540" i="1"/>
  <c r="I8541" i="1"/>
  <c r="I8542" i="1"/>
  <c r="I8543" i="1"/>
  <c r="I8544" i="1"/>
  <c r="I8545" i="1"/>
  <c r="I8546" i="1"/>
  <c r="I8547" i="1"/>
  <c r="I8548" i="1"/>
  <c r="I8549" i="1"/>
  <c r="I8550" i="1"/>
  <c r="I8551" i="1"/>
  <c r="I8552" i="1"/>
  <c r="I8553" i="1"/>
  <c r="I8554" i="1"/>
  <c r="I8555" i="1"/>
  <c r="I8556" i="1"/>
  <c r="I8557" i="1"/>
  <c r="I8558" i="1"/>
  <c r="I8559" i="1"/>
  <c r="I8560" i="1"/>
  <c r="I8561" i="1"/>
  <c r="I8562" i="1"/>
  <c r="I8563" i="1"/>
  <c r="I8564" i="1"/>
  <c r="I8565" i="1"/>
  <c r="D8566" i="1"/>
  <c r="I8566" i="1"/>
  <c r="I8567" i="1"/>
  <c r="I8568" i="1"/>
  <c r="I8569" i="1"/>
  <c r="I8570" i="1"/>
  <c r="I8571" i="1"/>
  <c r="I8572" i="1"/>
  <c r="I8573" i="1"/>
  <c r="I8574" i="1"/>
  <c r="I8575" i="1"/>
  <c r="I8576" i="1"/>
  <c r="I8577" i="1"/>
  <c r="I8578" i="1"/>
  <c r="I8579" i="1"/>
  <c r="I8580" i="1"/>
  <c r="I8581" i="1"/>
  <c r="I8582" i="1"/>
  <c r="I8583" i="1"/>
  <c r="I8584" i="1"/>
  <c r="I8585" i="1"/>
  <c r="I8586" i="1"/>
  <c r="I8587" i="1"/>
  <c r="I8588" i="1"/>
  <c r="I8589" i="1"/>
  <c r="I8590" i="1"/>
  <c r="I8591" i="1"/>
  <c r="I8592" i="1"/>
  <c r="I8593" i="1"/>
  <c r="I8594" i="1"/>
  <c r="I8595" i="1"/>
  <c r="I8596" i="1"/>
  <c r="I8597" i="1"/>
  <c r="I8598" i="1"/>
  <c r="I8599" i="1"/>
  <c r="I8600" i="1"/>
  <c r="I8601" i="1"/>
  <c r="I8602" i="1"/>
  <c r="D8603" i="1"/>
  <c r="I8603" i="1"/>
  <c r="I8604" i="1"/>
  <c r="I8605" i="1"/>
  <c r="I8606" i="1"/>
  <c r="I8607" i="1"/>
  <c r="I8608" i="1"/>
  <c r="I8609" i="1"/>
  <c r="I8610" i="1"/>
  <c r="I8611" i="1"/>
  <c r="I8612" i="1"/>
  <c r="I8613" i="1"/>
  <c r="I8614" i="1"/>
  <c r="I8615" i="1"/>
  <c r="I8616" i="1"/>
  <c r="I8617" i="1"/>
  <c r="I8618" i="1"/>
  <c r="I8619" i="1"/>
  <c r="I8620" i="1"/>
  <c r="I8621" i="1"/>
  <c r="I8622" i="1"/>
  <c r="I8623" i="1"/>
  <c r="I8624" i="1"/>
  <c r="I8625" i="1"/>
  <c r="I8626" i="1"/>
  <c r="I8627" i="1"/>
  <c r="I8628" i="1"/>
  <c r="I8629" i="1"/>
  <c r="I8630" i="1"/>
  <c r="I8631" i="1"/>
  <c r="I8632" i="1"/>
  <c r="I8633" i="1"/>
  <c r="I8634" i="1"/>
  <c r="I8635" i="1"/>
  <c r="I8636" i="1"/>
  <c r="I8637" i="1"/>
  <c r="I8638" i="1"/>
  <c r="I8639" i="1"/>
  <c r="I8640" i="1"/>
  <c r="I8641" i="1"/>
  <c r="I8642" i="1"/>
  <c r="I8643" i="1"/>
  <c r="I8644" i="1"/>
  <c r="I8645" i="1"/>
  <c r="I8646" i="1"/>
  <c r="I8647" i="1"/>
  <c r="I8648" i="1"/>
  <c r="I8649" i="1"/>
  <c r="I8650" i="1"/>
  <c r="I8651" i="1"/>
  <c r="I8652" i="1"/>
  <c r="I8653" i="1"/>
  <c r="I8654" i="1"/>
  <c r="I8655" i="1"/>
  <c r="I8656" i="1"/>
  <c r="I8657" i="1"/>
  <c r="I8658" i="1"/>
  <c r="I8659" i="1"/>
  <c r="I8660" i="1"/>
  <c r="I8661" i="1"/>
  <c r="I8662" i="1"/>
  <c r="I8663" i="1"/>
  <c r="I8664" i="1"/>
  <c r="I8665" i="1"/>
  <c r="I8666" i="1"/>
  <c r="I8667" i="1"/>
  <c r="C8668" i="1"/>
  <c r="D8668" i="1"/>
  <c r="I8668" i="1"/>
  <c r="I8669" i="1"/>
  <c r="I8670" i="1"/>
  <c r="I8671" i="1"/>
  <c r="I8672" i="1"/>
  <c r="I8673" i="1"/>
  <c r="I8674" i="1"/>
  <c r="I8675" i="1"/>
  <c r="I8676" i="1"/>
  <c r="I8677" i="1"/>
  <c r="I8678" i="1"/>
  <c r="I8679" i="1"/>
  <c r="I8680" i="1"/>
  <c r="I8681" i="1"/>
  <c r="I8682" i="1"/>
  <c r="I8683" i="1"/>
  <c r="I8684" i="1"/>
  <c r="I8685" i="1"/>
  <c r="I8686" i="1"/>
  <c r="I8687" i="1"/>
  <c r="I8688" i="1"/>
  <c r="I8689" i="1"/>
  <c r="I8690" i="1"/>
  <c r="I8691" i="1"/>
  <c r="I8692" i="1"/>
  <c r="I8693" i="1"/>
  <c r="I8694" i="1"/>
  <c r="I8695" i="1"/>
  <c r="I8696" i="1"/>
  <c r="I8697" i="1"/>
  <c r="I8698" i="1"/>
  <c r="I8699" i="1"/>
  <c r="I8700" i="1"/>
  <c r="I8701" i="1"/>
  <c r="I8702" i="1"/>
  <c r="I8703" i="1"/>
  <c r="I8704" i="1"/>
  <c r="I8705" i="1"/>
  <c r="I8706" i="1"/>
  <c r="I8707" i="1"/>
  <c r="I8708" i="1"/>
  <c r="I8709" i="1"/>
  <c r="I8710" i="1"/>
  <c r="I8711" i="1"/>
  <c r="I8712" i="1"/>
  <c r="I8713" i="1"/>
  <c r="I8714" i="1"/>
  <c r="I8715" i="1"/>
  <c r="I8716" i="1"/>
  <c r="I8717" i="1"/>
  <c r="I8718" i="1"/>
  <c r="I8719" i="1"/>
  <c r="I8720" i="1"/>
  <c r="I8721" i="1"/>
  <c r="I8722" i="1"/>
  <c r="I8723" i="1"/>
  <c r="I8724" i="1"/>
  <c r="I8725" i="1"/>
  <c r="I8726" i="1"/>
  <c r="I8727" i="1"/>
  <c r="I8728" i="1"/>
  <c r="I8729" i="1"/>
  <c r="I8730" i="1"/>
  <c r="I8731" i="1"/>
  <c r="I8732" i="1"/>
  <c r="I8733" i="1"/>
  <c r="I8734" i="1"/>
  <c r="I8735" i="1"/>
  <c r="I8736" i="1"/>
  <c r="I8737" i="1"/>
  <c r="I8738" i="1"/>
  <c r="I8739" i="1"/>
  <c r="I8740" i="1"/>
  <c r="I8741" i="1"/>
  <c r="I8742" i="1"/>
  <c r="I8743" i="1"/>
  <c r="I8744" i="1"/>
  <c r="I8745" i="1"/>
  <c r="I8746" i="1"/>
  <c r="I8747" i="1"/>
  <c r="I8748" i="1"/>
  <c r="I8749" i="1"/>
  <c r="I8750" i="1"/>
  <c r="I8751" i="1"/>
  <c r="I8752" i="1"/>
  <c r="I8753" i="1"/>
  <c r="I8754" i="1"/>
  <c r="I8755" i="1"/>
  <c r="I8756" i="1"/>
  <c r="I8757" i="1"/>
  <c r="I8758" i="1"/>
  <c r="I8759" i="1"/>
  <c r="I8760" i="1"/>
  <c r="I8761" i="1"/>
  <c r="I8762" i="1"/>
  <c r="I8763" i="1"/>
  <c r="I8764" i="1"/>
  <c r="I8765" i="1"/>
  <c r="I8766" i="1"/>
  <c r="I8767" i="1"/>
  <c r="I8768" i="1"/>
  <c r="I8769" i="1"/>
  <c r="I8770" i="1"/>
  <c r="I8771" i="1"/>
  <c r="I8772" i="1"/>
  <c r="I8773" i="1"/>
  <c r="I8774" i="1"/>
  <c r="I8775" i="1"/>
  <c r="I8776" i="1"/>
  <c r="I8777" i="1"/>
  <c r="C8778" i="1"/>
  <c r="I8778" i="1"/>
  <c r="I8779" i="1"/>
  <c r="I8780" i="1"/>
  <c r="I8781" i="1"/>
  <c r="I8782" i="1"/>
  <c r="I8783" i="1"/>
  <c r="I8784" i="1"/>
  <c r="I8785" i="1"/>
  <c r="I8786" i="1"/>
  <c r="I8787" i="1"/>
  <c r="I8788" i="1"/>
  <c r="I8789" i="1"/>
  <c r="I8790" i="1"/>
  <c r="I8791" i="1"/>
  <c r="I8792" i="1"/>
  <c r="I8793" i="1"/>
  <c r="I8794" i="1"/>
  <c r="I8795" i="1"/>
  <c r="I8796" i="1"/>
  <c r="I8797" i="1"/>
  <c r="I8798" i="1"/>
  <c r="I8799" i="1"/>
  <c r="I8800" i="1"/>
  <c r="I8801" i="1"/>
  <c r="I8802" i="1"/>
  <c r="I8803" i="1"/>
  <c r="I8804" i="1"/>
  <c r="I8805" i="1"/>
  <c r="I8806" i="1"/>
  <c r="I8807" i="1"/>
  <c r="I8808" i="1"/>
  <c r="I8809" i="1"/>
  <c r="I8810" i="1"/>
  <c r="I8811" i="1"/>
  <c r="I8812" i="1"/>
  <c r="I8813" i="1"/>
  <c r="I8814" i="1"/>
  <c r="I8815" i="1"/>
  <c r="C8816" i="1"/>
  <c r="D8816" i="1"/>
  <c r="I8816" i="1"/>
  <c r="I8817" i="1"/>
  <c r="I8818" i="1"/>
  <c r="C8819" i="1"/>
  <c r="I8819" i="1"/>
  <c r="I8820" i="1"/>
  <c r="I8821" i="1"/>
  <c r="I8822" i="1"/>
  <c r="C8823" i="1"/>
  <c r="I8823" i="1"/>
  <c r="I8824" i="1"/>
  <c r="I8825" i="1"/>
  <c r="I8826" i="1"/>
  <c r="I8827" i="1"/>
  <c r="I8828" i="1"/>
  <c r="I8829" i="1"/>
  <c r="I8830" i="1"/>
  <c r="I8831" i="1"/>
  <c r="I8832" i="1"/>
  <c r="I8833" i="1"/>
  <c r="C8834" i="1"/>
  <c r="D8834" i="1"/>
  <c r="I8834" i="1"/>
  <c r="I8835" i="1"/>
  <c r="I8836" i="1"/>
  <c r="I8837" i="1"/>
  <c r="I8838" i="1"/>
  <c r="I8839" i="1"/>
  <c r="I8840" i="1"/>
  <c r="D8841" i="1"/>
  <c r="I8841" i="1"/>
  <c r="I8842" i="1"/>
  <c r="I8843" i="1"/>
  <c r="I8844" i="1"/>
  <c r="I8845" i="1"/>
  <c r="I8846" i="1"/>
  <c r="I8847" i="1"/>
  <c r="I8848" i="1"/>
  <c r="I8849" i="1"/>
  <c r="I8850" i="1"/>
  <c r="I8851" i="1"/>
  <c r="I8852" i="1"/>
  <c r="I8853" i="1"/>
  <c r="I8854" i="1"/>
  <c r="I8855" i="1"/>
  <c r="I8856" i="1"/>
  <c r="I8857" i="1"/>
  <c r="I8858" i="1"/>
  <c r="I8859" i="1"/>
  <c r="C8860" i="1"/>
  <c r="D8860" i="1"/>
  <c r="I8860" i="1"/>
  <c r="I8861" i="1"/>
  <c r="I8862" i="1"/>
  <c r="I8863" i="1"/>
  <c r="I8864" i="1"/>
  <c r="I8865" i="1"/>
  <c r="I8866" i="1"/>
  <c r="I8867" i="1"/>
  <c r="I8868" i="1"/>
  <c r="I8869" i="1"/>
  <c r="I8870" i="1"/>
  <c r="I8871" i="1"/>
  <c r="I8872" i="1"/>
  <c r="I8873" i="1"/>
  <c r="I8874" i="1"/>
  <c r="I8875" i="1"/>
  <c r="I8876" i="1"/>
  <c r="I8877" i="1"/>
  <c r="I8878" i="1"/>
  <c r="I8879" i="1"/>
  <c r="I8880" i="1"/>
  <c r="I8881" i="1"/>
  <c r="I8882" i="1"/>
  <c r="I8883" i="1"/>
  <c r="I8884" i="1"/>
  <c r="I8885" i="1"/>
  <c r="I8886" i="1"/>
  <c r="I8887" i="1"/>
  <c r="I8888" i="1"/>
  <c r="I8889" i="1"/>
  <c r="I8890" i="1"/>
  <c r="I8891" i="1"/>
  <c r="I8892" i="1"/>
  <c r="I8893" i="1"/>
  <c r="I8894" i="1"/>
  <c r="I8895" i="1"/>
  <c r="I8896" i="1"/>
  <c r="I8897" i="1"/>
  <c r="I8898" i="1"/>
  <c r="I8899" i="1"/>
  <c r="I8900" i="1"/>
  <c r="I8901" i="1"/>
  <c r="I8902" i="1"/>
  <c r="I8903" i="1"/>
  <c r="I8904" i="1"/>
  <c r="I8905" i="1"/>
  <c r="C8906" i="1"/>
  <c r="I8906" i="1"/>
  <c r="I8907" i="1"/>
  <c r="I8908" i="1"/>
  <c r="I8909" i="1"/>
  <c r="I8910" i="1"/>
  <c r="I8911" i="1"/>
  <c r="I8912" i="1"/>
  <c r="I8913" i="1"/>
  <c r="I8914" i="1"/>
  <c r="I8915" i="1"/>
  <c r="I8916" i="1"/>
  <c r="I8917" i="1"/>
  <c r="I8918" i="1"/>
  <c r="I8919" i="1"/>
  <c r="I8920" i="1"/>
  <c r="I8921" i="1"/>
  <c r="I8922" i="1"/>
  <c r="I8923" i="1"/>
  <c r="I8924" i="1"/>
  <c r="I8925" i="1"/>
  <c r="I8926" i="1"/>
  <c r="I8927" i="1"/>
  <c r="I8928" i="1"/>
  <c r="I8929" i="1"/>
  <c r="I8930" i="1"/>
  <c r="I8931" i="1"/>
  <c r="I8932" i="1"/>
  <c r="I8933" i="1"/>
  <c r="I8934" i="1"/>
  <c r="I8935" i="1"/>
  <c r="I8936" i="1"/>
  <c r="I8937" i="1"/>
  <c r="I8938" i="1"/>
  <c r="I8939" i="1"/>
  <c r="I8940" i="1"/>
  <c r="I8941" i="1"/>
  <c r="I8942" i="1"/>
  <c r="I8943" i="1"/>
  <c r="I8944" i="1"/>
  <c r="I8945" i="1"/>
  <c r="I8946" i="1"/>
  <c r="I8947" i="1"/>
  <c r="I8948" i="1"/>
  <c r="I8949" i="1"/>
  <c r="I8950" i="1"/>
  <c r="I8951" i="1"/>
  <c r="I8952" i="1"/>
  <c r="I8953" i="1"/>
  <c r="I8954" i="1"/>
  <c r="I8955" i="1"/>
  <c r="I8956" i="1"/>
  <c r="I8957" i="1"/>
  <c r="I8958" i="1"/>
  <c r="I8959" i="1"/>
  <c r="I8960" i="1"/>
  <c r="I8961" i="1"/>
  <c r="I8962" i="1"/>
  <c r="I8963" i="1"/>
  <c r="I8964" i="1"/>
  <c r="I8965" i="1"/>
  <c r="I8966" i="1"/>
  <c r="I8967" i="1"/>
  <c r="I8968" i="1"/>
  <c r="I8969" i="1"/>
  <c r="I8970" i="1"/>
  <c r="I8971" i="1"/>
  <c r="I8972" i="1"/>
  <c r="I8973" i="1"/>
  <c r="I8974" i="1"/>
  <c r="I8975" i="1"/>
  <c r="I8976" i="1"/>
  <c r="I8977" i="1"/>
  <c r="I8978" i="1"/>
  <c r="I8979" i="1"/>
  <c r="I8980" i="1"/>
  <c r="I8981" i="1"/>
  <c r="I8982" i="1"/>
  <c r="I8983" i="1"/>
  <c r="I8984" i="1"/>
  <c r="I8985" i="1"/>
  <c r="I8986" i="1"/>
  <c r="I8987" i="1"/>
  <c r="I8988" i="1"/>
  <c r="I8989" i="1"/>
  <c r="I8990" i="1"/>
  <c r="I8991" i="1"/>
  <c r="I8992" i="1"/>
  <c r="I8993" i="1"/>
  <c r="I8994" i="1"/>
  <c r="I8995" i="1"/>
  <c r="I8996" i="1"/>
  <c r="I8997" i="1"/>
  <c r="I8998" i="1"/>
  <c r="I8999" i="1"/>
  <c r="I9000" i="1"/>
  <c r="I9001" i="1"/>
  <c r="I9002" i="1"/>
  <c r="I9003" i="1"/>
  <c r="I9004" i="1"/>
  <c r="I9005" i="1"/>
  <c r="I9006" i="1"/>
  <c r="I9007" i="1"/>
  <c r="I9008" i="1"/>
  <c r="I9009" i="1"/>
  <c r="I9010" i="1"/>
  <c r="I9011" i="1"/>
  <c r="I9012" i="1"/>
  <c r="I9013" i="1"/>
  <c r="I9014" i="1"/>
  <c r="I9015" i="1"/>
  <c r="I9016" i="1"/>
  <c r="C9017" i="1"/>
  <c r="D9017" i="1"/>
  <c r="I9017" i="1"/>
  <c r="I9018" i="1"/>
  <c r="I9019" i="1"/>
  <c r="I9020" i="1"/>
  <c r="I9021" i="1"/>
  <c r="I9022" i="1"/>
  <c r="I9023" i="1"/>
  <c r="I9024" i="1"/>
  <c r="I9025" i="1"/>
  <c r="F9026" i="1"/>
  <c r="I9026" i="1"/>
  <c r="I9027" i="1"/>
  <c r="I9028" i="1"/>
  <c r="I9029" i="1"/>
  <c r="I9030" i="1"/>
  <c r="I9031" i="1"/>
  <c r="I9032" i="1"/>
  <c r="I9033" i="1"/>
  <c r="I9034" i="1"/>
  <c r="I9035" i="1"/>
  <c r="I9036" i="1"/>
  <c r="I9037" i="1"/>
  <c r="I9038" i="1"/>
  <c r="I9039" i="1"/>
  <c r="I9040" i="1"/>
  <c r="I9041" i="1"/>
  <c r="I9042" i="1"/>
  <c r="I9043" i="1"/>
  <c r="I9044" i="1"/>
  <c r="I9045" i="1"/>
  <c r="I9046" i="1"/>
  <c r="I9047" i="1"/>
  <c r="I9048" i="1"/>
  <c r="I9049" i="1"/>
  <c r="I9050" i="1"/>
  <c r="I9051" i="1"/>
  <c r="I9052" i="1"/>
  <c r="I9053" i="1"/>
  <c r="I9054" i="1"/>
  <c r="I9055" i="1"/>
  <c r="I9056" i="1"/>
  <c r="I9057" i="1"/>
  <c r="I9058" i="1"/>
  <c r="I9059" i="1"/>
  <c r="I9060" i="1"/>
  <c r="I9061" i="1"/>
  <c r="I9062" i="1"/>
  <c r="I9063" i="1"/>
  <c r="I9064" i="1"/>
  <c r="I9065" i="1"/>
  <c r="I9066" i="1"/>
  <c r="I9067" i="1"/>
  <c r="C9068" i="1"/>
  <c r="I9068" i="1"/>
  <c r="I9069" i="1"/>
  <c r="I9070" i="1"/>
  <c r="I9071" i="1"/>
  <c r="I9072" i="1"/>
  <c r="I9073" i="1"/>
  <c r="I9074" i="1"/>
  <c r="I9075" i="1"/>
  <c r="I9076" i="1"/>
  <c r="I9077" i="1"/>
  <c r="I9078" i="1"/>
  <c r="I9079" i="1"/>
  <c r="I9080" i="1"/>
  <c r="I9081" i="1"/>
  <c r="I9082" i="1"/>
  <c r="I9083" i="1"/>
  <c r="I9084" i="1"/>
  <c r="I9085" i="1"/>
  <c r="I9086" i="1"/>
  <c r="I9087" i="1"/>
  <c r="I9088" i="1"/>
  <c r="I9089" i="1"/>
  <c r="I9090" i="1"/>
  <c r="I9091" i="1"/>
  <c r="I9092" i="1"/>
  <c r="I9093" i="1"/>
  <c r="I9094" i="1"/>
  <c r="I9095" i="1"/>
  <c r="I9096" i="1"/>
  <c r="I9097" i="1"/>
  <c r="I9098" i="1"/>
  <c r="F9099" i="1"/>
  <c r="I9099" i="1"/>
  <c r="I9100" i="1"/>
  <c r="I9101" i="1"/>
  <c r="I9102" i="1"/>
  <c r="I9103" i="1"/>
  <c r="I9104" i="1"/>
  <c r="I9105" i="1"/>
  <c r="I9106" i="1"/>
  <c r="I9107" i="1"/>
  <c r="I9108" i="1"/>
  <c r="I9109" i="1"/>
  <c r="I9110" i="1"/>
  <c r="I9111" i="1"/>
  <c r="I9112" i="1"/>
  <c r="I9113" i="1"/>
  <c r="I9114" i="1"/>
  <c r="I9115" i="1"/>
  <c r="I9116" i="1"/>
  <c r="I9117" i="1"/>
  <c r="I9118" i="1"/>
  <c r="I9119" i="1"/>
  <c r="I9120" i="1"/>
  <c r="I9121" i="1"/>
  <c r="I9122" i="1"/>
  <c r="I9123" i="1"/>
  <c r="I9124" i="1"/>
  <c r="I9125" i="1"/>
  <c r="I9126" i="1"/>
  <c r="I9127" i="1"/>
  <c r="I9128" i="1"/>
  <c r="I9129" i="1"/>
  <c r="I9130" i="1"/>
  <c r="I9131" i="1"/>
  <c r="I9132" i="1"/>
  <c r="I9133" i="1"/>
  <c r="I9134" i="1"/>
  <c r="I9135" i="1"/>
  <c r="I9136" i="1"/>
  <c r="I9137" i="1"/>
  <c r="I9138" i="1"/>
  <c r="I9139" i="1"/>
  <c r="I9140" i="1"/>
  <c r="I9141" i="1"/>
  <c r="I9142" i="1"/>
  <c r="I9143" i="1"/>
  <c r="I9144" i="1"/>
  <c r="I9145" i="1"/>
  <c r="I9146" i="1"/>
  <c r="I9147" i="1"/>
  <c r="I9148" i="1"/>
  <c r="I9149" i="1"/>
  <c r="I9150" i="1"/>
  <c r="I9151" i="1"/>
  <c r="I9152" i="1"/>
  <c r="I9153" i="1"/>
  <c r="I9154" i="1"/>
  <c r="I9155" i="1"/>
  <c r="I9156" i="1"/>
  <c r="I9157" i="1"/>
  <c r="I9158" i="1"/>
  <c r="I9159" i="1"/>
  <c r="I9160" i="1"/>
  <c r="I9161" i="1"/>
  <c r="I9162" i="1"/>
  <c r="I9163" i="1"/>
  <c r="I9164" i="1"/>
  <c r="I9165" i="1"/>
  <c r="I9166" i="1"/>
  <c r="I9167" i="1"/>
  <c r="I9168" i="1"/>
  <c r="I9169" i="1"/>
  <c r="I9170" i="1"/>
  <c r="I9171" i="1"/>
  <c r="I9172" i="1"/>
  <c r="I9173" i="1"/>
  <c r="I9174" i="1"/>
  <c r="I9175" i="1"/>
  <c r="I9176" i="1"/>
  <c r="I9177" i="1"/>
  <c r="I9178" i="1"/>
  <c r="I9179" i="1"/>
  <c r="I9180" i="1"/>
  <c r="I9181" i="1"/>
  <c r="I9182" i="1"/>
  <c r="I9183" i="1"/>
  <c r="I9184" i="1"/>
  <c r="I9185" i="1"/>
  <c r="I9186" i="1"/>
  <c r="I9187" i="1"/>
  <c r="I9188" i="1"/>
  <c r="I9189" i="1"/>
  <c r="I9190" i="1"/>
  <c r="I9191" i="1"/>
  <c r="I9192" i="1"/>
  <c r="I9193" i="1"/>
  <c r="I9194" i="1"/>
  <c r="I9195" i="1"/>
  <c r="I9196" i="1"/>
  <c r="I9197" i="1"/>
  <c r="I9198" i="1"/>
  <c r="I9199" i="1"/>
  <c r="I9200" i="1"/>
  <c r="I9201" i="1"/>
  <c r="I9202" i="1"/>
  <c r="I9203" i="1"/>
  <c r="I9204" i="1"/>
  <c r="I9205" i="1"/>
  <c r="I9206" i="1"/>
  <c r="I9207" i="1"/>
  <c r="I9208" i="1"/>
  <c r="I9209" i="1"/>
  <c r="I9210" i="1"/>
  <c r="C9211" i="1"/>
  <c r="I9211" i="1"/>
  <c r="I9212" i="1"/>
  <c r="I9213" i="1"/>
  <c r="I9214" i="1"/>
  <c r="I9215" i="1"/>
  <c r="I9216" i="1"/>
  <c r="I9217" i="1"/>
  <c r="I9218" i="1"/>
  <c r="I9219" i="1"/>
  <c r="I9220" i="1"/>
  <c r="I9221" i="1"/>
  <c r="I9222" i="1"/>
  <c r="I9223" i="1"/>
  <c r="I9224" i="1"/>
  <c r="I9225" i="1"/>
  <c r="I9226" i="1"/>
  <c r="I9227" i="1"/>
  <c r="I9228" i="1"/>
  <c r="I9229" i="1"/>
  <c r="I9230" i="1"/>
  <c r="I9231" i="1"/>
  <c r="I9232" i="1"/>
  <c r="I9233" i="1"/>
  <c r="I9234" i="1"/>
  <c r="I9235" i="1"/>
  <c r="I9236" i="1"/>
  <c r="I9237" i="1"/>
  <c r="I9238" i="1"/>
  <c r="I9239" i="1"/>
  <c r="I9240" i="1"/>
  <c r="I9241" i="1"/>
  <c r="I9242" i="1"/>
  <c r="I9243" i="1"/>
  <c r="I9244" i="1"/>
  <c r="I9245" i="1"/>
  <c r="I9246" i="1"/>
  <c r="I9247" i="1"/>
  <c r="I9248" i="1"/>
  <c r="I9249" i="1"/>
  <c r="I9250" i="1"/>
  <c r="I9251" i="1"/>
  <c r="I9252" i="1"/>
  <c r="I9253" i="1"/>
  <c r="I9254" i="1"/>
  <c r="I9255" i="1"/>
  <c r="I9256" i="1"/>
  <c r="I9257" i="1"/>
  <c r="I9258" i="1"/>
  <c r="I9259" i="1"/>
  <c r="I9260" i="1"/>
  <c r="I9261" i="1"/>
  <c r="I9262" i="1"/>
  <c r="I9263" i="1"/>
  <c r="I9264" i="1"/>
  <c r="I9265" i="1"/>
  <c r="I9266" i="1"/>
  <c r="I9267" i="1"/>
  <c r="I9268" i="1"/>
  <c r="I9269" i="1"/>
  <c r="I9270" i="1"/>
  <c r="I9271" i="1"/>
  <c r="I9272" i="1"/>
  <c r="I9273" i="1"/>
  <c r="I9274" i="1"/>
  <c r="I9275" i="1"/>
  <c r="I9276" i="1"/>
  <c r="I9277" i="1"/>
  <c r="I9278" i="1"/>
  <c r="I9279" i="1"/>
  <c r="I9280" i="1"/>
  <c r="I9281" i="1"/>
  <c r="I9282" i="1"/>
  <c r="I9283" i="1"/>
  <c r="I9284" i="1"/>
  <c r="I9285" i="1"/>
  <c r="I9286" i="1"/>
  <c r="I9287" i="1"/>
  <c r="I9288" i="1"/>
  <c r="I9289" i="1"/>
  <c r="I9290" i="1"/>
  <c r="I9291" i="1"/>
  <c r="I9292" i="1"/>
  <c r="I9293" i="1"/>
  <c r="I9294" i="1"/>
  <c r="I9295" i="1"/>
  <c r="I9296" i="1"/>
  <c r="I9297" i="1"/>
  <c r="I9298" i="1"/>
  <c r="I9299" i="1"/>
  <c r="I9300" i="1"/>
  <c r="I9301" i="1"/>
  <c r="I9302" i="1"/>
  <c r="I9303" i="1"/>
  <c r="I9304" i="1"/>
  <c r="I9305" i="1"/>
  <c r="I9306" i="1"/>
  <c r="I9307" i="1"/>
  <c r="I9308" i="1"/>
  <c r="I9309" i="1"/>
  <c r="I9310" i="1"/>
  <c r="I9311" i="1"/>
  <c r="I9312" i="1"/>
  <c r="I9313" i="1"/>
  <c r="I9314" i="1"/>
  <c r="I9315" i="1"/>
  <c r="I9316" i="1"/>
  <c r="I9317" i="1"/>
  <c r="I9318" i="1"/>
  <c r="I9319" i="1"/>
  <c r="I9320" i="1"/>
  <c r="I9321" i="1"/>
  <c r="I9322" i="1"/>
  <c r="I9323" i="1"/>
  <c r="I9324" i="1"/>
  <c r="I9325" i="1"/>
  <c r="I9326" i="1"/>
  <c r="I9327" i="1"/>
  <c r="I9328" i="1"/>
  <c r="I9329" i="1"/>
  <c r="I9330" i="1"/>
  <c r="I9331" i="1"/>
  <c r="I9332" i="1"/>
  <c r="I9333" i="1"/>
  <c r="I9334" i="1"/>
  <c r="I9335" i="1"/>
  <c r="I9336" i="1"/>
  <c r="I9337" i="1"/>
  <c r="I9338" i="1"/>
  <c r="I9339" i="1"/>
  <c r="I9340" i="1"/>
  <c r="I9341" i="1"/>
  <c r="I9342" i="1"/>
  <c r="I9343" i="1"/>
  <c r="I9344" i="1"/>
  <c r="I9345" i="1"/>
  <c r="I9346" i="1"/>
  <c r="I9347" i="1"/>
  <c r="I9348" i="1"/>
  <c r="I9349" i="1"/>
  <c r="I9350" i="1"/>
  <c r="I9351" i="1"/>
  <c r="I9352" i="1"/>
  <c r="I9353" i="1"/>
  <c r="I9354" i="1"/>
  <c r="I9355" i="1"/>
  <c r="I9356" i="1"/>
  <c r="C9357" i="1"/>
  <c r="I9357" i="1"/>
  <c r="I9358" i="1"/>
  <c r="I9359" i="1"/>
  <c r="I9360" i="1"/>
  <c r="I9361" i="1"/>
  <c r="I9362" i="1"/>
  <c r="I9363" i="1"/>
  <c r="I9364" i="1"/>
  <c r="I9365" i="1"/>
  <c r="I9366" i="1"/>
  <c r="I9367" i="1"/>
  <c r="I9368" i="1"/>
  <c r="I9369" i="1"/>
  <c r="I9370" i="1"/>
  <c r="I9371" i="1"/>
  <c r="I9372" i="1"/>
  <c r="I9373" i="1"/>
  <c r="I9374" i="1"/>
  <c r="I9375" i="1"/>
  <c r="I9376" i="1"/>
  <c r="I9377" i="1"/>
  <c r="I9378" i="1"/>
  <c r="I9379" i="1"/>
  <c r="I9380" i="1"/>
  <c r="I9381" i="1"/>
  <c r="I9382" i="1"/>
  <c r="I9383" i="1"/>
  <c r="I9384" i="1"/>
  <c r="I9385" i="1"/>
  <c r="I9386" i="1"/>
  <c r="I9387" i="1"/>
  <c r="I9388" i="1"/>
  <c r="I9389" i="1"/>
  <c r="I9390" i="1"/>
  <c r="I9391" i="1"/>
  <c r="I9392" i="1"/>
  <c r="I9393" i="1"/>
  <c r="I9394" i="1"/>
  <c r="I9395" i="1"/>
  <c r="I9396" i="1"/>
  <c r="I9397" i="1"/>
  <c r="I9398" i="1"/>
  <c r="I9399" i="1"/>
  <c r="I9400" i="1"/>
  <c r="I9401" i="1"/>
  <c r="I9402" i="1"/>
  <c r="I9403" i="1"/>
  <c r="I9404" i="1"/>
  <c r="I9405" i="1"/>
  <c r="I9406" i="1"/>
  <c r="I9407" i="1"/>
  <c r="I9408" i="1"/>
  <c r="I9409" i="1"/>
  <c r="I9410" i="1"/>
  <c r="I9411" i="1"/>
  <c r="I9412" i="1"/>
  <c r="I9413" i="1"/>
  <c r="I9414" i="1"/>
  <c r="I9415" i="1"/>
  <c r="I9416" i="1"/>
  <c r="I9417" i="1"/>
  <c r="I9418" i="1"/>
  <c r="I9419" i="1"/>
  <c r="I9420" i="1"/>
  <c r="I9421" i="1"/>
  <c r="I9422" i="1"/>
  <c r="C9423" i="1"/>
  <c r="I9423" i="1"/>
  <c r="I9424" i="1"/>
  <c r="D9425" i="1"/>
  <c r="I9425" i="1"/>
  <c r="I9426" i="1"/>
  <c r="I9427" i="1"/>
  <c r="I9428" i="1"/>
  <c r="I9429" i="1"/>
  <c r="I9430" i="1"/>
  <c r="I9431" i="1"/>
  <c r="I9432" i="1"/>
  <c r="I9433" i="1"/>
  <c r="I9434" i="1"/>
  <c r="I9435" i="1"/>
  <c r="I9436" i="1"/>
  <c r="I9437" i="1"/>
  <c r="I9438" i="1"/>
  <c r="I9439" i="1"/>
  <c r="I9440" i="1"/>
  <c r="I9441" i="1"/>
  <c r="I9442" i="1"/>
  <c r="I9443" i="1"/>
  <c r="I9444" i="1"/>
  <c r="I9445" i="1"/>
  <c r="I9446" i="1"/>
  <c r="I9447" i="1"/>
  <c r="I9448" i="1"/>
  <c r="I9449" i="1"/>
  <c r="I9450" i="1"/>
  <c r="I9451" i="1"/>
  <c r="I9452" i="1"/>
  <c r="I9453" i="1"/>
  <c r="I9454" i="1"/>
  <c r="I9455" i="1"/>
  <c r="I9456" i="1"/>
  <c r="I9457" i="1"/>
  <c r="I9458" i="1"/>
  <c r="I9459" i="1"/>
  <c r="I9460" i="1"/>
  <c r="I9461" i="1"/>
  <c r="I9462" i="1"/>
  <c r="I9463" i="1"/>
  <c r="I9464" i="1"/>
  <c r="I9465" i="1"/>
  <c r="I9466" i="1"/>
  <c r="I9467" i="1"/>
  <c r="I9468" i="1"/>
  <c r="I9469" i="1"/>
  <c r="I9470" i="1"/>
  <c r="I9471" i="1"/>
  <c r="I9472" i="1"/>
  <c r="I9473" i="1"/>
  <c r="I9474" i="1"/>
  <c r="I9475" i="1"/>
  <c r="I9476" i="1"/>
  <c r="I9477" i="1"/>
  <c r="I9478" i="1"/>
  <c r="I9479" i="1"/>
  <c r="I9480" i="1"/>
  <c r="I9481" i="1"/>
  <c r="I9482" i="1"/>
  <c r="I9483" i="1"/>
  <c r="I9484" i="1"/>
  <c r="I9485" i="1"/>
  <c r="I9486" i="1"/>
  <c r="I9487" i="1"/>
  <c r="I9488" i="1"/>
  <c r="I9489" i="1"/>
  <c r="I9490" i="1"/>
  <c r="I9491" i="1"/>
  <c r="I9492" i="1"/>
  <c r="I9493" i="1"/>
  <c r="I9494" i="1"/>
  <c r="I9495" i="1"/>
  <c r="I9496" i="1"/>
  <c r="I9497" i="1"/>
  <c r="I9498" i="1"/>
  <c r="I9499" i="1"/>
  <c r="I9500" i="1"/>
  <c r="I9501" i="1"/>
  <c r="I9502" i="1"/>
  <c r="I9503" i="1"/>
  <c r="I9504" i="1"/>
  <c r="I9505" i="1"/>
  <c r="I9506" i="1"/>
  <c r="I9507" i="1"/>
  <c r="I9508" i="1"/>
  <c r="I9509" i="1"/>
  <c r="I9510" i="1"/>
  <c r="I9511" i="1"/>
  <c r="I9512" i="1"/>
  <c r="I9513" i="1"/>
  <c r="I9514" i="1"/>
  <c r="I9515" i="1"/>
  <c r="I9516" i="1"/>
  <c r="I9517" i="1"/>
  <c r="I9518" i="1"/>
  <c r="I9519" i="1"/>
  <c r="I9520" i="1"/>
  <c r="I9521" i="1"/>
  <c r="I9522" i="1"/>
  <c r="I9523" i="1"/>
  <c r="I9524" i="1"/>
  <c r="I9525" i="1"/>
  <c r="I9526" i="1"/>
  <c r="I9527" i="1"/>
  <c r="I9528" i="1"/>
  <c r="I9529" i="1"/>
  <c r="I9530" i="1"/>
  <c r="I9531" i="1"/>
  <c r="I9532" i="1"/>
  <c r="I9533" i="1"/>
  <c r="I9534" i="1"/>
  <c r="I9535" i="1"/>
  <c r="I9536" i="1"/>
  <c r="I9537" i="1"/>
  <c r="I9538" i="1"/>
  <c r="I9539" i="1"/>
  <c r="I9540" i="1"/>
  <c r="I9541" i="1"/>
  <c r="I9542" i="1"/>
  <c r="I9543" i="1"/>
  <c r="I9544" i="1"/>
  <c r="I9545" i="1"/>
  <c r="I9546" i="1"/>
  <c r="I9547" i="1"/>
  <c r="I9548" i="1"/>
  <c r="I9549" i="1"/>
  <c r="I9550" i="1"/>
  <c r="I9551" i="1"/>
  <c r="I9552" i="1"/>
  <c r="C9553" i="1"/>
  <c r="D9553" i="1"/>
  <c r="I9553" i="1"/>
  <c r="I9554" i="1"/>
  <c r="I9555" i="1"/>
  <c r="I9556" i="1"/>
  <c r="I9557" i="1"/>
  <c r="I9558" i="1"/>
  <c r="I9559" i="1"/>
  <c r="I9560" i="1"/>
  <c r="I9561" i="1"/>
  <c r="I9562" i="1"/>
  <c r="I9563" i="1"/>
  <c r="I9564" i="1"/>
  <c r="I9565" i="1"/>
  <c r="I9566" i="1"/>
  <c r="I9567" i="1"/>
  <c r="I9568" i="1"/>
  <c r="I9569" i="1"/>
  <c r="I9570" i="1"/>
  <c r="I9571" i="1"/>
  <c r="I9572" i="1"/>
  <c r="I9573" i="1"/>
  <c r="I9574" i="1"/>
  <c r="I9575" i="1"/>
  <c r="I9576" i="1"/>
  <c r="I9577" i="1"/>
  <c r="I9578" i="1"/>
  <c r="I9579" i="1"/>
  <c r="I9580" i="1"/>
  <c r="I9581" i="1"/>
  <c r="I9582" i="1"/>
  <c r="I9583" i="1"/>
  <c r="I9584" i="1"/>
  <c r="I9585" i="1"/>
  <c r="I9586" i="1"/>
  <c r="I9587" i="1"/>
  <c r="I9588" i="1"/>
  <c r="I9589" i="1"/>
  <c r="I9590" i="1"/>
  <c r="I9591" i="1"/>
  <c r="I9592" i="1"/>
  <c r="I9593" i="1"/>
  <c r="I9594" i="1"/>
  <c r="I9595" i="1"/>
  <c r="I9596" i="1"/>
  <c r="I9597" i="1"/>
  <c r="I9598" i="1"/>
  <c r="I9599" i="1"/>
  <c r="I9600" i="1"/>
  <c r="I9601" i="1"/>
  <c r="I9602" i="1"/>
  <c r="I9603" i="1"/>
  <c r="I9604" i="1"/>
  <c r="I9605" i="1"/>
  <c r="I9606" i="1"/>
  <c r="I9607" i="1"/>
  <c r="I9608" i="1"/>
  <c r="I9609" i="1"/>
  <c r="I9610" i="1"/>
  <c r="I9611" i="1"/>
  <c r="I9612" i="1"/>
  <c r="I9613" i="1"/>
  <c r="I9614" i="1"/>
  <c r="I9615" i="1"/>
  <c r="I9616" i="1"/>
  <c r="I9617" i="1"/>
  <c r="I9618" i="1"/>
  <c r="I9619" i="1"/>
  <c r="I9620" i="1"/>
  <c r="I9621" i="1"/>
  <c r="I9622" i="1"/>
  <c r="I9623" i="1"/>
  <c r="I9624" i="1"/>
  <c r="I9625" i="1"/>
  <c r="I9626" i="1"/>
  <c r="I9627" i="1"/>
  <c r="I9628" i="1"/>
  <c r="I9629" i="1"/>
  <c r="I9630" i="1"/>
  <c r="I9631" i="1"/>
  <c r="I9632" i="1"/>
  <c r="I9633" i="1"/>
  <c r="I9634" i="1"/>
  <c r="I9635" i="1"/>
  <c r="I9636" i="1"/>
  <c r="I9637" i="1"/>
  <c r="I9638" i="1"/>
  <c r="I9639" i="1"/>
  <c r="I9640" i="1"/>
  <c r="I9641" i="1"/>
  <c r="I9642" i="1"/>
  <c r="C9643" i="1"/>
  <c r="D9643" i="1"/>
  <c r="I9643" i="1"/>
  <c r="I9644" i="1"/>
  <c r="I9645" i="1"/>
  <c r="I9646" i="1"/>
  <c r="I9647" i="1"/>
  <c r="I9648" i="1"/>
  <c r="I9649" i="1"/>
  <c r="I9650" i="1"/>
  <c r="I9651" i="1"/>
  <c r="I9652" i="1"/>
  <c r="I9653" i="1"/>
  <c r="I9654" i="1"/>
  <c r="I9655" i="1"/>
  <c r="I9656" i="1"/>
  <c r="C9657" i="1"/>
  <c r="I9657" i="1"/>
  <c r="I9658" i="1"/>
  <c r="D9659" i="1"/>
  <c r="I9659" i="1"/>
  <c r="D9660" i="1"/>
  <c r="I9660" i="1"/>
  <c r="I9661" i="1"/>
  <c r="I9662" i="1"/>
  <c r="D9663" i="1"/>
  <c r="I9663" i="1"/>
  <c r="I9664" i="1"/>
  <c r="I9665" i="1"/>
  <c r="I9666" i="1"/>
  <c r="I9667" i="1"/>
  <c r="I9668" i="1"/>
  <c r="I9669" i="1"/>
  <c r="I9670" i="1"/>
  <c r="I9671" i="1"/>
  <c r="I9672" i="1"/>
  <c r="I9673" i="1"/>
  <c r="I9674" i="1"/>
  <c r="I9675" i="1"/>
  <c r="I9676" i="1"/>
  <c r="I9677" i="1"/>
  <c r="I9678" i="1"/>
  <c r="I9679" i="1"/>
  <c r="I9680" i="1"/>
  <c r="I9681" i="1"/>
  <c r="I9682" i="1"/>
  <c r="I9683" i="1"/>
  <c r="I9684" i="1"/>
  <c r="I9685" i="1"/>
  <c r="I9686" i="1"/>
  <c r="C9687" i="1"/>
  <c r="D9687" i="1"/>
  <c r="I9687" i="1"/>
  <c r="I9688" i="1"/>
  <c r="I9689" i="1"/>
  <c r="I9690" i="1"/>
  <c r="D9691" i="1"/>
  <c r="I9691" i="1"/>
  <c r="I9692" i="1"/>
  <c r="I9693" i="1"/>
  <c r="I9694" i="1"/>
  <c r="I9695" i="1"/>
  <c r="I9696" i="1"/>
  <c r="I9697" i="1"/>
  <c r="I9698" i="1"/>
  <c r="I9699" i="1"/>
  <c r="D9700" i="1"/>
  <c r="I9700" i="1"/>
  <c r="I9701" i="1"/>
  <c r="I9702" i="1"/>
  <c r="I9703" i="1"/>
  <c r="I9704" i="1"/>
  <c r="D9705" i="1"/>
  <c r="I9705" i="1"/>
  <c r="I9706" i="1"/>
  <c r="I9707" i="1"/>
  <c r="I9708" i="1"/>
  <c r="I9709" i="1"/>
  <c r="I9710" i="1"/>
  <c r="I9711" i="1"/>
  <c r="I9712" i="1"/>
  <c r="I9713" i="1"/>
  <c r="I9714" i="1"/>
  <c r="I9715" i="1"/>
  <c r="I9716" i="1"/>
  <c r="I9717" i="1"/>
  <c r="I9718" i="1"/>
  <c r="I9719" i="1"/>
  <c r="I9720" i="1"/>
  <c r="I9721" i="1"/>
  <c r="I9722" i="1"/>
  <c r="I9723" i="1"/>
  <c r="I9724" i="1"/>
  <c r="I9725" i="1"/>
  <c r="I9726" i="1"/>
  <c r="I9727" i="1"/>
  <c r="I9728" i="1"/>
  <c r="I9729" i="1"/>
  <c r="I9730" i="1"/>
  <c r="I9731" i="1"/>
  <c r="I9732" i="1"/>
  <c r="I9733" i="1"/>
  <c r="I9734" i="1"/>
  <c r="I9735" i="1"/>
  <c r="I9736" i="1"/>
  <c r="I9737" i="1"/>
  <c r="I9738" i="1"/>
  <c r="I9739" i="1"/>
  <c r="I9740" i="1"/>
  <c r="I9741" i="1"/>
  <c r="I9742" i="1"/>
  <c r="I9743" i="1"/>
  <c r="I9744" i="1"/>
  <c r="I9745" i="1"/>
  <c r="I9746" i="1"/>
  <c r="I9747" i="1"/>
  <c r="I9748" i="1"/>
  <c r="I9749" i="1"/>
  <c r="I9750" i="1"/>
  <c r="I9751" i="1"/>
  <c r="I9752" i="1"/>
  <c r="I9753" i="1"/>
  <c r="I9754" i="1"/>
  <c r="I9755" i="1"/>
  <c r="I9756" i="1"/>
  <c r="I9757" i="1"/>
  <c r="I9758" i="1"/>
  <c r="I9759" i="1"/>
  <c r="I9760" i="1"/>
  <c r="I9761" i="1"/>
  <c r="I9762" i="1"/>
  <c r="I9763" i="1"/>
  <c r="I9764" i="1"/>
  <c r="I9765" i="1"/>
  <c r="I9766" i="1"/>
  <c r="I9767" i="1"/>
  <c r="I9768" i="1"/>
  <c r="I9769" i="1"/>
  <c r="I9770" i="1"/>
  <c r="I9771" i="1"/>
  <c r="I9772" i="1"/>
  <c r="I9773" i="1"/>
  <c r="I9774" i="1"/>
  <c r="I9775" i="1"/>
  <c r="I9776" i="1"/>
  <c r="I9777" i="1"/>
  <c r="I9778" i="1"/>
  <c r="I9779" i="1"/>
  <c r="I9780" i="1"/>
  <c r="I9781" i="1"/>
  <c r="I9782" i="1"/>
  <c r="I9783" i="1"/>
  <c r="I9784" i="1"/>
  <c r="I9785" i="1"/>
  <c r="I9786" i="1"/>
  <c r="I9787" i="1"/>
  <c r="C9788" i="1"/>
  <c r="D9788" i="1"/>
  <c r="I9788" i="1"/>
  <c r="I9789" i="1"/>
  <c r="I9790" i="1"/>
  <c r="I9791" i="1"/>
  <c r="I9792" i="1"/>
  <c r="I9793" i="1"/>
  <c r="I9794" i="1"/>
  <c r="I9795" i="1"/>
  <c r="I9796" i="1"/>
  <c r="I9797" i="1"/>
  <c r="I9798" i="1"/>
  <c r="I9799" i="1"/>
  <c r="I9800" i="1"/>
  <c r="I9801" i="1"/>
  <c r="I9802" i="1"/>
  <c r="I9803" i="1"/>
  <c r="I9804" i="1"/>
  <c r="I9805" i="1"/>
  <c r="I9806" i="1"/>
  <c r="I9807" i="1"/>
  <c r="I9808" i="1"/>
  <c r="I9809" i="1"/>
  <c r="I9810" i="1"/>
  <c r="I9811" i="1"/>
  <c r="I9812" i="1"/>
  <c r="I9813" i="1"/>
  <c r="I9814" i="1"/>
  <c r="I9815" i="1"/>
  <c r="I9816" i="1"/>
  <c r="I9817" i="1"/>
  <c r="I9818" i="1"/>
  <c r="I9819" i="1"/>
  <c r="I9820" i="1"/>
  <c r="I9821" i="1"/>
  <c r="I9822" i="1"/>
  <c r="I9823" i="1"/>
  <c r="I9824" i="1"/>
  <c r="I9825" i="1"/>
  <c r="I9826" i="1"/>
  <c r="I9827" i="1"/>
  <c r="I9828" i="1"/>
  <c r="I9829" i="1"/>
  <c r="I9830" i="1"/>
  <c r="I9831" i="1"/>
  <c r="I9832" i="1"/>
  <c r="I9833" i="1"/>
  <c r="I9834" i="1"/>
  <c r="I9835" i="1"/>
  <c r="I9836" i="1"/>
  <c r="I9837" i="1"/>
  <c r="I9838" i="1"/>
  <c r="I9839" i="1"/>
  <c r="I9840" i="1"/>
  <c r="I9841" i="1"/>
  <c r="I9842" i="1"/>
  <c r="I9843" i="1"/>
  <c r="I9844" i="1"/>
  <c r="I9845" i="1"/>
  <c r="I9846" i="1"/>
  <c r="I9847" i="1"/>
  <c r="I9848" i="1"/>
  <c r="I9849" i="1"/>
  <c r="I9850" i="1"/>
  <c r="I9851" i="1"/>
  <c r="I9852" i="1"/>
  <c r="I9853" i="1"/>
  <c r="I9854" i="1"/>
  <c r="I9855" i="1"/>
  <c r="I9856" i="1"/>
  <c r="I9857" i="1"/>
  <c r="I9858" i="1"/>
  <c r="I9859" i="1"/>
  <c r="I9860" i="1"/>
  <c r="I9861" i="1"/>
  <c r="I9862" i="1"/>
  <c r="I9863" i="1"/>
  <c r="I9864" i="1"/>
  <c r="I9865" i="1"/>
  <c r="I9866" i="1"/>
  <c r="C9867" i="1"/>
  <c r="D9867" i="1"/>
  <c r="I9867" i="1"/>
  <c r="I9868" i="1"/>
  <c r="I9869" i="1"/>
  <c r="I9870" i="1"/>
  <c r="I9871" i="1"/>
  <c r="I9872" i="1"/>
  <c r="I9873" i="1"/>
  <c r="I9874" i="1"/>
  <c r="I9875" i="1"/>
  <c r="I9876" i="1"/>
  <c r="I9877" i="1"/>
  <c r="I9878" i="1"/>
  <c r="I9879" i="1"/>
  <c r="I9880" i="1"/>
  <c r="I9881" i="1"/>
  <c r="I9882" i="1"/>
  <c r="I9883" i="1"/>
  <c r="I9884" i="1"/>
  <c r="C9885" i="1"/>
  <c r="D9885" i="1"/>
  <c r="I9885" i="1"/>
  <c r="I9886" i="1"/>
  <c r="I9887" i="1"/>
  <c r="I9888" i="1"/>
  <c r="I9889" i="1"/>
  <c r="I9890" i="1"/>
  <c r="I9891" i="1"/>
  <c r="I9892" i="1"/>
  <c r="I9893" i="1"/>
  <c r="I9894" i="1"/>
  <c r="I9895" i="1"/>
  <c r="I9896" i="1"/>
  <c r="I9897" i="1"/>
  <c r="I9898" i="1"/>
  <c r="I9899" i="1"/>
  <c r="I9900" i="1"/>
  <c r="I9901" i="1"/>
  <c r="I9902" i="1"/>
  <c r="I9903" i="1"/>
  <c r="I9904" i="1"/>
  <c r="I9905" i="1"/>
  <c r="I9906" i="1"/>
  <c r="I9907" i="1"/>
  <c r="I9908" i="1"/>
  <c r="I9909" i="1"/>
  <c r="I9910" i="1"/>
  <c r="I9911" i="1"/>
  <c r="I9912" i="1"/>
  <c r="I9913" i="1"/>
  <c r="I9914" i="1"/>
  <c r="I9915" i="1"/>
  <c r="I9916" i="1"/>
  <c r="I9917" i="1"/>
  <c r="I9918" i="1"/>
  <c r="I9919" i="1"/>
  <c r="I9920" i="1"/>
  <c r="I9921" i="1"/>
  <c r="I9922" i="1"/>
  <c r="I9923" i="1"/>
  <c r="I9924" i="1"/>
  <c r="I9925" i="1"/>
  <c r="I9926" i="1"/>
  <c r="I9927" i="1"/>
  <c r="I9928" i="1"/>
  <c r="I9929" i="1"/>
  <c r="I9930" i="1"/>
  <c r="I9931" i="1"/>
  <c r="I9932" i="1"/>
  <c r="I9933" i="1"/>
  <c r="I9934" i="1"/>
  <c r="I9935" i="1"/>
  <c r="I9936" i="1"/>
  <c r="I9937" i="1"/>
  <c r="I9938" i="1"/>
  <c r="I9939" i="1"/>
  <c r="I9940" i="1"/>
  <c r="I9941" i="1"/>
  <c r="I9942" i="1"/>
  <c r="I9943" i="1"/>
  <c r="I9944" i="1"/>
  <c r="I9945" i="1"/>
  <c r="I9946" i="1"/>
  <c r="I9947" i="1"/>
  <c r="I9948" i="1"/>
  <c r="I9949" i="1"/>
  <c r="I9950" i="1"/>
  <c r="I9951" i="1"/>
  <c r="I9952" i="1"/>
  <c r="I9953" i="1"/>
  <c r="I9954" i="1"/>
  <c r="I9955" i="1"/>
  <c r="I9956" i="1"/>
  <c r="I9957" i="1"/>
  <c r="I9958" i="1"/>
  <c r="I9959" i="1"/>
  <c r="I9960" i="1"/>
  <c r="I9961" i="1"/>
  <c r="I9962" i="1"/>
  <c r="I9963" i="1"/>
  <c r="I9964" i="1"/>
  <c r="I9965" i="1"/>
  <c r="I9966" i="1"/>
  <c r="I9967" i="1"/>
  <c r="I9968" i="1"/>
  <c r="I9969" i="1"/>
  <c r="I9970" i="1"/>
  <c r="I9971" i="1"/>
  <c r="I9972" i="1"/>
  <c r="I9973" i="1"/>
  <c r="I9974" i="1"/>
  <c r="I9975" i="1"/>
  <c r="I9976" i="1"/>
  <c r="I9977" i="1"/>
  <c r="I9978" i="1"/>
  <c r="I9979" i="1"/>
  <c r="I9980" i="1"/>
  <c r="I9981" i="1"/>
  <c r="I9982" i="1"/>
  <c r="I9983" i="1"/>
  <c r="I9984" i="1"/>
  <c r="I9985" i="1"/>
  <c r="I9986" i="1"/>
  <c r="I9987" i="1"/>
  <c r="I9988" i="1"/>
  <c r="I9989" i="1"/>
  <c r="I9990" i="1"/>
  <c r="I9991" i="1"/>
  <c r="I9992" i="1"/>
  <c r="I9993" i="1"/>
  <c r="I9994" i="1"/>
  <c r="I9995" i="1"/>
  <c r="I9996" i="1"/>
  <c r="I9997" i="1"/>
  <c r="I9998" i="1"/>
  <c r="I9999" i="1"/>
  <c r="I10000" i="1"/>
  <c r="I10001" i="1"/>
  <c r="I10002" i="1"/>
  <c r="I10003" i="1"/>
  <c r="I10004" i="1"/>
  <c r="I10005" i="1"/>
  <c r="I10006" i="1"/>
  <c r="I10007" i="1"/>
  <c r="I10008" i="1"/>
  <c r="I10009" i="1"/>
  <c r="I10010" i="1"/>
  <c r="I10011" i="1"/>
  <c r="I10012" i="1"/>
  <c r="I10013" i="1"/>
  <c r="I10014" i="1"/>
  <c r="I10015" i="1"/>
  <c r="I10016" i="1"/>
  <c r="I10017" i="1"/>
  <c r="I10018" i="1"/>
  <c r="I10019" i="1"/>
  <c r="I10020" i="1"/>
  <c r="I10021" i="1"/>
  <c r="I10022" i="1"/>
  <c r="I10023" i="1"/>
  <c r="I10024" i="1"/>
  <c r="I10025" i="1"/>
  <c r="I10026" i="1"/>
  <c r="I10027" i="1"/>
  <c r="I10028" i="1"/>
  <c r="I10029" i="1"/>
  <c r="I10030" i="1"/>
  <c r="I10031" i="1"/>
  <c r="I10032" i="1"/>
  <c r="I10033" i="1"/>
  <c r="I10034" i="1"/>
  <c r="I10035" i="1"/>
  <c r="I10036" i="1"/>
  <c r="I10037" i="1"/>
  <c r="I10038" i="1"/>
  <c r="I10039" i="1"/>
  <c r="I10040" i="1"/>
  <c r="I10041" i="1"/>
  <c r="I10042" i="1"/>
  <c r="I10043" i="1"/>
  <c r="I10044" i="1"/>
  <c r="I10045" i="1"/>
  <c r="I10046" i="1"/>
  <c r="I10047" i="1"/>
  <c r="I10048" i="1"/>
  <c r="I10049" i="1"/>
  <c r="I10050" i="1"/>
  <c r="I10051" i="1"/>
  <c r="I10052" i="1"/>
  <c r="I10053" i="1"/>
  <c r="I10054" i="1"/>
  <c r="I10055" i="1"/>
  <c r="I10056" i="1"/>
  <c r="I10057" i="1"/>
  <c r="I10058" i="1"/>
  <c r="I10059" i="1"/>
  <c r="I10060" i="1"/>
  <c r="I10061" i="1"/>
  <c r="I10062" i="1"/>
  <c r="I10063" i="1"/>
  <c r="I10064" i="1"/>
  <c r="I10065" i="1"/>
  <c r="I10066" i="1"/>
  <c r="I10067" i="1"/>
  <c r="I10068" i="1"/>
  <c r="I10069" i="1"/>
  <c r="I10070" i="1"/>
  <c r="I10071" i="1"/>
  <c r="I10072" i="1"/>
  <c r="I10073" i="1"/>
  <c r="I10074" i="1"/>
  <c r="I10075" i="1"/>
  <c r="I10076" i="1"/>
  <c r="I10077" i="1"/>
  <c r="I10078" i="1"/>
  <c r="I10079" i="1"/>
  <c r="I10080" i="1"/>
  <c r="I10081" i="1"/>
  <c r="I10082" i="1"/>
  <c r="I10083" i="1"/>
  <c r="I10084" i="1"/>
  <c r="I10085" i="1"/>
  <c r="I10086" i="1"/>
  <c r="I10087" i="1"/>
  <c r="I10088" i="1"/>
  <c r="I10089" i="1"/>
  <c r="I10090" i="1"/>
  <c r="I10091" i="1"/>
  <c r="I10092" i="1"/>
  <c r="I10093" i="1"/>
  <c r="I10094" i="1"/>
  <c r="I10095" i="1"/>
  <c r="I10096" i="1"/>
  <c r="I10097" i="1"/>
  <c r="I10098" i="1"/>
  <c r="I10099" i="1"/>
  <c r="I10100" i="1"/>
  <c r="I10101" i="1"/>
  <c r="I10102" i="1"/>
  <c r="I10103" i="1"/>
  <c r="I10104" i="1"/>
  <c r="I10105" i="1"/>
  <c r="I10106" i="1"/>
  <c r="I10107" i="1"/>
  <c r="I10108" i="1"/>
  <c r="I10109" i="1"/>
  <c r="I10110" i="1"/>
  <c r="I10111" i="1"/>
  <c r="I10112" i="1"/>
  <c r="I10113" i="1"/>
  <c r="I10114" i="1"/>
  <c r="I10115" i="1"/>
  <c r="I10116" i="1"/>
  <c r="I10117" i="1"/>
  <c r="I10118" i="1"/>
  <c r="I10119" i="1"/>
  <c r="I10120" i="1"/>
  <c r="I10121" i="1"/>
  <c r="I10122" i="1"/>
  <c r="I10123" i="1"/>
  <c r="I10124" i="1"/>
  <c r="I10125" i="1"/>
  <c r="I10126" i="1"/>
  <c r="I10127" i="1"/>
  <c r="I10128" i="1"/>
  <c r="I10129" i="1"/>
  <c r="I10130" i="1"/>
  <c r="I10131" i="1"/>
  <c r="I10132" i="1"/>
  <c r="I10133" i="1"/>
  <c r="I10134" i="1"/>
  <c r="I10135" i="1"/>
  <c r="I10136" i="1"/>
  <c r="I10137" i="1"/>
  <c r="I10138" i="1"/>
  <c r="I10139" i="1"/>
  <c r="I10140" i="1"/>
  <c r="I10141" i="1"/>
  <c r="I10142" i="1"/>
  <c r="I10143" i="1"/>
  <c r="I10144" i="1"/>
  <c r="I10145" i="1"/>
  <c r="I10146" i="1"/>
  <c r="I10147" i="1"/>
  <c r="I10148" i="1"/>
  <c r="I10149" i="1"/>
  <c r="I10150" i="1"/>
  <c r="I10151" i="1"/>
  <c r="I10152" i="1"/>
  <c r="I10153" i="1"/>
  <c r="I10154" i="1"/>
  <c r="I10155" i="1"/>
  <c r="I10156" i="1"/>
  <c r="I10157" i="1"/>
  <c r="I10158" i="1"/>
  <c r="I10159" i="1"/>
  <c r="I10160" i="1"/>
  <c r="I10161" i="1"/>
  <c r="I10162" i="1"/>
  <c r="I10163" i="1"/>
  <c r="C10164" i="1"/>
  <c r="D10164" i="1"/>
  <c r="I10164" i="1"/>
  <c r="I10165" i="1"/>
  <c r="I10166" i="1"/>
  <c r="I10167" i="1"/>
  <c r="I10168" i="1"/>
  <c r="I10169" i="1"/>
  <c r="I10170" i="1"/>
  <c r="I10171" i="1"/>
  <c r="I10172" i="1"/>
  <c r="I10173" i="1"/>
  <c r="I10174" i="1"/>
  <c r="I10175" i="1"/>
  <c r="I10176" i="1"/>
  <c r="I10177" i="1"/>
  <c r="I10178" i="1"/>
  <c r="I10179" i="1"/>
  <c r="I10180" i="1"/>
  <c r="I10181" i="1"/>
  <c r="I10182" i="1"/>
  <c r="I10183" i="1"/>
  <c r="I10184" i="1"/>
  <c r="I10185" i="1"/>
  <c r="I10186" i="1"/>
  <c r="I10187" i="1"/>
  <c r="I10188" i="1"/>
  <c r="I10189" i="1"/>
  <c r="I10190" i="1"/>
  <c r="I10191" i="1"/>
  <c r="I10192" i="1"/>
  <c r="I10193" i="1"/>
  <c r="I10194" i="1"/>
  <c r="I10195" i="1"/>
  <c r="I10196" i="1"/>
  <c r="I10197" i="1"/>
  <c r="I10198" i="1"/>
  <c r="I10199" i="1"/>
  <c r="I10200" i="1"/>
  <c r="I10201" i="1"/>
  <c r="I10202" i="1"/>
  <c r="I10203" i="1"/>
  <c r="I10204" i="1"/>
  <c r="I10205" i="1"/>
  <c r="I10206" i="1"/>
  <c r="I10207" i="1"/>
  <c r="I10208" i="1"/>
  <c r="I10209" i="1"/>
  <c r="I10210" i="1"/>
  <c r="I10211" i="1"/>
  <c r="I10212" i="1"/>
  <c r="I10213" i="1"/>
  <c r="I10214" i="1"/>
  <c r="I10215" i="1"/>
  <c r="I10216" i="1"/>
  <c r="I10217" i="1"/>
  <c r="I10218" i="1"/>
  <c r="I10219" i="1"/>
  <c r="I10220" i="1"/>
  <c r="I10221" i="1"/>
  <c r="I10222" i="1"/>
  <c r="I10223" i="1"/>
  <c r="I10224" i="1"/>
  <c r="I10225" i="1"/>
  <c r="I10226" i="1"/>
  <c r="I10227" i="1"/>
  <c r="I10228" i="1"/>
  <c r="I10229" i="1"/>
  <c r="I10230" i="1"/>
  <c r="I10231" i="1"/>
  <c r="I10232" i="1"/>
  <c r="I10233" i="1"/>
  <c r="I10234" i="1"/>
  <c r="I10235" i="1"/>
  <c r="I10236" i="1"/>
  <c r="I10237" i="1"/>
  <c r="I10238" i="1"/>
  <c r="I10239" i="1"/>
  <c r="I10240" i="1"/>
  <c r="I10241" i="1"/>
  <c r="I10242" i="1"/>
  <c r="I10243" i="1"/>
  <c r="I10244" i="1"/>
  <c r="I10245" i="1"/>
  <c r="I10246" i="1"/>
  <c r="I10247" i="1"/>
  <c r="I10248" i="1"/>
  <c r="I10249" i="1"/>
  <c r="I10250" i="1"/>
  <c r="I10251" i="1"/>
  <c r="I10252" i="1"/>
  <c r="I10253" i="1"/>
  <c r="I10254" i="1"/>
  <c r="I10255" i="1"/>
  <c r="I10256" i="1"/>
  <c r="I10257" i="1"/>
  <c r="I10258" i="1"/>
  <c r="I10259" i="1"/>
  <c r="I10260" i="1"/>
  <c r="I10261" i="1"/>
  <c r="I10262" i="1"/>
  <c r="I10263" i="1"/>
  <c r="I10264" i="1"/>
  <c r="I10265" i="1"/>
  <c r="I10266" i="1"/>
  <c r="I10267" i="1"/>
  <c r="I10268" i="1"/>
  <c r="I10269" i="1"/>
  <c r="I10270" i="1"/>
  <c r="I10271" i="1"/>
  <c r="I10272" i="1"/>
  <c r="I10273" i="1"/>
  <c r="I10274" i="1"/>
  <c r="I10275" i="1"/>
  <c r="I10276" i="1"/>
  <c r="I10277" i="1"/>
  <c r="I10278" i="1"/>
  <c r="I10279" i="1"/>
  <c r="I10280" i="1"/>
  <c r="I10281" i="1"/>
  <c r="I10282" i="1"/>
  <c r="I10283" i="1"/>
  <c r="I10284" i="1"/>
  <c r="I10285" i="1"/>
  <c r="I10286" i="1"/>
  <c r="I10287" i="1"/>
  <c r="I10288" i="1"/>
  <c r="I10289" i="1"/>
  <c r="I10290" i="1"/>
  <c r="I10291" i="1"/>
  <c r="I10292" i="1"/>
  <c r="I10293" i="1"/>
  <c r="I10294" i="1"/>
  <c r="I10295" i="1"/>
  <c r="I10296" i="1"/>
  <c r="I10297" i="1"/>
  <c r="I10298" i="1"/>
  <c r="I10299" i="1"/>
  <c r="I10300" i="1"/>
  <c r="I10301" i="1"/>
  <c r="I10302" i="1"/>
  <c r="I10303" i="1"/>
  <c r="I10304" i="1"/>
  <c r="I10305" i="1"/>
  <c r="I10306" i="1"/>
  <c r="I10307" i="1"/>
  <c r="I10308" i="1"/>
  <c r="I10309" i="1"/>
  <c r="I10310" i="1"/>
  <c r="I10311" i="1"/>
  <c r="I10312" i="1"/>
  <c r="I10313" i="1"/>
  <c r="I10314" i="1"/>
  <c r="I10315" i="1"/>
  <c r="I10316" i="1"/>
  <c r="D10317" i="1"/>
  <c r="I10317" i="1"/>
  <c r="I10318" i="1"/>
  <c r="I10319" i="1"/>
  <c r="I10320" i="1"/>
  <c r="I10321" i="1"/>
  <c r="I10322" i="1"/>
  <c r="I10323" i="1"/>
  <c r="I10324" i="1"/>
  <c r="I10325" i="1"/>
  <c r="I10326" i="1"/>
  <c r="I10327" i="1"/>
  <c r="I10328" i="1"/>
  <c r="I10329" i="1"/>
  <c r="I10330" i="1"/>
  <c r="I10331" i="1"/>
  <c r="I10332" i="1"/>
  <c r="I10333" i="1"/>
  <c r="I10334" i="1"/>
  <c r="I10335" i="1"/>
  <c r="I10336" i="1"/>
  <c r="I10337" i="1"/>
  <c r="I10338" i="1"/>
  <c r="I10339" i="1"/>
  <c r="I10340" i="1"/>
  <c r="I10341" i="1"/>
  <c r="I10342" i="1"/>
  <c r="I10343" i="1"/>
  <c r="I10344" i="1"/>
  <c r="I10345" i="1"/>
  <c r="I10346" i="1"/>
  <c r="I10347" i="1"/>
  <c r="I10348" i="1"/>
  <c r="I10349" i="1"/>
  <c r="I10350" i="1"/>
  <c r="I10351" i="1"/>
  <c r="I10352" i="1"/>
  <c r="I10353" i="1"/>
  <c r="I10354" i="1"/>
  <c r="I10355" i="1"/>
  <c r="I10356" i="1"/>
  <c r="I10357" i="1"/>
  <c r="I10358" i="1"/>
  <c r="I10359" i="1"/>
  <c r="I10360" i="1"/>
  <c r="I10361" i="1"/>
  <c r="I10362" i="1"/>
  <c r="I10363" i="1"/>
  <c r="I10364" i="1"/>
  <c r="I10365" i="1"/>
  <c r="I10366" i="1"/>
  <c r="I10367" i="1"/>
  <c r="I10368" i="1"/>
  <c r="I10369" i="1"/>
  <c r="I10370" i="1"/>
  <c r="I10371" i="1"/>
  <c r="I10372" i="1"/>
  <c r="I10373" i="1"/>
  <c r="I10374" i="1"/>
  <c r="I10375" i="1"/>
  <c r="I10376" i="1"/>
  <c r="I10377" i="1"/>
  <c r="I10378" i="1"/>
  <c r="I10379" i="1"/>
  <c r="I10380" i="1"/>
  <c r="I10381" i="1"/>
  <c r="I10382" i="1"/>
  <c r="I10383" i="1"/>
  <c r="I10384" i="1"/>
  <c r="I10385" i="1"/>
  <c r="I10386" i="1"/>
  <c r="I10387" i="1"/>
  <c r="I10388" i="1"/>
  <c r="I10389" i="1"/>
  <c r="I10390" i="1"/>
  <c r="I10391" i="1"/>
  <c r="I10392" i="1"/>
  <c r="I10393" i="1"/>
  <c r="I10394" i="1"/>
  <c r="I10395" i="1"/>
  <c r="I10396" i="1"/>
  <c r="I10397" i="1"/>
  <c r="I10398" i="1"/>
  <c r="I10399" i="1"/>
  <c r="C10400" i="1"/>
  <c r="D10400" i="1"/>
  <c r="I10400" i="1"/>
  <c r="I10401" i="1"/>
  <c r="I10402" i="1"/>
  <c r="I10403" i="1"/>
  <c r="I10404" i="1"/>
  <c r="I10405" i="1"/>
  <c r="C10406" i="1"/>
  <c r="D10406" i="1"/>
  <c r="I10406" i="1"/>
  <c r="I10407" i="1"/>
  <c r="I10408" i="1"/>
  <c r="I10409" i="1"/>
  <c r="I10410" i="1"/>
  <c r="C10411" i="1"/>
  <c r="I10411" i="1"/>
  <c r="I10412" i="1"/>
  <c r="I10413" i="1"/>
  <c r="I10414" i="1"/>
  <c r="I10415" i="1"/>
  <c r="I10416" i="1"/>
  <c r="I10417" i="1"/>
  <c r="I10418" i="1"/>
  <c r="I10419" i="1"/>
  <c r="I10420" i="1"/>
  <c r="I10421" i="1"/>
  <c r="I10422" i="1"/>
  <c r="I10423" i="1"/>
  <c r="I10424" i="1"/>
  <c r="I10425" i="1"/>
  <c r="I10426" i="1"/>
  <c r="I10427" i="1"/>
  <c r="I10428" i="1"/>
  <c r="I10429" i="1"/>
  <c r="I10430" i="1"/>
  <c r="I10431" i="1"/>
  <c r="I10432" i="1"/>
  <c r="I10433" i="1"/>
  <c r="I10434" i="1"/>
  <c r="I10435" i="1"/>
  <c r="I10436" i="1"/>
  <c r="I10437" i="1"/>
  <c r="I10438" i="1"/>
  <c r="I10439" i="1"/>
  <c r="I10440" i="1"/>
  <c r="I10441" i="1"/>
  <c r="I10442" i="1"/>
  <c r="I10443" i="1"/>
  <c r="I10444" i="1"/>
  <c r="I10445" i="1"/>
  <c r="I10446" i="1"/>
  <c r="I10447" i="1"/>
  <c r="I10448" i="1"/>
  <c r="I10449" i="1"/>
  <c r="I10450" i="1"/>
  <c r="I10451" i="1"/>
  <c r="I10452" i="1"/>
  <c r="I10453" i="1"/>
  <c r="I10454" i="1"/>
  <c r="I10455" i="1"/>
  <c r="I10456" i="1"/>
  <c r="I10457" i="1"/>
  <c r="I10458" i="1"/>
  <c r="I10459" i="1"/>
  <c r="I10460" i="1"/>
  <c r="I10461" i="1"/>
  <c r="I10462" i="1"/>
  <c r="I10463" i="1"/>
  <c r="I10464" i="1"/>
  <c r="I10465" i="1"/>
  <c r="I10466" i="1"/>
  <c r="I10467" i="1"/>
  <c r="I10468" i="1"/>
  <c r="I10469" i="1"/>
  <c r="I10470" i="1"/>
  <c r="I10471" i="1"/>
  <c r="I10472" i="1"/>
  <c r="I10473" i="1"/>
  <c r="I10474" i="1"/>
  <c r="I10475" i="1"/>
  <c r="I10476" i="1"/>
  <c r="I10477" i="1"/>
  <c r="I10478" i="1"/>
  <c r="I10479" i="1"/>
  <c r="I10480" i="1"/>
  <c r="I10481" i="1"/>
  <c r="I10482" i="1"/>
  <c r="I10483" i="1"/>
  <c r="I10484" i="1"/>
  <c r="I10485" i="1"/>
  <c r="I10486" i="1"/>
  <c r="I10487" i="1"/>
  <c r="I10488" i="1"/>
  <c r="I10489" i="1"/>
  <c r="I10490" i="1"/>
  <c r="I10491" i="1"/>
  <c r="I10492" i="1"/>
  <c r="I10493" i="1"/>
  <c r="I10494" i="1"/>
  <c r="I10495" i="1"/>
  <c r="I10496" i="1"/>
  <c r="I10497" i="1"/>
  <c r="I10498" i="1"/>
  <c r="I10499" i="1"/>
  <c r="I10500" i="1"/>
  <c r="I10501" i="1"/>
  <c r="I10502" i="1"/>
  <c r="I10503" i="1"/>
  <c r="I10504" i="1"/>
  <c r="I10505" i="1"/>
  <c r="I10506" i="1"/>
  <c r="I10507" i="1"/>
  <c r="I10508" i="1"/>
  <c r="I10509" i="1"/>
  <c r="I10510" i="1"/>
  <c r="I10511" i="1"/>
  <c r="I10512" i="1"/>
  <c r="I10513" i="1"/>
  <c r="I10514" i="1"/>
  <c r="I10515" i="1"/>
  <c r="I10516" i="1"/>
  <c r="I10517" i="1"/>
  <c r="I10518" i="1"/>
  <c r="I10519" i="1"/>
  <c r="I10520" i="1"/>
  <c r="I10521" i="1"/>
  <c r="I10522" i="1"/>
  <c r="I10523" i="1"/>
  <c r="C10524" i="1"/>
  <c r="I10524" i="1"/>
  <c r="I10525" i="1"/>
  <c r="I10526" i="1"/>
  <c r="I10527" i="1"/>
  <c r="I10528" i="1"/>
  <c r="I10529" i="1"/>
  <c r="I10530" i="1"/>
  <c r="I10531" i="1"/>
  <c r="I10532" i="1"/>
  <c r="I10533" i="1"/>
  <c r="I10534" i="1"/>
  <c r="I10535" i="1"/>
  <c r="I10536" i="1"/>
  <c r="I10537" i="1"/>
  <c r="I10538" i="1"/>
  <c r="I10539" i="1"/>
  <c r="I10540" i="1"/>
  <c r="I10541" i="1"/>
  <c r="I10542" i="1"/>
  <c r="I10543" i="1"/>
  <c r="I10544" i="1"/>
  <c r="I10545" i="1"/>
  <c r="I10546" i="1"/>
  <c r="I10547" i="1"/>
  <c r="I10548" i="1"/>
  <c r="I10549" i="1"/>
  <c r="I10550" i="1"/>
  <c r="I10551" i="1"/>
  <c r="I10552" i="1"/>
  <c r="I10553" i="1"/>
  <c r="I10554" i="1"/>
  <c r="I10555" i="1"/>
  <c r="I10556" i="1"/>
  <c r="I10557" i="1"/>
  <c r="I10558" i="1"/>
  <c r="I10559" i="1"/>
  <c r="I10560" i="1"/>
  <c r="I10561" i="1"/>
  <c r="I10562" i="1"/>
  <c r="I10563" i="1"/>
  <c r="I10564" i="1"/>
  <c r="I10565" i="1"/>
  <c r="I10566" i="1"/>
  <c r="I10567" i="1"/>
  <c r="I10568" i="1"/>
  <c r="I10569" i="1"/>
  <c r="I10570" i="1"/>
  <c r="I10571" i="1"/>
  <c r="I10572" i="1"/>
  <c r="I10573" i="1"/>
  <c r="I10574" i="1"/>
  <c r="I10575" i="1"/>
  <c r="I10576" i="1"/>
  <c r="I10577" i="1"/>
  <c r="I10578" i="1"/>
  <c r="I10579" i="1"/>
  <c r="I10580" i="1"/>
  <c r="I10581" i="1"/>
  <c r="I10582" i="1"/>
  <c r="I10583" i="1"/>
  <c r="I10584" i="1"/>
  <c r="I10585" i="1"/>
  <c r="I10586" i="1"/>
  <c r="I10587" i="1"/>
  <c r="I10588" i="1"/>
  <c r="I10589" i="1"/>
  <c r="I10590" i="1"/>
  <c r="I10591" i="1"/>
  <c r="I10592" i="1"/>
  <c r="I10593" i="1"/>
  <c r="I10594" i="1"/>
  <c r="I10595" i="1"/>
  <c r="I10596" i="1"/>
  <c r="I10597" i="1"/>
  <c r="I10598" i="1"/>
  <c r="I10599" i="1"/>
  <c r="I10600" i="1"/>
  <c r="I10601" i="1"/>
  <c r="I10602" i="1"/>
  <c r="I10603" i="1"/>
  <c r="I10604" i="1"/>
  <c r="I10605" i="1"/>
  <c r="I10606" i="1"/>
  <c r="I10607" i="1"/>
  <c r="I10608" i="1"/>
  <c r="I10609" i="1"/>
  <c r="I10610" i="1"/>
  <c r="I10611" i="1"/>
  <c r="I10612" i="1"/>
  <c r="I10613" i="1"/>
  <c r="I10614" i="1"/>
  <c r="I10615" i="1"/>
  <c r="I10616" i="1"/>
  <c r="I10617" i="1"/>
  <c r="I10618" i="1"/>
  <c r="I10619" i="1"/>
  <c r="I10620" i="1"/>
  <c r="I10621" i="1"/>
  <c r="I10622" i="1"/>
  <c r="I10623" i="1"/>
  <c r="I10624" i="1"/>
  <c r="I10625" i="1"/>
  <c r="I10626" i="1"/>
  <c r="I10627" i="1"/>
  <c r="I10628" i="1"/>
  <c r="I10629" i="1"/>
  <c r="I10630" i="1"/>
  <c r="I10631" i="1"/>
  <c r="I10632" i="1"/>
  <c r="I10633" i="1"/>
  <c r="I10634" i="1"/>
  <c r="I10635" i="1"/>
  <c r="I10636" i="1"/>
  <c r="I10637" i="1"/>
  <c r="I10638" i="1"/>
  <c r="I10639" i="1"/>
  <c r="I10640" i="1"/>
  <c r="I10641" i="1"/>
  <c r="I10642" i="1"/>
  <c r="I10643" i="1"/>
  <c r="I10644" i="1"/>
  <c r="I10645" i="1"/>
  <c r="I10646" i="1"/>
  <c r="I10647" i="1"/>
  <c r="I10648" i="1"/>
  <c r="I10649" i="1"/>
  <c r="I10650" i="1"/>
  <c r="I10651" i="1"/>
  <c r="I10652" i="1"/>
  <c r="I10653" i="1"/>
  <c r="I10654" i="1"/>
  <c r="I10655" i="1"/>
  <c r="I10656" i="1"/>
  <c r="I10657" i="1"/>
  <c r="I10658" i="1"/>
  <c r="I10659" i="1"/>
  <c r="I10660" i="1"/>
  <c r="I10661" i="1"/>
  <c r="I10662" i="1"/>
  <c r="I10663" i="1"/>
  <c r="I10664" i="1"/>
  <c r="I10665" i="1"/>
  <c r="I10666" i="1"/>
  <c r="I10667" i="1"/>
  <c r="I10668" i="1"/>
  <c r="I10669" i="1"/>
  <c r="I10670" i="1"/>
  <c r="I10671" i="1"/>
  <c r="I10672" i="1"/>
  <c r="I10673" i="1"/>
  <c r="I10674" i="1"/>
  <c r="I10675" i="1"/>
  <c r="I10676" i="1"/>
  <c r="I10677" i="1"/>
  <c r="I10678" i="1"/>
  <c r="I10679" i="1"/>
  <c r="I10680" i="1"/>
  <c r="I10681" i="1"/>
  <c r="I10682" i="1"/>
  <c r="I10683" i="1"/>
  <c r="I10684" i="1"/>
  <c r="I10685" i="1"/>
  <c r="I10686" i="1"/>
  <c r="I10687" i="1"/>
  <c r="I10688" i="1"/>
  <c r="I10689" i="1"/>
  <c r="I10690" i="1"/>
  <c r="I10691" i="1"/>
  <c r="I10692" i="1"/>
  <c r="I10693" i="1"/>
  <c r="I10694" i="1"/>
  <c r="D10695" i="1"/>
  <c r="I10695" i="1"/>
  <c r="F10696" i="1"/>
  <c r="I10696" i="1"/>
  <c r="I10697" i="1"/>
  <c r="I10698" i="1"/>
  <c r="I10699" i="1"/>
  <c r="I10700" i="1"/>
  <c r="I10701" i="1"/>
  <c r="I10702" i="1"/>
  <c r="I10703" i="1"/>
  <c r="I10704" i="1"/>
  <c r="I10705" i="1"/>
  <c r="I10706" i="1"/>
  <c r="I10707" i="1"/>
  <c r="I10708" i="1"/>
  <c r="I10709" i="1"/>
  <c r="I10710" i="1"/>
  <c r="I10711" i="1"/>
  <c r="I10712" i="1"/>
  <c r="I10713" i="1"/>
  <c r="I10714" i="1"/>
  <c r="I10715" i="1"/>
  <c r="I10716" i="1"/>
  <c r="I10717" i="1"/>
  <c r="I10718" i="1"/>
  <c r="I10719" i="1"/>
  <c r="I10720" i="1"/>
  <c r="I10721" i="1"/>
  <c r="I10722" i="1"/>
  <c r="I10723" i="1"/>
  <c r="I10724" i="1"/>
  <c r="I10725" i="1"/>
  <c r="I10726" i="1"/>
  <c r="I10727" i="1"/>
  <c r="I10728" i="1"/>
  <c r="I10729" i="1"/>
  <c r="I10730" i="1"/>
  <c r="I10731" i="1"/>
  <c r="I10732" i="1"/>
  <c r="I10733" i="1"/>
  <c r="I10734" i="1"/>
  <c r="I10735" i="1"/>
  <c r="I10736" i="1"/>
</calcChain>
</file>

<file path=xl/sharedStrings.xml><?xml version="1.0" encoding="utf-8"?>
<sst xmlns="http://schemas.openxmlformats.org/spreadsheetml/2006/main" count="46323" uniqueCount="9331">
  <si>
    <t>ELSI Export</t>
  </si>
  <si>
    <t>National Center for Education Statistics - http://nces.ed.gov/ccd/elsi/</t>
  </si>
  <si>
    <t>This is a Public School based table with the following filters applied: State(s) (All Years): California</t>
  </si>
  <si>
    <t>School Name</t>
  </si>
  <si>
    <t>State Name [Public School] Latest available year</t>
  </si>
  <si>
    <t>Full-Time Equivalent (FTE) Teachers [Public School] 2012-13</t>
  </si>
  <si>
    <t>Full-Time Equivalent (FTE) Teachers [Public School] 2011-12</t>
  </si>
  <si>
    <t>Full-Time Equivalent (FTE) Teachers [Public School] 2010-11</t>
  </si>
  <si>
    <t>Pupil/Teacher Ratio [Public School] 2012-13</t>
  </si>
  <si>
    <t>Pupil/Teacher Ratio [Public School] 2011-12</t>
  </si>
  <si>
    <t>Pupil/Teacher Ratio [Public School] 2010-11</t>
  </si>
  <si>
    <t>School ID - NCES Assigned [Public School] Latest available year</t>
  </si>
  <si>
    <t>100 BLACK MEN OF THE BAY AREA COMMUNITY</t>
  </si>
  <si>
    <t>California</t>
  </si>
  <si>
    <t>†</t>
  </si>
  <si>
    <t>180 PROGRAM</t>
  </si>
  <si>
    <t>A PLACE TO GROW</t>
  </si>
  <si>
    <t>–</t>
  </si>
  <si>
    <t>A. E. ARNOLD ELEMENTARY</t>
  </si>
  <si>
    <t>A. G. CURRIE MIDDLE</t>
  </si>
  <si>
    <t>A. J. COOK ELEMENTARY</t>
  </si>
  <si>
    <t>A. J. DORSA ELEMENTARY</t>
  </si>
  <si>
    <t>A. L. CONNER ELEMENTARY</t>
  </si>
  <si>
    <t>A. M. THOMAS MIDDLE</t>
  </si>
  <si>
    <t>A. M. WINN WALDORF-INSPIRED</t>
  </si>
  <si>
    <t>ABBOTT MIDDLE</t>
  </si>
  <si>
    <t>ABBY REINKE ELEMENTARY</t>
  </si>
  <si>
    <t>ABC ADULT</t>
  </si>
  <si>
    <t>ABC SECONDARY (ALTERNATIVE)</t>
  </si>
  <si>
    <t>ABERNATHY COLLEGIATE CHARTER</t>
  </si>
  <si>
    <t>ABRAHAM LINCOLN</t>
  </si>
  <si>
    <t>ABRAHAM LINCOLN ALTERNATIVE</t>
  </si>
  <si>
    <t>ABRAHAM LINCOLN CONTINUATION</t>
  </si>
  <si>
    <t>ABRAHAM LINCOLN ELEMENTARY</t>
  </si>
  <si>
    <t>ABRAHAM LINCOLN HIGH</t>
  </si>
  <si>
    <t>ABRAHAM LINCOLN MIDDLE</t>
  </si>
  <si>
    <t>ABRAHAM LINCOLN SENIOR HIGH</t>
  </si>
  <si>
    <t>ABRAXAS CONTINUATION HIGH</t>
  </si>
  <si>
    <t>ABRAXIS CHARTER</t>
  </si>
  <si>
    <t>ACACIA ELEMENTARY</t>
  </si>
  <si>
    <t>ACACIA MIDDLE</t>
  </si>
  <si>
    <t>ACAD FOR MULTILIGUAL ARTS AND SCI AT MERVYN M. DYM</t>
  </si>
  <si>
    <t>ACAD OF ARTS AND SCIS: EL CAJON MIDDLE AND HIGH (6</t>
  </si>
  <si>
    <t>ACAD OF ENVIRONMENTAL &amp; SOC POLICY (ESP) AT ROOSEV</t>
  </si>
  <si>
    <t>ACADEMIA AVANCE CHARTER</t>
  </si>
  <si>
    <t>ACADEMIA MODERNA</t>
  </si>
  <si>
    <t>ACADEMIC/VOCATIONAL CHARTER INSTITUTE</t>
  </si>
  <si>
    <t>ACADEMIES OF EDUCATION AND EMPOWERMENT AT CARSON H</t>
  </si>
  <si>
    <t>ACADEMIES OF THE ANTELOPE VALLEY</t>
  </si>
  <si>
    <t>ACADEMY FOR ACADEMIC EXCELLENCE</t>
  </si>
  <si>
    <t>ACADEMY FOR CAREER EDUCATION CHARTER</t>
  </si>
  <si>
    <t>ACADEMY FOR CHANGE</t>
  </si>
  <si>
    <t>ACADEMY FOR ENRICHED SCIENCES</t>
  </si>
  <si>
    <t>ACADEMY OF ARTS AND SCIENCES</t>
  </si>
  <si>
    <t>ACADEMY OF ARTS AND SCIENCES: DEL MAR ELEMENTARY (</t>
  </si>
  <si>
    <t>ACADEMY OF ARTS AND SCIENCES: DEL MAR MIDDLE &amp; HIG</t>
  </si>
  <si>
    <t>ACADEMY OF ARTS AND SCIENCES: EL CAJON ELEMENTARY</t>
  </si>
  <si>
    <t>ACADEMY OF ARTS AND SCIENCES: OXNARD &amp; VENTURA</t>
  </si>
  <si>
    <t>ACADEMY OF ARTS AND SCIENCES: SONOMA</t>
  </si>
  <si>
    <t>ACADEMY OF ARTS AND SCIENCES: THOUSAND OAKS &amp; SIMI</t>
  </si>
  <si>
    <t>ACADEMY OF CAREERS AND EXPLORATION</t>
  </si>
  <si>
    <t>ACADEMY OF MEDICAL &amp; HEALTH SCIENCES AT ROOSEVELT</t>
  </si>
  <si>
    <t>ACADEMY OF MEDICAL ARTS AT CARSON HIGH</t>
  </si>
  <si>
    <t>ACADEMY OF PERFORMING ARTS AND FOREIGN LANGUAGE</t>
  </si>
  <si>
    <t>ACADEMY OF PERSONALIZED LEARNING</t>
  </si>
  <si>
    <t>ACADEMY OF SCIENCE AND ENGINEERING</t>
  </si>
  <si>
    <t>ACADEMY OF TECHNOLOGY &amp; LEADERSHIP AT SATICOY</t>
  </si>
  <si>
    <t>ACADEMY OF THE CANYONS</t>
  </si>
  <si>
    <t>ACADEMY OF THE REDWOODS</t>
  </si>
  <si>
    <t>ACADEMY PERFORMING PRESCHOOL</t>
  </si>
  <si>
    <t>ACALANES CENTER FOR INDEPENDENT STUDY</t>
  </si>
  <si>
    <t>ACALANES HIGH</t>
  </si>
  <si>
    <t>ACCELERATED</t>
  </si>
  <si>
    <t>ACCELERATED ACHIEVEMENT ACADEMY</t>
  </si>
  <si>
    <t>ACCELERATED ELEMENTARY CHARTER</t>
  </si>
  <si>
    <t>ACCESS COUNTY COMMUNITY</t>
  </si>
  <si>
    <t>ACCESS JUVENILE HALL</t>
  </si>
  <si>
    <t>ACE CHARTER HIGH</t>
  </si>
  <si>
    <t>ACE EMPOWER ACADEMY</t>
  </si>
  <si>
    <t>ACHIEVE ACADEMY</t>
  </si>
  <si>
    <t>ACHIEVE CHARTER SCHOOL OF PARADISE INC.</t>
  </si>
  <si>
    <t>ACORN WOODLAND ELEMENTARY</t>
  </si>
  <si>
    <t>ADA CLEGG ELEMENTARY</t>
  </si>
  <si>
    <t>ADA GIVENS ELEMENTARY</t>
  </si>
  <si>
    <t>ADA S. NELSON ELEMENTARY</t>
  </si>
  <si>
    <t>ADA W. HARRIS ELEMENTARY</t>
  </si>
  <si>
    <t>ADALINE E. KENT MIDDLE</t>
  </si>
  <si>
    <t>ADAM (WILLIAM LAIRD) ELEMENTARY</t>
  </si>
  <si>
    <t>ADAMS (J. DOUGLAS) MIDDLE</t>
  </si>
  <si>
    <t>ADAMS ELEMENTARY</t>
  </si>
  <si>
    <t>ADAMS MIDDLE</t>
  </si>
  <si>
    <t>ADDAMS ELEMENTARY</t>
  </si>
  <si>
    <t>ADDISON ELEMENTARY</t>
  </si>
  <si>
    <t>ADELANTE CHARTER</t>
  </si>
  <si>
    <t>ADELANTE DUAL LANGUAGE ACADEMY</t>
  </si>
  <si>
    <t>ADELANTE HIGH</t>
  </si>
  <si>
    <t>ADELANTE HIGH (CONTINUATION)</t>
  </si>
  <si>
    <t>ADELANTE SPANISH IMMERSION</t>
  </si>
  <si>
    <t>ADELANTO CHARTER ACADEMY</t>
  </si>
  <si>
    <t>ADELANTO ELEMENTARY</t>
  </si>
  <si>
    <t>ADELANTO HIGH</t>
  </si>
  <si>
    <t>ADELE HARRISON MIDDLE</t>
  </si>
  <si>
    <t>ADOBE BLUFFS ELEMENTARY</t>
  </si>
  <si>
    <t>ADOLFO CAMARILLO HIGH</t>
  </si>
  <si>
    <t>ADRIAN WILCOX HIGH</t>
  </si>
  <si>
    <t>ADULT EDUCATION</t>
  </si>
  <si>
    <t>AEOLIAN ELEMENTARY</t>
  </si>
  <si>
    <t>AFFLERBAUGH-PAIGE CAMP</t>
  </si>
  <si>
    <t>AGGELER COMMUNITY DAY</t>
  </si>
  <si>
    <t>AGNES J. JOHNSON  ELEMENTARY</t>
  </si>
  <si>
    <t>AGNES L. SMITH ELEMENTARY</t>
  </si>
  <si>
    <t>AGNES M. BAPTIST ELEMENTARY</t>
  </si>
  <si>
    <t>AGNES WARE STANLEY ELEMENTARY</t>
  </si>
  <si>
    <t>AGOURA HIGH</t>
  </si>
  <si>
    <t>AGUA CALIENTE ELEMENTARY</t>
  </si>
  <si>
    <t>AGUA DULCE ELEMENTARY</t>
  </si>
  <si>
    <t>AHWAHNEE HIGH</t>
  </si>
  <si>
    <t>AHWAHNEE MIDDLE</t>
  </si>
  <si>
    <t>AILEEN COLBURN ELEMENTARY</t>
  </si>
  <si>
    <t>AKERS ELEMENTARY</t>
  </si>
  <si>
    <t>AKIRA YOKOMI ELEMENTARY</t>
  </si>
  <si>
    <t>ALABAMA HILLS COMMUNITY DAY</t>
  </si>
  <si>
    <t>ALAIN LEROY LOCKE COLLEGE PREP ACADEMY</t>
  </si>
  <si>
    <t>ALAMEDA COMMUNITY LEARNING CENTER</t>
  </si>
  <si>
    <t>ALAMEDA COUNTY COMMUNITY</t>
  </si>
  <si>
    <t>ALAMEDA COUNTY JUVENILE HALL/COURT</t>
  </si>
  <si>
    <t>ALAMEDA COUNTY OPPORTUNITY</t>
  </si>
  <si>
    <t>ALAMEDA COUNTY SPECIAL EDUCATION</t>
  </si>
  <si>
    <t>ALAMEDA ELEMENTARY</t>
  </si>
  <si>
    <t>ALAMEDA HIGH</t>
  </si>
  <si>
    <t>ALAMEDA SCIENCE AND TECHNOLOGY INSTITUTE</t>
  </si>
  <si>
    <t>ALAMITOS INTERMEDIATE</t>
  </si>
  <si>
    <t>ALAMO ELEMENTARY</t>
  </si>
  <si>
    <t>ALAMOS ELEMENTARY</t>
  </si>
  <si>
    <t>ALAMOSA PARK ELEMENTARY</t>
  </si>
  <si>
    <t>ALBA</t>
  </si>
  <si>
    <t>ALBANY CHILDREN'S CENTER</t>
  </si>
  <si>
    <t>ALBANY HIGH</t>
  </si>
  <si>
    <t>ALBANY MIDDLE</t>
  </si>
  <si>
    <t>ALBANY PARK ELEMENTARY</t>
  </si>
  <si>
    <t>ALBERT A. MICHELSON ELEMENTARY</t>
  </si>
  <si>
    <t>ALBERT BAXTER ELEMENTARY</t>
  </si>
  <si>
    <t>ALBERT EINSTEIN ACAD FOR LTRS ARTS AND SCIS - VEN</t>
  </si>
  <si>
    <t>ALBERT EINSTEIN ACADEMY CHARTER MIDDLE</t>
  </si>
  <si>
    <t>ALBERT EINSTEIN ACADEMY FOR LETTERS ARTS AND SCIE</t>
  </si>
  <si>
    <t>ALBERT EINSTEIN CONTINUATION</t>
  </si>
  <si>
    <t>ALBERT EINSTEIN MIDDLE</t>
  </si>
  <si>
    <t>ALBERT F. BIELLA ELEMENTARY</t>
  </si>
  <si>
    <t>ALBERT POWELL CONTINUATION</t>
  </si>
  <si>
    <t>ALBERT SCHWEITZER ELEMENTARY</t>
  </si>
  <si>
    <t>ALBERTA MARTONE ELEMENTARY</t>
  </si>
  <si>
    <t>ALBION ELEMENTARY</t>
  </si>
  <si>
    <t>ALBION STREET ELEMENTARY</t>
  </si>
  <si>
    <t>ALCOTT ELEMENTARY</t>
  </si>
  <si>
    <t>ALDAMA ELEMENTARY</t>
  </si>
  <si>
    <t>ALDER CREEK MIDDLE</t>
  </si>
  <si>
    <t>ALDER GROVE CHARTER</t>
  </si>
  <si>
    <t>ALDER MIDDLE</t>
  </si>
  <si>
    <t>ALDERWOOD ELEMENTARY</t>
  </si>
  <si>
    <t>ALESSANDRO</t>
  </si>
  <si>
    <t>ALESSANDRO HIGH</t>
  </si>
  <si>
    <t>ALEXANDER FLEMING MIDDLE</t>
  </si>
  <si>
    <t>ALEXANDER HAMILTON ELEMENTARY</t>
  </si>
  <si>
    <t>ALEXANDER HAMILTON SENIOR HIGH</t>
  </si>
  <si>
    <t>ALEXANDER ROSE ELEMENTARY</t>
  </si>
  <si>
    <t>ALEXANDER VALLEY ELEMENTARY</t>
  </si>
  <si>
    <t>ALEXANDRIA AVENUE ELEMENTARY</t>
  </si>
  <si>
    <t>ALFRED B. NOBEL CHARTER MIDDLE</t>
  </si>
  <si>
    <t>ALFRED S. MADRID MIDDLE</t>
  </si>
  <si>
    <t>ALHAMBRA HIGH</t>
  </si>
  <si>
    <t>ALHAMBRA SENIOR HIGH</t>
  </si>
  <si>
    <t>ALIANZA CHARTER</t>
  </si>
  <si>
    <t>ALICANTE AVENUE ELEMENTARY</t>
  </si>
  <si>
    <t>ALICE BIRNEY ELEMENTARY</t>
  </si>
  <si>
    <t>ALICE BIRNEY WALDORF-INSPIRED</t>
  </si>
  <si>
    <t>ALICE C. STELLE MIDDLE</t>
  </si>
  <si>
    <t>ALICE M. BIRNEY ELEMENTARY</t>
  </si>
  <si>
    <t>ALICE M. ELLINGTON ELEMENTARY</t>
  </si>
  <si>
    <t>ALICE N. STROUD ELEMENTARY</t>
  </si>
  <si>
    <t>ALICE SHAW ELEMENTARY</t>
  </si>
  <si>
    <t>ALICIA CORTEZ ELEMENTARY</t>
  </si>
  <si>
    <t>ALICIA REYES ELEMENTARY</t>
  </si>
  <si>
    <t>ALILA</t>
  </si>
  <si>
    <t>ALISAL COMMUNITY</t>
  </si>
  <si>
    <t>ALISAL ELEMENTARY</t>
  </si>
  <si>
    <t>ALISAL HIGH</t>
  </si>
  <si>
    <t>ALISO ELEMENTARY</t>
  </si>
  <si>
    <t>ALISO NIGUEL HIGH</t>
  </si>
  <si>
    <t>ALISO VIEJO MIDDLE</t>
  </si>
  <si>
    <t>ALL TRIBES CHARTER</t>
  </si>
  <si>
    <t>ALL TRIBES ELEMENTARY CHARTER</t>
  </si>
  <si>
    <t>ALLAN ORRENMAA ELEMENTARY</t>
  </si>
  <si>
    <t>ALLAN PETERSON ELEMENTARY</t>
  </si>
  <si>
    <t>ALLEN (DECIMA M.) ELEMENTARY</t>
  </si>
  <si>
    <t>ALLEN (ELLA B.) ELEMENTARY</t>
  </si>
  <si>
    <t>ALLEN AT STEINBECK</t>
  </si>
  <si>
    <t>ALLEN AVENUE ELEMENTARY</t>
  </si>
  <si>
    <t>ALLENDALE ELEMENTARY</t>
  </si>
  <si>
    <t>ALLENSWORTH ELEMENTARY</t>
  </si>
  <si>
    <t>ALLESANDRO ELEMENTARY</t>
  </si>
  <si>
    <t>ALLIANCE ACADEMY</t>
  </si>
  <si>
    <t>ALLIANCE CHRISTINE O'DONOVAN MIDDLE ACADEMY</t>
  </si>
  <si>
    <t>ALLIANCE CINDY AND BILL SIMON TECHNOLOGY ACADEMY H</t>
  </si>
  <si>
    <t>ALLIANCE COLLEGE-READY ACADEMY HIGH NO. 16</t>
  </si>
  <si>
    <t>ALLIANCE COLLEGE-READY ACADEMY HIGH NO. 18</t>
  </si>
  <si>
    <t>ALLIANCE COLLEGE-READY ACADEMY HIGH NO. 20</t>
  </si>
  <si>
    <t>ALLIANCE COLLEGE-READY ACADEMY HIGH NO. 5</t>
  </si>
  <si>
    <t>ALLIANCE COLLEGE-READY ACADEMY HIGH NO. 7</t>
  </si>
  <si>
    <t>ALLIANCE COLLEGE-READY MIDDLE ACADEMY NO. 10</t>
  </si>
  <si>
    <t>ALLIANCE COLLEGE-READY MIDDLE ACADEMY NO. 12</t>
  </si>
  <si>
    <t>ALLIANCE COLLEGE-READY MIDDLE ACADEMY NO. 4</t>
  </si>
  <si>
    <t>ALLIANCE COLLEGE-READY MIDDLE ACADEMY NO. 5</t>
  </si>
  <si>
    <t>ALLIANCE COLLEGE-READY MIDDLE ACADEMY NO. 7</t>
  </si>
  <si>
    <t>ALLIANCE COLLEGE-READY MIDDLE ACADEMY NO. 8</t>
  </si>
  <si>
    <t>ALLIANCE COLLEGE-READY MIDDLE ACADEMY NO. 9</t>
  </si>
  <si>
    <t>ALLIANCE DR. OLGA MOHAN HIGH</t>
  </si>
  <si>
    <t>ALLIANCE ENVIRONMENTAL SCIENCE AND TECHNOLOGY HIGH</t>
  </si>
  <si>
    <t>ALLIANCE GERTZ-RESSLER RICHARD MERKIN 6-12 COMPLEX</t>
  </si>
  <si>
    <t>ALLIANCE HEALTH SERVICES ACADEMY HIGH</t>
  </si>
  <si>
    <t>ALLIANCE HUNTINGTON PARK COLLEGE-READY ACADEMY HIG</t>
  </si>
  <si>
    <t>ALLIANCE JACK H. SKIRBALL MIDDLE</t>
  </si>
  <si>
    <t>ALLIANCE JUDY IVIE BURTON TECHNOLOGY ACADEMY HIGH</t>
  </si>
  <si>
    <t>ALLIANCE MARC &amp; EVA STERN MATH AND SCIENCE</t>
  </si>
  <si>
    <t>ALLIANCE MEDIA ARTS AND ENTERTAINMENT DESIGN HIGH</t>
  </si>
  <si>
    <t>ALLIANCE OUCHI-O'DONOVAN 6-12 COMPLEX</t>
  </si>
  <si>
    <t>ALLIANCE RENEE AND MEYER LUSKIN ACADEMY HIGH</t>
  </si>
  <si>
    <t>ALLIANCE RICHARD MERKIN MIDDLE</t>
  </si>
  <si>
    <t>ALLIANCE SUSAN AND ERIC SMIDT TECHNOLOGY HIGH</t>
  </si>
  <si>
    <t>ALLIANCE TENNENBAUM FAMILY TECHNOLOGY HIGH</t>
  </si>
  <si>
    <t>ALLISON ELEMENTARY</t>
  </si>
  <si>
    <t>ALMA PRESCHOOL</t>
  </si>
  <si>
    <t>ALMADEN ELEMENTARY</t>
  </si>
  <si>
    <t>ALMANOR HIGH (CONTINUATION)</t>
  </si>
  <si>
    <t>ALMERIA MIDDLE</t>
  </si>
  <si>
    <t>ALMOND ACRES CHARTER ACADEMY</t>
  </si>
  <si>
    <t>ALMOND ELEMENTARY</t>
  </si>
  <si>
    <t>ALMOND TREE MIDDLE</t>
  </si>
  <si>
    <t>ALMONDALE ELEMENTARY</t>
  </si>
  <si>
    <t>ALOHA ELEMENTARY</t>
  </si>
  <si>
    <t>ALONDRA MIDDLE</t>
  </si>
  <si>
    <t>ALPAUGH ACHIEVEMENT ACADEMY CHARTER</t>
  </si>
  <si>
    <t>ALPAUGH ELEMENTARY</t>
  </si>
  <si>
    <t>ALPAUGH JUNIOR-SENIOR HIGH</t>
  </si>
  <si>
    <t>ALPHA CHARTER</t>
  </si>
  <si>
    <t>ALPHA ELEMENTARY</t>
  </si>
  <si>
    <t>ALPHA TECHNOLOGY MIDDLE</t>
  </si>
  <si>
    <t>ALPHA: BLANCA ALVARADO MIDDLE</t>
  </si>
  <si>
    <t>ALPHONSO B. PEREZ SPECIAL EDUCATION CENTER</t>
  </si>
  <si>
    <t>ALPINE CO ELEMENTARY COMMUNITY DAY</t>
  </si>
  <si>
    <t>ALPINE COMMUNITY DAY</t>
  </si>
  <si>
    <t>ALPINE COUNTY OPPORTUNITY</t>
  </si>
  <si>
    <t>ALPINE COUNTY SECONDARY COMMUNITY DAY</t>
  </si>
  <si>
    <t>ALPINE ELEMENTARY</t>
  </si>
  <si>
    <t>ALPINE VISTA</t>
  </si>
  <si>
    <t>ALPS VIEW HIGH (CONTINUATION)</t>
  </si>
  <si>
    <t>ALTA CALIFORNIA ELEMENTARY</t>
  </si>
  <si>
    <t>ALTA ELEMENTARY</t>
  </si>
  <si>
    <t>ALTA HEIGHTS ELEMENTARY</t>
  </si>
  <si>
    <t>ALTA LOMA ELEMENTARY</t>
  </si>
  <si>
    <t>ALTA LOMA HIGH</t>
  </si>
  <si>
    <t>ALTA LOMA JUNIOR HIGH</t>
  </si>
  <si>
    <t>ALTA LOMA MIDDLE</t>
  </si>
  <si>
    <t>ALTA MESA ELEMENTARY</t>
  </si>
  <si>
    <t>ALTA MURRIETA ELEMENTARY</t>
  </si>
  <si>
    <t>ALTA SIERRA ELEMENTARY</t>
  </si>
  <si>
    <t>ALTA SIERRA INTERMEDIATE</t>
  </si>
  <si>
    <t>ALTA VISTA ACADEMY</t>
  </si>
  <si>
    <t>ALTA VISTA ALTERNATIVE HIGH</t>
  </si>
  <si>
    <t>ALTA VISTA ALTERNATIVE JUNIOR HIGH</t>
  </si>
  <si>
    <t>ALTA VISTA COMMUNITY CHARTER</t>
  </si>
  <si>
    <t>ALTA VISTA ELEMENTARY</t>
  </si>
  <si>
    <t>ALTA VISTA HIGH</t>
  </si>
  <si>
    <t>ALTA VISTA HIGH (CONTINUATION)</t>
  </si>
  <si>
    <t>ALTA VISTA PUBLIC</t>
  </si>
  <si>
    <t>ALTA-DUTCH FLAT ELEMENTARY</t>
  </si>
  <si>
    <t>ALTADENA ELEMENTARY</t>
  </si>
  <si>
    <t>ALTAMONT CREEK ELEMENTARY</t>
  </si>
  <si>
    <t>ALTERNATIVE COOPERATIVE EDUCATION CHARTER</t>
  </si>
  <si>
    <t>ALTERNATIVE EDUCATION-SAN JOAQUIN HIGH</t>
  </si>
  <si>
    <t>ALTERNATIVE FAMILY EDUCATION</t>
  </si>
  <si>
    <t>ALTERNATIVE LEARNING ACADEMY AT CONLEY-CARABALLO H</t>
  </si>
  <si>
    <t>ALTERNATIVE LEARNING CENTER</t>
  </si>
  <si>
    <t>ALTERNATIVE OPPORTUNITY PROGRAMS</t>
  </si>
  <si>
    <t>ALTIMIRA MIDDLE</t>
  </si>
  <si>
    <t>ALTURAS COMMUNITY DAY</t>
  </si>
  <si>
    <t>ALTURAS ELEMENTARY</t>
  </si>
  <si>
    <t>ALVARADO ELEMENTARY</t>
  </si>
  <si>
    <t>ALVARADO INTERMEDIATE</t>
  </si>
  <si>
    <t>ALVARADO MIDDLE</t>
  </si>
  <si>
    <t>ALVIEW ELEMENTARY</t>
  </si>
  <si>
    <t>ALVIN ELEMENTARY</t>
  </si>
  <si>
    <t>ALVIN M. DUNN ELEMENTARY</t>
  </si>
  <si>
    <t>ALVIN S. HATCH ELEMENTARY</t>
  </si>
  <si>
    <t>ALVINA ELEMENTARY CHARTER</t>
  </si>
  <si>
    <t>ALVORD ALTERNATIVE EDUCATION CENTER</t>
  </si>
  <si>
    <t>ALVORD CONTINUATION HIGH</t>
  </si>
  <si>
    <t>AMADOR COUNTY ROP</t>
  </si>
  <si>
    <t>AMADOR COUNTY SPECIAL EDUCATION</t>
  </si>
  <si>
    <t>AMADOR HIGH</t>
  </si>
  <si>
    <t>AMADOR VALLEY HIGH</t>
  </si>
  <si>
    <t>AMANECER PRIMARY CENTER</t>
  </si>
  <si>
    <t>AMARGOSA CREEK MIDDLE</t>
  </si>
  <si>
    <t>AMBASSADOR PHILLIP V. SANCHEZ PUBLIC CHARTER</t>
  </si>
  <si>
    <t>AMBLER AVENUE ELEMENTARY</t>
  </si>
  <si>
    <t>AMELIA EARHART CONTINUATION</t>
  </si>
  <si>
    <t>AMELIA EARHART ELEMENTARY</t>
  </si>
  <si>
    <t>AMELIA EARHART ELEMENTARY SCHOOL OF INTERNATIONAL</t>
  </si>
  <si>
    <t>AMELIA EARHART MIDDLE</t>
  </si>
  <si>
    <t>AMERICA'S FINEST CHARTER</t>
  </si>
  <si>
    <t>AMERICAN CANYON HIGH</t>
  </si>
  <si>
    <t>AMERICAN CANYON MIDDLE</t>
  </si>
  <si>
    <t>AMERICAN ELEMENTARY</t>
  </si>
  <si>
    <t>AMERICAN HIGH</t>
  </si>
  <si>
    <t>AMERICAN INDIAN PUBLIC CHARTER</t>
  </si>
  <si>
    <t>AMERICAN INDIAN PUBLIC CHARTER SCHOOL II</t>
  </si>
  <si>
    <t>AMERICAN INDIAN PUBLIC HIGH</t>
  </si>
  <si>
    <t>AMERICAN LAKES ELEMENTARY</t>
  </si>
  <si>
    <t>AMERICAN LEGION HIGH (CONTINUATION)</t>
  </si>
  <si>
    <t>AMERICAN RIVER CHARTER</t>
  </si>
  <si>
    <t>AMERICAN UNION ELEMENTARY</t>
  </si>
  <si>
    <t>AMESTI ELEMENTARY</t>
  </si>
  <si>
    <t>AMESTOY ELEMENTARY</t>
  </si>
  <si>
    <t>AMISTAD HIGH (CONTINUATION)</t>
  </si>
  <si>
    <t>AMY B. SEIBERT ELEMENTARY</t>
  </si>
  <si>
    <t>ANACAPA MIDDLE</t>
  </si>
  <si>
    <t>ANAHEIM HIGH</t>
  </si>
  <si>
    <t>ANAHEIM HILLS ELEMENTARY</t>
  </si>
  <si>
    <t>ANAHUACALMECAC UNIVERSITY PREPARATORY HIGH</t>
  </si>
  <si>
    <t>ANALY HIGH</t>
  </si>
  <si>
    <t>ANATOLA AVENUE ELEMENTARY</t>
  </si>
  <si>
    <t>ANAVERDE HILLS</t>
  </si>
  <si>
    <t>ANCHOR ACADEMY CHARTER</t>
  </si>
  <si>
    <t>ANDASOL AVENUE ELEMENTARY</t>
  </si>
  <si>
    <t>ANDERSON</t>
  </si>
  <si>
    <t>ANDERSON (ALEX) ELEMENTARY</t>
  </si>
  <si>
    <t>ANDERSON (LINFORD L.) ELEMENTARY</t>
  </si>
  <si>
    <t>ANDERSON COMMUNITY DAY</t>
  </si>
  <si>
    <t>ANDERSON COMMUNITY DAY TRANSITION</t>
  </si>
  <si>
    <t>ANDERSON ELEMENTARY</t>
  </si>
  <si>
    <t>ANDERSON HEIGHTS ELEMENTARY</t>
  </si>
  <si>
    <t>ANDERSON HIGH</t>
  </si>
  <si>
    <t>ANDERSON MIDDLE</t>
  </si>
  <si>
    <t>ANDERSON NEW TECHNOLOGY HIGH</t>
  </si>
  <si>
    <t>ANDERSON VALLEY ELEMENTARY</t>
  </si>
  <si>
    <t>ANDERSON VALLEY JUNIOR-SENIOR HIGH</t>
  </si>
  <si>
    <t>ANDERSON W. CLARK MAGNET HIGH</t>
  </si>
  <si>
    <t>ANDRES AND MARIA CARDENAS ELEMENTARY</t>
  </si>
  <si>
    <t>ANDRES DUARTE ELEMENTARY</t>
  </si>
  <si>
    <t>ANDREW CARNEGIE MIDDLE</t>
  </si>
  <si>
    <t>ANDREW JACKSON ELEMENTARY</t>
  </si>
  <si>
    <t>ANDREW N. CHRISTENSEN MIDDLE</t>
  </si>
  <si>
    <t>ANDREW P. HILL HIGH</t>
  </si>
  <si>
    <t>ANDROS KARPEROS</t>
  </si>
  <si>
    <t>ANGEL'S GATE (CONTINUATION)</t>
  </si>
  <si>
    <t>ANGELES MESA ELEMENTARY</t>
  </si>
  <si>
    <t>ANGELO RODRIGUEZ HIGH</t>
  </si>
  <si>
    <t>ANGIER ELEMENTARY</t>
  </si>
  <si>
    <t>ANIMO ALAIN LEROY LOCKE CHARTER HIGH</t>
  </si>
  <si>
    <t>ANIMO CHARTER MIDDLE NO. 1</t>
  </si>
  <si>
    <t>ANIMO CHARTER MIDDLE NO. 2</t>
  </si>
  <si>
    <t>ANIMO CHARTER MIDDLE NO. 3</t>
  </si>
  <si>
    <t>ANIMO CHARTER MIDDLE NO. 4</t>
  </si>
  <si>
    <t>ANIMO COLLEGE PREPARATORY ACADEMY</t>
  </si>
  <si>
    <t>ANIMO INGLEWOOD CHARTER HIGH</t>
  </si>
  <si>
    <t>ANIMO JACKIE ROBINSON HIGH</t>
  </si>
  <si>
    <t>ANIMO JEFFERSON CHARTER MIDDLE</t>
  </si>
  <si>
    <t>ANIMO LEADERSHIP HIGH</t>
  </si>
  <si>
    <t>ANIMO LOCKE ACE ACADEMY</t>
  </si>
  <si>
    <t>ANIMO LOCKE CHARTER HIGH SCHOOL #2</t>
  </si>
  <si>
    <t>ANIMO LOCKE CHARTER HS #3</t>
  </si>
  <si>
    <t>ANIMO LOCKE TECHNOLOGY HIGH</t>
  </si>
  <si>
    <t>ANIMO PAT BROWN</t>
  </si>
  <si>
    <t>ANIMO RALPH BUNCHE HIGH</t>
  </si>
  <si>
    <t>ANIMO SOUTH LOS ANGELES CHARTER</t>
  </si>
  <si>
    <t>ANIMO VENICE CHARTER HIGH</t>
  </si>
  <si>
    <t>ANIMO WATTS COLLEGE PREPARATORY ACADEMY</t>
  </si>
  <si>
    <t>ANIMO WESTSIDE CHARTER MIDDLE</t>
  </si>
  <si>
    <t>ANN B. LEAVENWORTH</t>
  </si>
  <si>
    <t>ANN SOBRATO HIGH</t>
  </si>
  <si>
    <t>ANN SOLDO ELEMENTARY</t>
  </si>
  <si>
    <t>ANN STREET ELEMENTARY</t>
  </si>
  <si>
    <t>ANNA A. BORBA FUNDAMENTAL ELEMENTARY</t>
  </si>
  <si>
    <t>ANNA HAUSE ELEMENTARY</t>
  </si>
  <si>
    <t>ANNA KIRCHGATER ELEMENTARY</t>
  </si>
  <si>
    <t>ANNA KYLE ELEMENTARY</t>
  </si>
  <si>
    <t>ANNA M. GLAZIER ELEMENTARY</t>
  </si>
  <si>
    <t>ANNA MCKENNEY INTERMEDIATE</t>
  </si>
  <si>
    <t>ANNA YATES ELEMENTARY</t>
  </si>
  <si>
    <t>ANNALEE AVENUE ELEMENTARY</t>
  </si>
  <si>
    <t>ANNANDALE ELEMENTARY</t>
  </si>
  <si>
    <t>ANNE DARLING ELEMENTARY</t>
  </si>
  <si>
    <t>ANNIE E. CHENEY KINDERGARTEN</t>
  </si>
  <si>
    <t>ANNIE PENNYCOOK ELEMENTARY</t>
  </si>
  <si>
    <t>ANNIE R. MITCHELL</t>
  </si>
  <si>
    <t>ANSEL ADAMS</t>
  </si>
  <si>
    <t>ANSGAR LARSEN ELEMENTARY</t>
  </si>
  <si>
    <t>ANTECELLO PREPARATORY ACADEMY</t>
  </si>
  <si>
    <t>ANTELOPE COMMUNITY DAY</t>
  </si>
  <si>
    <t>ANTELOPE CREEK ELEMENTARY</t>
  </si>
  <si>
    <t>ANTELOPE CROSSING MIDDLE</t>
  </si>
  <si>
    <t>ANTELOPE ELEMENTARY</t>
  </si>
  <si>
    <t>ANTELOPE HIGH</t>
  </si>
  <si>
    <t>ANTELOPE HILLS ELEMENTARY</t>
  </si>
  <si>
    <t>ANTELOPE MEADOWS ELEMENTARY</t>
  </si>
  <si>
    <t>ANTELOPE VALLEY COMMUNITY DAY</t>
  </si>
  <si>
    <t>ANTELOPE VALLEY HIGH</t>
  </si>
  <si>
    <t>ANTELOPE VALLEY LEARNING ACADEMY</t>
  </si>
  <si>
    <t>ANTELOPE VALLEY ROP</t>
  </si>
  <si>
    <t>ANTELOPE VIEW CHARTER</t>
  </si>
  <si>
    <t>ANTHONY C. TRAINA ELEMENTARY</t>
  </si>
  <si>
    <t>ANTHONY G. BACICH ELEMENTARY</t>
  </si>
  <si>
    <t>ANTHONY P. RUSSO ACADEMY</t>
  </si>
  <si>
    <t>ANTHONY SPANGLER ELEMENTARY</t>
  </si>
  <si>
    <t>ANTHONY W. OCHOA MIDDLE</t>
  </si>
  <si>
    <t>ANTIOCH CHARTER ACADEMY</t>
  </si>
  <si>
    <t>ANTIOCH CHARTER ACADEMY II</t>
  </si>
  <si>
    <t>ANTIOCH HIGH</t>
  </si>
  <si>
    <t>ANTIOCH MIDDLE</t>
  </si>
  <si>
    <t>ANTONIO DEL BUONO ELEMENTARY</t>
  </si>
  <si>
    <t>ANZA ELEMENTARY</t>
  </si>
  <si>
    <t>ANZAR HIGH</t>
  </si>
  <si>
    <t>APEX ACADEMY</t>
  </si>
  <si>
    <t>APOLLO ELEMENTARY COMMUNITY DAY</t>
  </si>
  <si>
    <t>APOLLO HIGH</t>
  </si>
  <si>
    <t>APPERSON STREET ELEMENTARY</t>
  </si>
  <si>
    <t>APPLE ACADEMY CHARTER PUBLIC</t>
  </si>
  <si>
    <t>APPLE BLOSSOM</t>
  </si>
  <si>
    <t>APPLE VALLEY HIGH</t>
  </si>
  <si>
    <t>APPLE VALLEY UNIFIED PRESCHOOL SPECIAL EDUCATION</t>
  </si>
  <si>
    <t>APPLIED TECHNOLOGY CENTER</t>
  </si>
  <si>
    <t>APRICOT VALLEY ELEMENTARY</t>
  </si>
  <si>
    <t>APRIL LANE ELEMENTARY</t>
  </si>
  <si>
    <t>APTITUD COMMUNITY ACADEMY AT GOSS</t>
  </si>
  <si>
    <t>APTOS HIGH</t>
  </si>
  <si>
    <t>APTOS JUNIOR HIGH</t>
  </si>
  <si>
    <t>APTOS MIDDLE</t>
  </si>
  <si>
    <t>ARAGON AVENUE ELEMENTARY</t>
  </si>
  <si>
    <t>ARAGON HIGH</t>
  </si>
  <si>
    <t>ARARAT CHARTER</t>
  </si>
  <si>
    <t>ARBOGA ELEMENTARY</t>
  </si>
  <si>
    <t>ARBOLITA ELEMENTARY</t>
  </si>
  <si>
    <t>ARBUCKLE ALTERNATIVE HIGH (CONTINUATION)</t>
  </si>
  <si>
    <t>ARBUCKLE ELEMENTARY</t>
  </si>
  <si>
    <t>ARCADE FUNDAMENTAL MIDDLE</t>
  </si>
  <si>
    <t>ARCADIA HIGH</t>
  </si>
  <si>
    <t>ARCATA ELEMENTARY</t>
  </si>
  <si>
    <t>ARCATA HIGH</t>
  </si>
  <si>
    <t>ARCHITECTURE CONSTRUCTION &amp; ENGINEERING CHARTER H</t>
  </si>
  <si>
    <t>ARCHWAYS COMMUNITY DAY</t>
  </si>
  <si>
    <t>ARCOHE ELEMENTARY</t>
  </si>
  <si>
    <t>ARDEN MIDDLE</t>
  </si>
  <si>
    <t>ARDENWOOD ELEMENTARY</t>
  </si>
  <si>
    <t>ARDIS G. EGAN JUNIOR HIGH</t>
  </si>
  <si>
    <t>ARELLANES (DON JUAN BAUTISTA) ELEMENTARY</t>
  </si>
  <si>
    <t>ARELLANES JUNIOR HIGH</t>
  </si>
  <si>
    <t>ARENA ELEMENTARY</t>
  </si>
  <si>
    <t>ARENA HIGH (CONTINUATION)</t>
  </si>
  <si>
    <t>ARGONAUT ELEMENTARY</t>
  </si>
  <si>
    <t>ARGONAUT HIGH</t>
  </si>
  <si>
    <t>ARGONNE ELEMENTARY</t>
  </si>
  <si>
    <t>ARGUS HIGH (CONTINUATION)</t>
  </si>
  <si>
    <t>ARISE HIGH</t>
  </si>
  <si>
    <t>ARIZONA MIDDLE</t>
  </si>
  <si>
    <t>ARK INDEPENDENT STUDIES</t>
  </si>
  <si>
    <t>ARLANZA ELEMENTARY</t>
  </si>
  <si>
    <t>ARLENE HEIN ELEMENTARY</t>
  </si>
  <si>
    <t>ARLETA HIGH</t>
  </si>
  <si>
    <t>ARLIE F. HUTCHINSON MIDDLE</t>
  </si>
  <si>
    <t>ARLINGTON ELEMENTARY</t>
  </si>
  <si>
    <t>ARLINGTON HEIGHTS ELEMENTARY</t>
  </si>
  <si>
    <t>ARLINGTON HIGH</t>
  </si>
  <si>
    <t>ARMA J. SHULL ELEMENTARY</t>
  </si>
  <si>
    <t>ARMADA ELEMENTARY</t>
  </si>
  <si>
    <t>ARMIJO HIGH</t>
  </si>
  <si>
    <t>ARMINTA STREET ELEMENTARY</t>
  </si>
  <si>
    <t>ARMONA ELEMENTARY</t>
  </si>
  <si>
    <t>ARMSTRONG ELEMENTARY</t>
  </si>
  <si>
    <t>ARNOLD ADREANI ELEMENTARY</t>
  </si>
  <si>
    <t>ARNOLD O. BECKMAN HIGH</t>
  </si>
  <si>
    <t>AROMAS</t>
  </si>
  <si>
    <t>AROVISTA ELEMENTARY</t>
  </si>
  <si>
    <t>ARROW HIGH (CONTINUATION)</t>
  </si>
  <si>
    <t>ARROWHEAD ELEMENTARY</t>
  </si>
  <si>
    <t>ARROWVIEW MIDDLE</t>
  </si>
  <si>
    <t>ARROYO ELEMENTARY</t>
  </si>
  <si>
    <t>ARROYO GRANDE HIGH</t>
  </si>
  <si>
    <t>ARROYO HIGH</t>
  </si>
  <si>
    <t>ARROYO PASEO CHARTER HIGH</t>
  </si>
  <si>
    <t>ARROYO SECO ELEMENTARY</t>
  </si>
  <si>
    <t>ARROYO SECO JUNIOR HIGH</t>
  </si>
  <si>
    <t>ARROYO SECO MUSEUM SCIENCE</t>
  </si>
  <si>
    <t>ARROYO VALLEY HIGH</t>
  </si>
  <si>
    <t>ARROYO VERDE ELEMENTARY</t>
  </si>
  <si>
    <t>ARROYO VISTA CHARTER</t>
  </si>
  <si>
    <t>ARROYO VISTA ELEMENTARY</t>
  </si>
  <si>
    <t>ARROYO VISTA MIDDLE</t>
  </si>
  <si>
    <t>ARROYO WEST ELEMENTARY</t>
  </si>
  <si>
    <t>ART FREILER</t>
  </si>
  <si>
    <t>ART HAYCOX ELEMENTARY</t>
  </si>
  <si>
    <t>ARTESIA HIGH</t>
  </si>
  <si>
    <t>ARTHUR A. BENJAMIN HEALTH PROFESSIONS HIGH</t>
  </si>
  <si>
    <t>ARTHUR C. BUTLER ELEMENTARY</t>
  </si>
  <si>
    <t>ARTHUR E. MILLS INTERMEDIATE</t>
  </si>
  <si>
    <t>ARTHUR E. WRIGHT MIDDLE</t>
  </si>
  <si>
    <t>ARTHUR F. COREY ELEMENTARY</t>
  </si>
  <si>
    <t>ARTHUR HAPGOOD ELEMENTARY</t>
  </si>
  <si>
    <t>ARTHUR S. DUDLEY ELEMENTARY</t>
  </si>
  <si>
    <t>ARTLAB AT SONIA SOTOMAYOR LEARNING ACADEMICS</t>
  </si>
  <si>
    <t>ARTS IN ACTION COMMUNITY CHARTER</t>
  </si>
  <si>
    <t>ARTURO SANCHEZ ELEMENTARY</t>
  </si>
  <si>
    <t>ARUNDEL ELEMENTARY</t>
  </si>
  <si>
    <t>ARVIN HIGH</t>
  </si>
  <si>
    <t>ASA CHARTER</t>
  </si>
  <si>
    <t>ASAWA (RUTH) SAN FRANCISCO SCH OF THE ARTS A PUBL</t>
  </si>
  <si>
    <t>ASCEND</t>
  </si>
  <si>
    <t>ASCOT AVENUE ELEMENTARY</t>
  </si>
  <si>
    <t>ASHLEY FALLS ELEMENTARY</t>
  </si>
  <si>
    <t>ASPEN ELEMENTARY</t>
  </si>
  <si>
    <t>ASPIRE ALEXANDER TWILIGHT COLLEGE PREPARATORY ACAD</t>
  </si>
  <si>
    <t>ASPIRE ALEXANDER TWILIGHT SECONDARY ACADEMY</t>
  </si>
  <si>
    <t>ASPIRE ANTONIO MARIA LUGO ACADEMY</t>
  </si>
  <si>
    <t>ASPIRE APEX ACADEMY</t>
  </si>
  <si>
    <t>ASPIRE BENJAMIN HOLT COLLEGE PREPARATORY ACADEMY</t>
  </si>
  <si>
    <t>ASPIRE BERKLEY MAYNARD ACADEMY</t>
  </si>
  <si>
    <t>ASPIRE CALIFORNIA COLLEGE PREPARATORY ACADEMY</t>
  </si>
  <si>
    <t>ASPIRE CAPITOL HEIGHTS ACADEMY</t>
  </si>
  <si>
    <t>ASPIRE CENTENNIAL COLLEGE PREPARATORY ACADEMY</t>
  </si>
  <si>
    <t>ASPIRE EAST PALO ALTO CHARTER</t>
  </si>
  <si>
    <t>ASPIRE EAST PALO ALTO PHOENIX ACADEMY</t>
  </si>
  <si>
    <t>ASPIRE ERES ACADEMY</t>
  </si>
  <si>
    <t>ASPIRE FIRESTONE ACADEMY</t>
  </si>
  <si>
    <t>ASPIRE GATEWAY ACADEMY</t>
  </si>
  <si>
    <t>ASPIRE GOLDEN STATE COLLEGE PREPARATORY ACADEMY</t>
  </si>
  <si>
    <t>ASPIRE HUNTINGTON PARK CHARTER</t>
  </si>
  <si>
    <t>ASPIRE INSKEEP ACADEMY CHARTER</t>
  </si>
  <si>
    <t>ASPIRE JUANITA TATE ACADEMY CHARTER</t>
  </si>
  <si>
    <t>ASPIRE JUNIOR COLLEGIATE ACADEMY</t>
  </si>
  <si>
    <t>ASPIRE LANGSTON HUGHES ACADEMY</t>
  </si>
  <si>
    <t>ASPIRE LIONEL WILSON COLLEGE PREPARATORY ACADEMY</t>
  </si>
  <si>
    <t>ASPIRE MILLSMONT ACADEMY</t>
  </si>
  <si>
    <t>ASPIRE MONARCH ACADEMY</t>
  </si>
  <si>
    <t>ASPIRE OLLIN UNIVERSITY PREPARATORY ACADEMY</t>
  </si>
  <si>
    <t>ASPIRE PACIFIC ACADEMY</t>
  </si>
  <si>
    <t>ASPIRE PORT CITY ACADEMY</t>
  </si>
  <si>
    <t>ASPIRE RIVER OAKS CHARTER</t>
  </si>
  <si>
    <t>ASPIRE ROSA PARKS ACADEMY</t>
  </si>
  <si>
    <t>ASPIRE SLAUSON ACADEMY CHARTER</t>
  </si>
  <si>
    <t>ASPIRE SUMMIT CHARTER ACADEMY</t>
  </si>
  <si>
    <t>ASPIRE TITAN ACADEMY</t>
  </si>
  <si>
    <t>ASPIRE UNIVERSITY CHARTER</t>
  </si>
  <si>
    <t>ASPIRE VANGUARD COLLEGE PREPARATORY ACADEMY</t>
  </si>
  <si>
    <t>ASPIRE VINCENT SHALVEY ACADEMY</t>
  </si>
  <si>
    <t>ASSURANCE LEARNING ACADEMY</t>
  </si>
  <si>
    <t>ATASCADERO HIGH</t>
  </si>
  <si>
    <t>ATASCADERO JUNIOR HIGH</t>
  </si>
  <si>
    <t>ATHENOUR ELEMENTARY</t>
  </si>
  <si>
    <t>ATHERWOOD ELEMENTARY</t>
  </si>
  <si>
    <t>ATWATER AVENUE ELEMENTARY</t>
  </si>
  <si>
    <t>ATWATER HIGH</t>
  </si>
  <si>
    <t>ATWATER JUNIOR ACADEMY</t>
  </si>
  <si>
    <t>ATWATER SENIOR ACADEMY</t>
  </si>
  <si>
    <t>AUBERRY ELEMENTARY</t>
  </si>
  <si>
    <t>AUBURN ELEMENTARY</t>
  </si>
  <si>
    <t>AUBURNDALE INTERMEDIATE</t>
  </si>
  <si>
    <t>AUDEO CHARTER</t>
  </si>
  <si>
    <t>AUDUBON ELEMENTARY</t>
  </si>
  <si>
    <t>AUDUBON K-8</t>
  </si>
  <si>
    <t>AUDUBON MIDDLE</t>
  </si>
  <si>
    <t>AUGUST BOEGER MIDDLE</t>
  </si>
  <si>
    <t>AUGUST ELEMENTARY</t>
  </si>
  <si>
    <t>AUGUST KNODT ELEMENTARY</t>
  </si>
  <si>
    <t>AUGUST SCHILLING ELEMENTARY</t>
  </si>
  <si>
    <t>AUGUSTUS F. HAWKINS HIGH A CRITICAL DESIGN AND GAM</t>
  </si>
  <si>
    <t>AUGUSTUS F. HAWKINS HIGH B COMMUNITY HEALTH ADVOCA</t>
  </si>
  <si>
    <t>AUGUSTUS F. HAWKINS HIGH C RSPNSBL INDIGENOUS SOC</t>
  </si>
  <si>
    <t>AURELIA PENNEKAMP ELEMENTARY</t>
  </si>
  <si>
    <t>AURORA ELEMENTARY</t>
  </si>
  <si>
    <t>AURORA HIGH (CONTINUATION)</t>
  </si>
  <si>
    <t>AUSTIN CREEK ELEMENTARY</t>
  </si>
  <si>
    <t>AVALON ELEMENTARY</t>
  </si>
  <si>
    <t>AVALON GARDENS ELEMENTARY</t>
  </si>
  <si>
    <t>AVALON HIGH</t>
  </si>
  <si>
    <t>AVALON K-12</t>
  </si>
  <si>
    <t>AVAXAT ELEMENTARY</t>
  </si>
  <si>
    <t>AVENAL ELEMENTARY</t>
  </si>
  <si>
    <t>AVENAL HIGH</t>
  </si>
  <si>
    <t>AVERY MIDDLE</t>
  </si>
  <si>
    <t>AVESON GLOBAL LEADERSHIP ACADEMY</t>
  </si>
  <si>
    <t>AVESON SCHOOL OF LEADERS</t>
  </si>
  <si>
    <t>AVIARA OAKS ELEMENTARY</t>
  </si>
  <si>
    <t>AVIARA OAKS MIDDLE</t>
  </si>
  <si>
    <t>AVOCADO ELEMENTARY</t>
  </si>
  <si>
    <t>AVONDALE ELEMENTARY</t>
  </si>
  <si>
    <t>AYER ELEMENTARY</t>
  </si>
  <si>
    <t>AYERS ELEMENTARY</t>
  </si>
  <si>
    <t>AYNESWORTH ELEMENTARY</t>
  </si>
  <si>
    <t>AZUSA HIGH</t>
  </si>
  <si>
    <t>B. GALE WILSON ELEMENTARY</t>
  </si>
  <si>
    <t>BACK BAY HIGH</t>
  </si>
  <si>
    <t>BADEN HIGH (CONTINUATION)</t>
  </si>
  <si>
    <t>BADEN-POWELL ELEMENTARY</t>
  </si>
  <si>
    <t>BADGER SPRINGS MIDDLE</t>
  </si>
  <si>
    <t>BADILLO ELEMENTARY</t>
  </si>
  <si>
    <t>BAECHTEL GROVE MIDDLE</t>
  </si>
  <si>
    <t>BAGBY ELEMENTARY</t>
  </si>
  <si>
    <t>BAHIA VISTA ELEMENTARY</t>
  </si>
  <si>
    <t>BAIRD MIDDLE</t>
  </si>
  <si>
    <t>BAKER ELEMENTARY</t>
  </si>
  <si>
    <t>BAKER HIGH</t>
  </si>
  <si>
    <t>BAKER JUNIOR HIGH</t>
  </si>
  <si>
    <t>BAKER VALLEY COMMUNITY DAY</t>
  </si>
  <si>
    <t>BAKERSFIELD HIGH</t>
  </si>
  <si>
    <t>BALBOA ELEMENTARY</t>
  </si>
  <si>
    <t>BALBOA GIFTED/HIGH ABILITY MAGNET ELEMENTARY</t>
  </si>
  <si>
    <t>BALBOA HIGH</t>
  </si>
  <si>
    <t>BALBOA MIDDLE</t>
  </si>
  <si>
    <t>BALCH CAMP ELEMENTARY</t>
  </si>
  <si>
    <t>BALD ROCK COMMUNITY DAY</t>
  </si>
  <si>
    <t>BALDWIN (JULIA) ELEMENTARY</t>
  </si>
  <si>
    <t>BALDWIN ACADEMY</t>
  </si>
  <si>
    <t>BALDWIN HILLS ELEMENTARY</t>
  </si>
  <si>
    <t>BALDWIN LANE ELEMENTARY</t>
  </si>
  <si>
    <t>BALDWIN PARK ALTERNATIVE</t>
  </si>
  <si>
    <t>BALDWIN PARK HIGH</t>
  </si>
  <si>
    <t>BALDWIN STOCKER ELEMENTARY</t>
  </si>
  <si>
    <t>BALDY MESA ELEMENTARY</t>
  </si>
  <si>
    <t>BALDY VIEW ELEMENTARY</t>
  </si>
  <si>
    <t>BALDY VIEW ROP</t>
  </si>
  <si>
    <t>BALL JUNIOR HIGH</t>
  </si>
  <si>
    <t>BALLARD ELEMENTARY</t>
  </si>
  <si>
    <t>BALLICO ELEMENTARY</t>
  </si>
  <si>
    <t>BALLINGTON ACADEMY FOR THE ARTS AND SCIENCES</t>
  </si>
  <si>
    <t>BANCROFT ELEMENTARY</t>
  </si>
  <si>
    <t>BANCROFT MIDDLE</t>
  </si>
  <si>
    <t>BANDINI ELEMENTARY</t>
  </si>
  <si>
    <t>BANDINI STREET ELEMENTARY</t>
  </si>
  <si>
    <t>BANGOR ELEMENTARY</t>
  </si>
  <si>
    <t>BANNING HEADSTART PRESCHOOL</t>
  </si>
  <si>
    <t>BANNING HIGH</t>
  </si>
  <si>
    <t>BANNING INDEPENDENT STUDY</t>
  </si>
  <si>
    <t>BANNING PREK</t>
  </si>
  <si>
    <t>BANNON CREEK ELEMENTARY</t>
  </si>
  <si>
    <t>BANTA ELEMENTARY</t>
  </si>
  <si>
    <t>BANYAN ELEMENTARY</t>
  </si>
  <si>
    <t>BAR-O</t>
  </si>
  <si>
    <t>BARACK OBAMA ACADEMY</t>
  </si>
  <si>
    <t>BARACK OBAMA CHARTER</t>
  </si>
  <si>
    <t>BARACK OBAMA GLOBAL PREPARATION ACADEMY</t>
  </si>
  <si>
    <t>BARBARA BENSON ELEMENTARY</t>
  </si>
  <si>
    <t>BARBARA CHILTON MIDDLE</t>
  </si>
  <si>
    <t>BARBARA COMSTOCK MORSE ELEMENTARY</t>
  </si>
  <si>
    <t>BARBARA SPRATLING MIDDLE</t>
  </si>
  <si>
    <t>BARBARA WEBSTER ELEMENTARY</t>
  </si>
  <si>
    <t>BARBARA WORTH JUNIOR HIGH</t>
  </si>
  <si>
    <t>BARCELONA HILLS ELEMENTARY</t>
  </si>
  <si>
    <t>BARDIN ELEMENTARY</t>
  </si>
  <si>
    <t>BARFIELD ELEMENTARY</t>
  </si>
  <si>
    <t>BARNARD ELEMENTARY</t>
  </si>
  <si>
    <t>BARNETT ELEMENTARY</t>
  </si>
  <si>
    <t>BARONA INDIAN CHARTER</t>
  </si>
  <si>
    <t>BARRANCA ELEMENTARY</t>
  </si>
  <si>
    <t>BARREL SPRINGS ELEMENTARY</t>
  </si>
  <si>
    <t>BARRETT ELEMENTARY</t>
  </si>
  <si>
    <t>BARRETT RANCH ELEMENTARY</t>
  </si>
  <si>
    <t>BARRON PARK ELEMENTARY</t>
  </si>
  <si>
    <t>BARRY ELEMENTARY</t>
  </si>
  <si>
    <t>BARSTOW HIGH</t>
  </si>
  <si>
    <t>BARSTOW JUNIOR HIGH</t>
  </si>
  <si>
    <t>BARTLETT MIDDLE</t>
  </si>
  <si>
    <t>BARTON (CLARA) ELEMENTARY</t>
  </si>
  <si>
    <t>BARTON ELEMENTARY</t>
  </si>
  <si>
    <t>BARTON HILL ELEMENTARY</t>
  </si>
  <si>
    <t>BASSETT SENIOR HIGH</t>
  </si>
  <si>
    <t>BASSETT STREET ELEMENTARY</t>
  </si>
  <si>
    <t>BATES ELEMENTARY</t>
  </si>
  <si>
    <t>BATHGATE ELEMENTARY</t>
  </si>
  <si>
    <t>BATTLES (WASHINGTON) ELEMENTARY</t>
  </si>
  <si>
    <t>BAUER/SPECK ELEMENTARY</t>
  </si>
  <si>
    <t>BAUTISTA CREEK ELEMENTARY</t>
  </si>
  <si>
    <t>BAY AREA SCHOOL OF ENTERPRISE</t>
  </si>
  <si>
    <t>BAY AREA TECHNOLOGY</t>
  </si>
  <si>
    <t>BAY ELEMENTARY</t>
  </si>
  <si>
    <t>BAY FARM</t>
  </si>
  <si>
    <t>BAY LAUREL ELEMENTARY</t>
  </si>
  <si>
    <t>BAY PARK ELEMENTARY</t>
  </si>
  <si>
    <t>BAY VIEW ACADEMY</t>
  </si>
  <si>
    <t>BAY VIEW ELEMENTARY</t>
  </si>
  <si>
    <t>BAYSHORE ELEMENTARY</t>
  </si>
  <si>
    <t>BAYSHORE PREPARATORY CHARTER</t>
  </si>
  <si>
    <t>BAYSIDE COMMUNITY DAY</t>
  </si>
  <si>
    <t>BAYSIDE ELEMENTARY</t>
  </si>
  <si>
    <t>BAYSIDE MARTIN LUTHER KING JR. ACADEMY</t>
  </si>
  <si>
    <t>BAYSIDE S.T.E.M. ACADEMY</t>
  </si>
  <si>
    <t>BAYVIEW ELEMENTARY</t>
  </si>
  <si>
    <t>BAYVIEW TERRACE ELEMENTARY</t>
  </si>
  <si>
    <t>BAYWOOD ELEMENTARY</t>
  </si>
  <si>
    <t>BEACH ELEMENTARY</t>
  </si>
  <si>
    <t>BEACH HIGH-INTENSIVE LEARNING PROGRAM</t>
  </si>
  <si>
    <t>BEACHY AVENUE ELEMENTARY</t>
  </si>
  <si>
    <t>BEAMER ELEMENTARY</t>
  </si>
  <si>
    <t>BEAR CREEK HIGH</t>
  </si>
  <si>
    <t>BEAR GULCH ELEMENTARY</t>
  </si>
  <si>
    <t>BEAR MOUNTAIN ELEMENTARY</t>
  </si>
  <si>
    <t>BEAR RIVER</t>
  </si>
  <si>
    <t>BEAR RIVER HIGH</t>
  </si>
  <si>
    <t>BEAR VALLEY ELEMENTARY</t>
  </si>
  <si>
    <t>BEAR VALLEY MIDDLE</t>
  </si>
  <si>
    <t>BEARDSLEE ELEMENTARY</t>
  </si>
  <si>
    <t>BEARDSLEY ELEMENTARY</t>
  </si>
  <si>
    <t>BEARDSLEY JUNIOR HIGH</t>
  </si>
  <si>
    <t>BEATTIE MIDDLE</t>
  </si>
  <si>
    <t>BEAUMONT ELEMENTARY</t>
  </si>
  <si>
    <t>BEAUMONT SENIOR HIGH</t>
  </si>
  <si>
    <t>BEAUMONT USD PRESCHOOL</t>
  </si>
  <si>
    <t>BECKFORD CHARTER FOR ENRICHED STUDIES</t>
  </si>
  <si>
    <t>BECKMAN ELEMENTARY</t>
  </si>
  <si>
    <t>BECKWOURTH (JIM) HIGH (CONTINUATION)</t>
  </si>
  <si>
    <t>BEECH AVENUE ELEMENTARY</t>
  </si>
  <si>
    <t>BEECHWOOD ELEMENTARY</t>
  </si>
  <si>
    <t>BEETHOVEN STREET ELEMENTARY</t>
  </si>
  <si>
    <t>BEL AIR ELEMENTARY</t>
  </si>
  <si>
    <t>BEL AIRE ELEMENTARY</t>
  </si>
  <si>
    <t>BEL AIRE PARK ELEMENTARY</t>
  </si>
  <si>
    <t>BELL AVENUE ELEMENTARY</t>
  </si>
  <si>
    <t>BELL GARDENS ELEMENTARY</t>
  </si>
  <si>
    <t>BELL GARDENS HIGH</t>
  </si>
  <si>
    <t>BELL GARDENS INTERMEDIATE</t>
  </si>
  <si>
    <t>BELL HILL ACADEMY</t>
  </si>
  <si>
    <t>BELL MIDDLE</t>
  </si>
  <si>
    <t>BELL MOUNTAIN MIDDLE</t>
  </si>
  <si>
    <t>BELL SENIOR HIGH</t>
  </si>
  <si>
    <t>BELLA VISTA ELEMENTARY</t>
  </si>
  <si>
    <t>BELLA VISTA HIGH</t>
  </si>
  <si>
    <t>BELLA VISTA MIDDLE</t>
  </si>
  <si>
    <t>BELLE AIR ELEMENTARY</t>
  </si>
  <si>
    <t>BELLE HAVEN ELEMENTARY</t>
  </si>
  <si>
    <t>BELLEVIEW ELEMENTARY</t>
  </si>
  <si>
    <t>BELLEVIEW ELEMENTARY COMMUNITY DAY</t>
  </si>
  <si>
    <t>BELLEVUE ELEMENTARY</t>
  </si>
  <si>
    <t>BELLEVUE SENIOR ELEMENTARY</t>
  </si>
  <si>
    <t>BELLEVUE-SANTA FE CHARTER</t>
  </si>
  <si>
    <t>BELLFLOWER ADULT EDUCATION CENTER</t>
  </si>
  <si>
    <t>BELLFLOWER ALTERNATIVE EDUCATION CENTER</t>
  </si>
  <si>
    <t>BELLFLOWER HIGH</t>
  </si>
  <si>
    <t>BELLINGHAM ELEMENTARY</t>
  </si>
  <si>
    <t>BELMONT SENIOR HIGH</t>
  </si>
  <si>
    <t>BELMONT SH-LA TEACHER PREPARATORY ACADEMY</t>
  </si>
  <si>
    <t>BELRIDGE ELEMENTARY</t>
  </si>
  <si>
    <t>BELSHAW ELEMENTARY</t>
  </si>
  <si>
    <t>BELVEDERE ELEMENTARY</t>
  </si>
  <si>
    <t>BELVEDERE MIDDLE</t>
  </si>
  <si>
    <t>BEMIS ELEMENTARY</t>
  </si>
  <si>
    <t>BEN HULSE ELEMENTARY</t>
  </si>
  <si>
    <t>BEN LOMOND ELEMENTARY</t>
  </si>
  <si>
    <t>BEN PAINTER ELEMENTARY</t>
  </si>
  <si>
    <t>BENCHLEY/WEINBERGER ELEMENTARY</t>
  </si>
  <si>
    <t>BEND ELEMENTARY</t>
  </si>
  <si>
    <t>BENICIA HIGH</t>
  </si>
  <si>
    <t>BENICIA MIDDLE</t>
  </si>
  <si>
    <t>BENJAMIN BANNEKER SPECIAL EDUCATION CENTER</t>
  </si>
  <si>
    <t>BENJAMIN BUBB ELEMENTARY</t>
  </si>
  <si>
    <t>BENJAMIN F. BESWICK ELEMENTARY</t>
  </si>
  <si>
    <t>BENJAMIN FOXEN ELEMENTARY</t>
  </si>
  <si>
    <t>BENJAMIN FRANKLIN ELEMENTARY</t>
  </si>
  <si>
    <t>BENJAMIN FRANKLIN INTERMEDIATE</t>
  </si>
  <si>
    <t>BENJAMIN FRANKLIN SENIOR HIGH</t>
  </si>
  <si>
    <t>BENNETT/KEW ELEMENTARY</t>
  </si>
  <si>
    <t>BERENDA ELEMENTARY</t>
  </si>
  <si>
    <t>BERENDO MIDDLE</t>
  </si>
  <si>
    <t>BERENECE CARLSON HOME HOSPITAL</t>
  </si>
  <si>
    <t>BERESFORD ELEMENTARY</t>
  </si>
  <si>
    <t>BERKELEY ARTS MAGNET AT WHITTIER</t>
  </si>
  <si>
    <t>BERKELEY HIGH</t>
  </si>
  <si>
    <t>BERKELEY SPECIAL EDUCATION PRESCHOOL</t>
  </si>
  <si>
    <t>BERKELEY TECHNOLOGY ACADEMY</t>
  </si>
  <si>
    <t>BERKSHIRE ELEMENTARY</t>
  </si>
  <si>
    <t>BERLYN ELEMENTARY</t>
  </si>
  <si>
    <t>BERNAL INTERMEDIATE</t>
  </si>
  <si>
    <t>BERNARD L. HUGHES ELEMENTARY</t>
  </si>
  <si>
    <t>BERNARDO ELEMENTARY</t>
  </si>
  <si>
    <t>BERNARDO HEIGHTS MIDDLE</t>
  </si>
  <si>
    <t>BERNARDO YORBA MIDDLE</t>
  </si>
  <si>
    <t>BERNHARD MARKS ELEMENTARY</t>
  </si>
  <si>
    <t>BERNICE AYER MIDDLE</t>
  </si>
  <si>
    <t>BERRENDOS MIDDLE</t>
  </si>
  <si>
    <t>BERRY CREEK ELEMENTARY</t>
  </si>
  <si>
    <t>BERRYESSA UNION ELEMENTARY</t>
  </si>
  <si>
    <t>BERT CORONA CHARTER</t>
  </si>
  <si>
    <t>BERT M. LYNN MIDDLE</t>
  </si>
  <si>
    <t>BERTRAND AVENUE ELEMENTARY</t>
  </si>
  <si>
    <t>BERYL HEIGHTS ELEMENTARY</t>
  </si>
  <si>
    <t>BERYLWOOD ELEMENTARY</t>
  </si>
  <si>
    <t>BESS MAXWELL ELEMENTARY</t>
  </si>
  <si>
    <t>BESSIE E. OWENS INTERMEDIATE</t>
  </si>
  <si>
    <t>BESSIE E. OWENS PRIMARY</t>
  </si>
  <si>
    <t>BETHANY ELEMENTARY</t>
  </si>
  <si>
    <t>BETHUNE K-8</t>
  </si>
  <si>
    <t>BETTY PLASENCIA ELEMENTARY</t>
  </si>
  <si>
    <t>BEVERLY HILLS ELEMENTARY</t>
  </si>
  <si>
    <t>BEVERLY HILLS HIGH</t>
  </si>
  <si>
    <t>BEVERLY VISTA ELEMENTARY</t>
  </si>
  <si>
    <t>BEYER ELEMENTARY</t>
  </si>
  <si>
    <t>BIDWELL CONTINUATION HIGH</t>
  </si>
  <si>
    <t>BIDWELL ELEMENTARY</t>
  </si>
  <si>
    <t>BIDWELL JUNIOR HIGH</t>
  </si>
  <si>
    <t>BIDWELL POINT HIGH (CONTINUATION)</t>
  </si>
  <si>
    <t>BIG BEAR ELEMENTARY</t>
  </si>
  <si>
    <t>BIG BEAR HIGH</t>
  </si>
  <si>
    <t>BIG BEAR MIDDLE</t>
  </si>
  <si>
    <t>BIG CREEK ELEMENTARY</t>
  </si>
  <si>
    <t>BIG LAGOON ELEMENTARY</t>
  </si>
  <si>
    <t>BIG PICTURE HIGH SCHOOL - FRESNO</t>
  </si>
  <si>
    <t>BIG PINE ELEMENTARY</t>
  </si>
  <si>
    <t>BIG PINE HIGH</t>
  </si>
  <si>
    <t>BIG SPRINGS ELEMENTARY</t>
  </si>
  <si>
    <t>BIG SUR CHARTER</t>
  </si>
  <si>
    <t>BIG VALLEY COMMUNITY DAY</t>
  </si>
  <si>
    <t>BIG VALLEY ELEMENTARY</t>
  </si>
  <si>
    <t>BIG VALLEY JR. SR. HIGH</t>
  </si>
  <si>
    <t>BIGGS ELEMENTARY</t>
  </si>
  <si>
    <t>BIGGS HIGH</t>
  </si>
  <si>
    <t>BIGGS MIDDLE</t>
  </si>
  <si>
    <t>BIGGS SECONDARY COMMUNITY DAY</t>
  </si>
  <si>
    <t>BIJOU COMMUNITY</t>
  </si>
  <si>
    <t>BILL E. YOUNG JR. MIDDLE</t>
  </si>
  <si>
    <t>BILL L. WILLIAMS ELEMENTARY</t>
  </si>
  <si>
    <t>BILL M. MANES HIGH</t>
  </si>
  <si>
    <t>BILLY MITCHELL ELEMENTARY</t>
  </si>
  <si>
    <t>BING WONG ELEMENTARY</t>
  </si>
  <si>
    <t>BINKLEY ELEMENTARY CHARTER</t>
  </si>
  <si>
    <t>BIOLA-PERSHING ELEMENTARY</t>
  </si>
  <si>
    <t>BIRCH HIGH (CONTINUATION)</t>
  </si>
  <si>
    <t>BIRCH LANE ELEMENTARY</t>
  </si>
  <si>
    <t>BIRD ROCK ELEMENTARY</t>
  </si>
  <si>
    <t>BIRD STREET ELEMENTARY</t>
  </si>
  <si>
    <t>BIRDIELEE V. BRIGHT ELEMENTARY</t>
  </si>
  <si>
    <t>BIRMINGHAM COMMUNITY CHARTER HIGH</t>
  </si>
  <si>
    <t>BIRNEY ELEMENTARY</t>
  </si>
  <si>
    <t>BISHOP ELEMENTARY</t>
  </si>
  <si>
    <t>BISHOP INDEPENDENT STUDY</t>
  </si>
  <si>
    <t>BISHOP UNION ELEMENTARY COMMUNITY DAY</t>
  </si>
  <si>
    <t>BISHOP UNION ELEMENTARY COMMUNITY DAY II</t>
  </si>
  <si>
    <t>BISHOP UNION HIGH</t>
  </si>
  <si>
    <t>BISHOP'S PEAK ELEMENTARY</t>
  </si>
  <si>
    <t>BITELY (ARLENE) ELEMENTARY</t>
  </si>
  <si>
    <t>BITNEY COLLEGE PREPARATORY HIGH</t>
  </si>
  <si>
    <t>BITTERWATER-TULLY ELEMENTARY</t>
  </si>
  <si>
    <t>BIXBY ELEMENTARY</t>
  </si>
  <si>
    <t>BLACK BUTTE ELEMENTARY</t>
  </si>
  <si>
    <t>BLACK BUTTE JUNIOR HIGH</t>
  </si>
  <si>
    <t>BLACK DIAMOND HIGH (CONTINUATION)</t>
  </si>
  <si>
    <t>BLACK DIAMOND MIDDLE</t>
  </si>
  <si>
    <t>BLACK MOUNTAIN MIDDLE</t>
  </si>
  <si>
    <t>BLACK OAK ELEMENTARY</t>
  </si>
  <si>
    <t>BLACK ROCK ALTERNATIVE/CONTINUATION</t>
  </si>
  <si>
    <t>BLACKFORD ELEMENTARY</t>
  </si>
  <si>
    <t>BLAIR HIGH</t>
  </si>
  <si>
    <t>BLAKE ELEMENTARY</t>
  </si>
  <si>
    <t>BLAKER-KINSER JUNIOR HIGH</t>
  </si>
  <si>
    <t>BLANCHARD ELEMENTARY</t>
  </si>
  <si>
    <t>BLANCHE CHARLES ELEMENTARY</t>
  </si>
  <si>
    <t>BLANCHE REYNOLDS ELEMENTARY</t>
  </si>
  <si>
    <t>BLANCHE SPRENTZ ELEMENTARY</t>
  </si>
  <si>
    <t>BLANDFORD ELEMENTARY</t>
  </si>
  <si>
    <t>BLOOMINGTON HIGH</t>
  </si>
  <si>
    <t>BLOSSER LANE ELEMENTARY</t>
  </si>
  <si>
    <t>BLOSSOM HILL ELEMENTARY</t>
  </si>
  <si>
    <t>BLOSSOM VALLEY ELEMENTARY</t>
  </si>
  <si>
    <t>BLUE HERON</t>
  </si>
  <si>
    <t>BLUE HILLS ELEMENTARY</t>
  </si>
  <si>
    <t>BLUE LAKE ELEMENTARY</t>
  </si>
  <si>
    <t>BLUE OAK CHARTER</t>
  </si>
  <si>
    <t>BLUE OAK ELEMENTARY</t>
  </si>
  <si>
    <t>BLUE OAKS ELEMENTARY</t>
  </si>
  <si>
    <t>BLUE RIDGE</t>
  </si>
  <si>
    <t>BLYTHE DISTRICT PRESCHOOL</t>
  </si>
  <si>
    <t>BLYTHE MIDDLE</t>
  </si>
  <si>
    <t>BLYTHE STREET ELEMENTARY</t>
  </si>
  <si>
    <t>BOB MURPHY COUNTY COMMUNITY DAY</t>
  </si>
  <si>
    <t>BOBBY DUKE MIDDLE</t>
  </si>
  <si>
    <t>BOBIER ELEMENTARY</t>
  </si>
  <si>
    <t>BODEGA BAY ELEMENTARY</t>
  </si>
  <si>
    <t>BOGUS ELEMENTARY</t>
  </si>
  <si>
    <t>BOHANNON MIDDLE</t>
  </si>
  <si>
    <t>BOLINAS-STINSON ELEMENTARY</t>
  </si>
  <si>
    <t>BOLLINGER CANYON ELEMENTARY</t>
  </si>
  <si>
    <t>BOLSA GRANDE HIGH</t>
  </si>
  <si>
    <t>BOLSA KNOLLS MIDDLE</t>
  </si>
  <si>
    <t>BON VIEW ELEMENTARY</t>
  </si>
  <si>
    <t>BONITA CANYON ELEMENTARY</t>
  </si>
  <si>
    <t>BONITA ELEMENTARY</t>
  </si>
  <si>
    <t>BONITA HIGH</t>
  </si>
  <si>
    <t>BONITA STREET ELEMENTARY</t>
  </si>
  <si>
    <t>BONITA VISTA MIDDLE</t>
  </si>
  <si>
    <t>BONITA VISTA SENIOR HIGH</t>
  </si>
  <si>
    <t>BONNY DOON ELEMENTARY</t>
  </si>
  <si>
    <t>BONNY VIEW ELEMENTARY</t>
  </si>
  <si>
    <t>BONSALL ELEMENTARY</t>
  </si>
  <si>
    <t>BONSALL WEST ELEMENTARY</t>
  </si>
  <si>
    <t>BOOKSIN ELEMENTARY</t>
  </si>
  <si>
    <t>BOONE ELEMENTARY</t>
  </si>
  <si>
    <t>BOREL MIDDLE</t>
  </si>
  <si>
    <t>BORON JUNIOR-SENIOR HIGH</t>
  </si>
  <si>
    <t>BORONDA COMMUNITY DAY</t>
  </si>
  <si>
    <t>BORONDA MEADOWS</t>
  </si>
  <si>
    <t>BORREGO SPRINGS ELEMENTARY</t>
  </si>
  <si>
    <t>BORREGO SPRINGS HIGH</t>
  </si>
  <si>
    <t>BORREGO SPRINGS MIDDLE</t>
  </si>
  <si>
    <t>BOSTONIA ELEMENTARY</t>
  </si>
  <si>
    <t>BOULDER CREEK ELEMENTARY</t>
  </si>
  <si>
    <t>BOULDER OAKS ELEMENTARY</t>
  </si>
  <si>
    <t>BOULDER RIDGE ELEMENTARY</t>
  </si>
  <si>
    <t>BOUNCE BACK INDEPENDENT STUDY HIGH</t>
  </si>
  <si>
    <t>BOWDITCH MIDDLE</t>
  </si>
  <si>
    <t>BOWERS ELEMENTARY</t>
  </si>
  <si>
    <t>BOWLING GREEN ELEMENTARY</t>
  </si>
  <si>
    <t>BOWMAN (JEREANN) HIGH (CONTINUATION)</t>
  </si>
  <si>
    <t>BOWMAN CHARTER</t>
  </si>
  <si>
    <t>BOWMAN ELEMENTARY</t>
  </si>
  <si>
    <t>BOX SPRINGS ELEMENTARY</t>
  </si>
  <si>
    <t>BOYD ELEMENTARY</t>
  </si>
  <si>
    <t>BOYLE HEIGHTS CONTINUATION</t>
  </si>
  <si>
    <t>BOYNTON HIGH</t>
  </si>
  <si>
    <t>BOYS REPUBLIC HIGH</t>
  </si>
  <si>
    <t>BRACHER ELEMENTARY</t>
  </si>
  <si>
    <t>BRADDOCK DRIVE ELEMENTARY</t>
  </si>
  <si>
    <t>BRADFORD WOODBRIDGE FUNDAMENTAL ELEMENTARY</t>
  </si>
  <si>
    <t>BRADLEY ELEMENTARY</t>
  </si>
  <si>
    <t>BRADOAKS ELEMENTARY</t>
  </si>
  <si>
    <t>BRAGG ELEMENTARY</t>
  </si>
  <si>
    <t>BRAINARD ELEMENTARY</t>
  </si>
  <si>
    <t>BRALY ELEMENTARY</t>
  </si>
  <si>
    <t>BRANCH ELEMENTARY</t>
  </si>
  <si>
    <t>BRANCIFORTE MIDDLE</t>
  </si>
  <si>
    <t>BRANDON ELEMENTARY</t>
  </si>
  <si>
    <t>BRANHAM HIGH</t>
  </si>
  <si>
    <t>BRANSCOMB ELEMENTARY</t>
  </si>
  <si>
    <t>BRAVO LAKE HIGH</t>
  </si>
  <si>
    <t>BRAWLEY HIGH</t>
  </si>
  <si>
    <t>BREA CANYON HIGH (CONTINUATION)</t>
  </si>
  <si>
    <t>BREA COUNTRY HILLS ELEMENTARY</t>
  </si>
  <si>
    <t>BREA JUNIOR HIGH</t>
  </si>
  <si>
    <t>BREA-OLINDA HIGH</t>
  </si>
  <si>
    <t>BREED STREET ELEMENTARY</t>
  </si>
  <si>
    <t>BREEN ELEMENTARY</t>
  </si>
  <si>
    <t>BREEZE HILL ELEMENTARY</t>
  </si>
  <si>
    <t>BRENKWITZ HIGH</t>
  </si>
  <si>
    <t>BRENTWOOD ACADEMY</t>
  </si>
  <si>
    <t>BRENTWOOD ELEMENTARY</t>
  </si>
  <si>
    <t>BRENTWOOD SCIENCE</t>
  </si>
  <si>
    <t>BRET HARTE ELEMENTARY</t>
  </si>
  <si>
    <t>BRET HARTE MIDDLE</t>
  </si>
  <si>
    <t>BRET HARTE PREPARATORY MIDDLE</t>
  </si>
  <si>
    <t>BRET HARTE UNION HIGH</t>
  </si>
  <si>
    <t>BREWER ISLAND ELEMENTARY</t>
  </si>
  <si>
    <t>BRIARWOOD ELEMENTARY</t>
  </si>
  <si>
    <t>BRIDGE STREET ELEMENTARY</t>
  </si>
  <si>
    <t>BRIDGEPOINT HIGH (CONTINUATION)</t>
  </si>
  <si>
    <t>BRIDGEPORT ELEMENTARY</t>
  </si>
  <si>
    <t>BRIDGES</t>
  </si>
  <si>
    <t>BRIDGES ACADEMY</t>
  </si>
  <si>
    <t>BRIDGES CHARTER</t>
  </si>
  <si>
    <t>BRIDGES COMMUNITY BASED SCHOOL NORTH COUNTY CONSO</t>
  </si>
  <si>
    <t>BRIDGES COMMUNITY DAY</t>
  </si>
  <si>
    <t>BRIDGEVILLE ELEMENTARY</t>
  </si>
  <si>
    <t>BRIDGEWAY ISLAND ELEMENTARY</t>
  </si>
  <si>
    <t>BRIER ELEMENTARY</t>
  </si>
  <si>
    <t>BRIGGS ELEMENTARY</t>
  </si>
  <si>
    <t>BRIGHT STAR SECONDARY CHARTER ACADEMY</t>
  </si>
  <si>
    <t>BRIGHTWOOD ELEMENTARY</t>
  </si>
  <si>
    <t>BRIONES (ALTERNATIVE)</t>
  </si>
  <si>
    <t>BRISBANE ELEMENTARY</t>
  </si>
  <si>
    <t>BRISTLECONE COMMUNITY DAY</t>
  </si>
  <si>
    <t>BRITTAN ACRES ELEMENTARY</t>
  </si>
  <si>
    <t>BRITTAN COMMUNITY DAY</t>
  </si>
  <si>
    <t>BRITTAN ELEMENTARY</t>
  </si>
  <si>
    <t>BROAD AVENUE ELEMENTARY</t>
  </si>
  <si>
    <t>BROADACRES AVENUE ELEMENTARY</t>
  </si>
  <si>
    <t>BROADWAY ELEMENTARY</t>
  </si>
  <si>
    <t>BROADWAY HIGH</t>
  </si>
  <si>
    <t>BROCK ELLIOTT ELEMENTARY</t>
  </si>
  <si>
    <t>BROCKTON AVENUE ELEMENTARY</t>
  </si>
  <si>
    <t>BROOK HAVEN ELEMENTARY</t>
  </si>
  <si>
    <t>BROOK HILL ELEMENTARY</t>
  </si>
  <si>
    <t>BROOK KNOLL ELEMENTARY</t>
  </si>
  <si>
    <t>BROOKFIELD ELEMENTARY</t>
  </si>
  <si>
    <t>BROOKHAVEN ELEMENTARY</t>
  </si>
  <si>
    <t>BROOKHURST ELEMENTARY</t>
  </si>
  <si>
    <t>BROOKHURST JUNIOR HIGH</t>
  </si>
  <si>
    <t>BROOKLYN AVENUE ELEMENTARY</t>
  </si>
  <si>
    <t>BROOKS ELEMENTARY</t>
  </si>
  <si>
    <t>BROOKSIDE</t>
  </si>
  <si>
    <t>BROOKSIDE ELEMENTARY</t>
  </si>
  <si>
    <t>BROOKTREE ELEMENTARY</t>
  </si>
  <si>
    <t>BROOKVALE ELEMENTARY</t>
  </si>
  <si>
    <t>BROWN JR. (WILLIE L.) ELEMENTARY</t>
  </si>
  <si>
    <t>BROWNELL MIDDLE</t>
  </si>
  <si>
    <t>BROWNING ROAD ELEMENTARY</t>
  </si>
  <si>
    <t>BROWNS ELEMENTARY</t>
  </si>
  <si>
    <t>BROWNS VALLEY ELEMENTARY</t>
  </si>
  <si>
    <t>BRUCE (ROBERT) ELEMENTARY</t>
  </si>
  <si>
    <t>BRYANT ELEMENTARY</t>
  </si>
  <si>
    <t>BRYANT MIDDLE</t>
  </si>
  <si>
    <t>BRYANT RANCH ELEMENTARY</t>
  </si>
  <si>
    <t>BRYN MAWR ELEMENTARY</t>
  </si>
  <si>
    <t>BRYSON AVENUE ELEMENTARY</t>
  </si>
  <si>
    <t>BRYTE ELEMENTARY</t>
  </si>
  <si>
    <t>BRYWOOD ELEMENTARY</t>
  </si>
  <si>
    <t>BSD PRESCHOOL</t>
  </si>
  <si>
    <t>BUBBLING WELLS ELEMENTARY</t>
  </si>
  <si>
    <t>BUCHANAN HIGH</t>
  </si>
  <si>
    <t>BUCHANAN STREET ELEMENTARY</t>
  </si>
  <si>
    <t>BUCHSER MIDDLE</t>
  </si>
  <si>
    <t>BUCKEYE ELEMENTARY</t>
  </si>
  <si>
    <t>BUCKEYE SCHOOL OF THE ARTS</t>
  </si>
  <si>
    <t>BUD CARSON MIDDLE</t>
  </si>
  <si>
    <t>BUD RANK ELEMENTARY</t>
  </si>
  <si>
    <t>BUDLONG AVENUE ELEMENTARY</t>
  </si>
  <si>
    <t>BUENA HIGH</t>
  </si>
  <si>
    <t>BUENA PARK HIGH</t>
  </si>
  <si>
    <t>BUENA PARK JUNIOR HIGH</t>
  </si>
  <si>
    <t>BUENA TERRA ELEMENTARY</t>
  </si>
  <si>
    <t>BUENA VISTA</t>
  </si>
  <si>
    <t>BUENA VISTA ARTS-INTEGRATED</t>
  </si>
  <si>
    <t>BUENA VISTA COMMUNITY DAY</t>
  </si>
  <si>
    <t>BUENA VISTA CONTINUATION HIGH</t>
  </si>
  <si>
    <t>BUENA VISTA ELEMENTARY</t>
  </si>
  <si>
    <t>BUENA VISTA HIGH</t>
  </si>
  <si>
    <t>BUENA VISTA HIGH (CONTINUATION)</t>
  </si>
  <si>
    <t>BUENA VISTA MIDDLE</t>
  </si>
  <si>
    <t>BUENA VISTA/ HORACE MANN K-8</t>
  </si>
  <si>
    <t>BUFFUM ELEMENTARY</t>
  </si>
  <si>
    <t>BUFORD ELEMENTARY</t>
  </si>
  <si>
    <t>BUHACH COLONY HIGH</t>
  </si>
  <si>
    <t>BULLARD HIGH</t>
  </si>
  <si>
    <t>BULLARD TALENT PROJECT</t>
  </si>
  <si>
    <t>BULLIS CHARTER</t>
  </si>
  <si>
    <t>BUNCHE MIDDLE</t>
  </si>
  <si>
    <t>BURBANK (LUTHER) ELEMENTARY</t>
  </si>
  <si>
    <t>BURBANK BOULEVARD ELEMENTARY</t>
  </si>
  <si>
    <t>BURBANK ELEMENTARY</t>
  </si>
  <si>
    <t>BURBANK HIGH</t>
  </si>
  <si>
    <t>BURBANK PRESCHOOL CENTER</t>
  </si>
  <si>
    <t>BURBANK USD COMMUNITY DAY</t>
  </si>
  <si>
    <t>BURCHAM K-8</t>
  </si>
  <si>
    <t>BURCKHALTER ELEMENTARY</t>
  </si>
  <si>
    <t>BURI BURI ELEMENTARY</t>
  </si>
  <si>
    <t>BURLINGAME HIGH</t>
  </si>
  <si>
    <t>BURLINGAME INTERMEDIATE</t>
  </si>
  <si>
    <t>BURNETT ELEMENTARY</t>
  </si>
  <si>
    <t>BURNEY COMMUNITY DAY</t>
  </si>
  <si>
    <t>BURNEY ELEMENTARY</t>
  </si>
  <si>
    <t>BURNEY ELEMENTARY COMMUNITY DAY</t>
  </si>
  <si>
    <t>BURNEY JUNIOR-SENIOR HIGH</t>
  </si>
  <si>
    <t>BURNS VALLEY</t>
  </si>
  <si>
    <t>BURNT RANCH ELEMENTARY</t>
  </si>
  <si>
    <t>BURREL ELEMENTARY</t>
  </si>
  <si>
    <t>BURROUGHS ELEMENTARY</t>
  </si>
  <si>
    <t>BURROUGHS HIGH</t>
  </si>
  <si>
    <t>BURSCH ELEMENTARY</t>
  </si>
  <si>
    <t>BURTON (PHILLIP AND SALA) ACADEMIC HIGH</t>
  </si>
  <si>
    <t>BURTON COMMUNITY DAY</t>
  </si>
  <si>
    <t>BURTON ELEMENTARY</t>
  </si>
  <si>
    <t>BURTON MIDDLE</t>
  </si>
  <si>
    <t>BURTON PATHWAYS CHARTER ACADEMY</t>
  </si>
  <si>
    <t>BURTON STREET ELEMENTARY</t>
  </si>
  <si>
    <t>BURTON VALLEY ELEMENTARY</t>
  </si>
  <si>
    <t>BUSD SCHOOL OF OPPORTUNITY</t>
  </si>
  <si>
    <t>BUSHNELL WAY ELEMENTARY</t>
  </si>
  <si>
    <t>BUSINESS AND INFORMATION TECHNOLOGY HIGH</t>
  </si>
  <si>
    <t>BUTTE COUNTY ROP</t>
  </si>
  <si>
    <t>BUTTE COUNTY SPECIAL EDUCATION</t>
  </si>
  <si>
    <t>BUTTE VALLEY ELEMENTARY</t>
  </si>
  <si>
    <t>BUTTE VALLEY HIGH</t>
  </si>
  <si>
    <t>BUTTE VALLEY MIDDLE</t>
  </si>
  <si>
    <t>BUTTE VIEW HIGH</t>
  </si>
  <si>
    <t>BUTTE VISTA ELEMENTARY</t>
  </si>
  <si>
    <t>BUTTERCUP PRE-SCHOOL</t>
  </si>
  <si>
    <t>BUTTERFIELD CHARTER HIGH</t>
  </si>
  <si>
    <t>BUTTERFIELD ELEMENTARY</t>
  </si>
  <si>
    <t>BUTTERFIELD RANCH ELEMENTARY</t>
  </si>
  <si>
    <t>BUTTEVILLE ELEMENTARY</t>
  </si>
  <si>
    <t>BUTTONWILLOW ELEMENTARY</t>
  </si>
  <si>
    <t>C. A. JACOBS INTERMEDIATE</t>
  </si>
  <si>
    <t>C. B. EATON ELEMENTARY</t>
  </si>
  <si>
    <t>C. C. LAMBERT ELEMENTARY</t>
  </si>
  <si>
    <t>C. C. VIOLETTE ELEMENTARY</t>
  </si>
  <si>
    <t>C. E. UTT MIDDLE</t>
  </si>
  <si>
    <t>C. K. MCCLATCHY HIGH</t>
  </si>
  <si>
    <t>C. MORLEY SELLERY SPECIAL EDUCATION CENTER</t>
  </si>
  <si>
    <t>C. ROY CARMICHAEL ELEMENTARY</t>
  </si>
  <si>
    <t>C. T. ENGLISH MIDDLE</t>
  </si>
  <si>
    <t>C. W. DILLARD ELEMENTARY</t>
  </si>
  <si>
    <t>C. W. HAMAN ELEMENTARY</t>
  </si>
  <si>
    <t>CABAZON ELEMENTARY</t>
  </si>
  <si>
    <t>CABELLO STUDENT SUPPORT CENTER</t>
  </si>
  <si>
    <t>CABOT YERXA ELEMENTARY</t>
  </si>
  <si>
    <t>CABRILLO AVENUE ELEMENTARY</t>
  </si>
  <si>
    <t>CABRILLO ELEMENTARY</t>
  </si>
  <si>
    <t>CABRILLO HIGH</t>
  </si>
  <si>
    <t>CABRILLO MIDDLE</t>
  </si>
  <si>
    <t>CACHE CREEK HIGH (CONTINUATION)</t>
  </si>
  <si>
    <t>CACTUS MIDDLE</t>
  </si>
  <si>
    <t>CADMAN ELEMENTARY</t>
  </si>
  <si>
    <t>CADWALLADER ELEMENTARY</t>
  </si>
  <si>
    <t>CAHUENGA ELEMENTARY</t>
  </si>
  <si>
    <t>CAHUILLA DESERT ACADEMY JUNIOR HIGH</t>
  </si>
  <si>
    <t>CAHUILLA ELEMENTARY</t>
  </si>
  <si>
    <t>CAJON HIGH</t>
  </si>
  <si>
    <t>CAJON PARK ELEMENTARY</t>
  </si>
  <si>
    <t>CAJON VALLEY COMMUNITY DAY</t>
  </si>
  <si>
    <t>CAJON VALLEY HOME</t>
  </si>
  <si>
    <t>CAJON VALLEY MIDDLE</t>
  </si>
  <si>
    <t>CAL AERO PRESERVE ACADEMY</t>
  </si>
  <si>
    <t>CAL BURKE HIGH</t>
  </si>
  <si>
    <t>CALABASAS ELEMENTARY</t>
  </si>
  <si>
    <t>CALABASAS HIGH</t>
  </si>
  <si>
    <t>CALABASH CHARTER ACADEMY</t>
  </si>
  <si>
    <t>CALAHAN COMMUNITY CHARTER</t>
  </si>
  <si>
    <t>CALAVERA HILLS ELEMENTARY</t>
  </si>
  <si>
    <t>CALAVERA HILLS MIDDLE</t>
  </si>
  <si>
    <t>CALAVERAS COUNTY ROP</t>
  </si>
  <si>
    <t>CALAVERAS COUNTY SPECIAL EDUCATION (SELPA)</t>
  </si>
  <si>
    <t>CALAVERAS EDUCATIONAL TRANSITIONS</t>
  </si>
  <si>
    <t>CALAVERAS ELEMENTARY</t>
  </si>
  <si>
    <t>CALAVERAS HIGH</t>
  </si>
  <si>
    <t>CALAVERAS HILLS</t>
  </si>
  <si>
    <t>CALAVERAS RIVER ACADEMY</t>
  </si>
  <si>
    <t>CALAVERAS UNIFIED ALTERNATIVE-SIERRA HILLS EDUCATI</t>
  </si>
  <si>
    <t>CALDWELL STREET ELEMENTARY</t>
  </si>
  <si>
    <t>CALEB GREENWOOD ELEMENTARY</t>
  </si>
  <si>
    <t>CALERO HIGH</t>
  </si>
  <si>
    <t>CALEXICO COMMUNITY DAY</t>
  </si>
  <si>
    <t>CALEXICO HIGH</t>
  </si>
  <si>
    <t>CALI CALMECAC LANGUAGE ACADEMY</t>
  </si>
  <si>
    <t>CALICO CONTINUATION HIGH</t>
  </si>
  <si>
    <t>CALIENTE ELEMENTARY</t>
  </si>
  <si>
    <t>CALIFORNIA ACADEMY OF MATHEMATICS AND SCIENCE</t>
  </si>
  <si>
    <t>CALIFORNIA AEROSPACE ACADEMY</t>
  </si>
  <si>
    <t>CALIFORNIA AVENUE ELEMENTARY</t>
  </si>
  <si>
    <t>CALIFORNIA CITY HIGH</t>
  </si>
  <si>
    <t>CALIFORNIA CITY MIDDLE</t>
  </si>
  <si>
    <t>CALIFORNIA CONNECTIONS ACADEMY @ RIPON</t>
  </si>
  <si>
    <t>CALIFORNIA ELEMENTARY</t>
  </si>
  <si>
    <t>CALIFORNIA HERITAGE YOUTHBUILD ACADEMY</t>
  </si>
  <si>
    <t>CALIFORNIA HIGH</t>
  </si>
  <si>
    <t>CALIFORNIA MIDDLE</t>
  </si>
  <si>
    <t>CALIFORNIA MILITARY INSTITUTE</t>
  </si>
  <si>
    <t>CALIFORNIA MONTESSORI PROJECT - CAPITOL CAMPUS</t>
  </si>
  <si>
    <t>CALIFORNIA MONTESSORI PROJECT - ELK GROVE CAMPUS</t>
  </si>
  <si>
    <t>CALIFORNIA MONTESSORI PROJECT-SAN JUAN CAMPUS</t>
  </si>
  <si>
    <t>CALIFORNIA MONTESSORI PROJECT-SHINGLE SPRINGS CAMP</t>
  </si>
  <si>
    <t>CALIFORNIA PACIFIC CHARTER SCHOOL NORTH CENTRAL CA</t>
  </si>
  <si>
    <t>CALIFORNIA PACIFIC CHARTER SCHOOL OF CENTRAL CALIF</t>
  </si>
  <si>
    <t>CALIFORNIA PACIFIC CHARTER SCHOOL OF KERN</t>
  </si>
  <si>
    <t>CALIFORNIA PACIFIC CHARTER SCHOOL OF SAN DIEGO</t>
  </si>
  <si>
    <t>CALIFORNIA PACIFIC CHARTER SCHOOL OF SAN FRANCISCO</t>
  </si>
  <si>
    <t>CALIFORNIA PREPARATORY ACADEMY</t>
  </si>
  <si>
    <t>CALIFORNIA SCHOOL FOR THE BLIND</t>
  </si>
  <si>
    <t>CALIFORNIA SCHOOL FOR THE DEAF-FREMONT</t>
  </si>
  <si>
    <t>CALIFORNIA SCHOOL FOR THE DEAF-RIVERSIDE</t>
  </si>
  <si>
    <t>CALIFORNIA VIRTUAL ACADEMY @ FRESNO</t>
  </si>
  <si>
    <t>CALIFORNIA VIRTUAL ACADEMY @ JAMESTOWN</t>
  </si>
  <si>
    <t>CALIFORNIA VIRTUAL ACADEMY @ KERN</t>
  </si>
  <si>
    <t>CALIFORNIA VIRTUAL ACADEMY @ KINGS</t>
  </si>
  <si>
    <t>CALIFORNIA VIRTUAL ACADEMY @ LOS ANGELES</t>
  </si>
  <si>
    <t>CALIFORNIA VIRTUAL ACADEMY @ LOS ANGELES HIGH</t>
  </si>
  <si>
    <t>CALIFORNIA VIRTUAL ACADEMY @ MARICOPA</t>
  </si>
  <si>
    <t>CALIFORNIA VIRTUAL ACADEMY @ SAN DIEGO</t>
  </si>
  <si>
    <t>CALIFORNIA VIRTUAL ACADEMY @ SAN JOAQUIN</t>
  </si>
  <si>
    <t>CALIFORNIA VIRTUAL ACADEMY @ SAN MATEO</t>
  </si>
  <si>
    <t>CALIFORNIA VIRTUAL ACADEMY @ SONOMA</t>
  </si>
  <si>
    <t>CALIFORNIA VIRTUAL ACADEMY @ SUTTER</t>
  </si>
  <si>
    <t>CALIFORNIA VIRTUAL ACADEMY HIGH @ MARICOPA</t>
  </si>
  <si>
    <t>CALIMESA ELEMENTARY</t>
  </si>
  <si>
    <t>CALIPATRIA HIGH</t>
  </si>
  <si>
    <t>CALISTOGA ELEMENTARY</t>
  </si>
  <si>
    <t>CALISTOGA JUNIOR-SENIOR HIGH</t>
  </si>
  <si>
    <t>CALLA HIGH</t>
  </si>
  <si>
    <t>CALLE MAYOR MIDDLE</t>
  </si>
  <si>
    <t>CALLIE KIRKPATRICK ELEMENTARY</t>
  </si>
  <si>
    <t>CALPELLA ELEMENTARY</t>
  </si>
  <si>
    <t>CALVERT CHARTER FOR ENRICHED STUDIES</t>
  </si>
  <si>
    <t>CALVINE HIGH</t>
  </si>
  <si>
    <t>CALWA ELEMENTARY</t>
  </si>
  <si>
    <t>CAMARENA (ENRIQUE S.) ELEMENTARY</t>
  </si>
  <si>
    <t>CAMARILLO ACADEMY OF PROGRESSIVE EDUCATION</t>
  </si>
  <si>
    <t>CAMARILLO HEIGHTS ELEMENTARY</t>
  </si>
  <si>
    <t>CAMBRIA COMMUNITY DAY</t>
  </si>
  <si>
    <t>CAMBRIA GRAMMAR</t>
  </si>
  <si>
    <t>CAMBRIDGE CONTINUATION HIGH</t>
  </si>
  <si>
    <t>CAMBRIDGE ELEMENTARY</t>
  </si>
  <si>
    <t>CAMBRIDGE HEIGHTS ELEMENTARY</t>
  </si>
  <si>
    <t>CAMBRIDGE HIGH</t>
  </si>
  <si>
    <t>CAMDEN COMMUNITY DAY</t>
  </si>
  <si>
    <t>CAMELLIA AVENUE ELEMENTARY</t>
  </si>
  <si>
    <t>CAMELLIA ELEMENTARY</t>
  </si>
  <si>
    <t>CAMERADO SPRINGS MIDDLE</t>
  </si>
  <si>
    <t>CAMERON</t>
  </si>
  <si>
    <t>CAMERON ELEMENTARY</t>
  </si>
  <si>
    <t>CAMERON RANCH ELEMENTARY</t>
  </si>
  <si>
    <t>CAMINO ELEMENTARY</t>
  </si>
  <si>
    <t>CAMINO GROVE ELEMENTARY</t>
  </si>
  <si>
    <t>CAMINO NUEVO ACADEMY #2</t>
  </si>
  <si>
    <t>CAMINO NUEVO CHARTER ACADEMY</t>
  </si>
  <si>
    <t>CAMINO NUEVO CHARTER ACADEMY NO. 4</t>
  </si>
  <si>
    <t>CAMINO NUEVO CHARTER HIGH</t>
  </si>
  <si>
    <t>CAMINO NUEVO ELEMENTARY NO. 3</t>
  </si>
  <si>
    <t>CAMINO NUEVO HIGH NO. 2</t>
  </si>
  <si>
    <t>CAMINO PABLO ELEMENTARY</t>
  </si>
  <si>
    <t>CAMINO REAL ELEMENTARY</t>
  </si>
  <si>
    <t>CAMINO SCIENCE AND NATURAL RESOURCES CHARTER</t>
  </si>
  <si>
    <t>CAMP GLENWOOD</t>
  </si>
  <si>
    <t>CAMPBELL HIGH COMMUNITY DAY</t>
  </si>
  <si>
    <t>CAMPBELL MIDDLE</t>
  </si>
  <si>
    <t>CAMPO ELEMENTARY</t>
  </si>
  <si>
    <t>CAMPO HIGH (CONTINUATION)</t>
  </si>
  <si>
    <t>CAMPOLINDO HIGH</t>
  </si>
  <si>
    <t>CAMPTONVILLE ACADEMY</t>
  </si>
  <si>
    <t>CAMPTONVILLE ELEMENTARY</t>
  </si>
  <si>
    <t>CAMPUS CANYON ELEMENTARY</t>
  </si>
  <si>
    <t>CAMPUS PARK ELEMENTARY</t>
  </si>
  <si>
    <t>CANALINO ELEMENTARY</t>
  </si>
  <si>
    <t>CANFIELD AVENUE ELEMENTARY</t>
  </si>
  <si>
    <t>CANOAS ELEMENTARY</t>
  </si>
  <si>
    <t>CANOGA PARK ELEMENTARY</t>
  </si>
  <si>
    <t>CANOGA PARK SENIOR HIGH</t>
  </si>
  <si>
    <t>CANTARA STREET ELEMENTARY</t>
  </si>
  <si>
    <t>CANTERBURY AVENUE ELEMENTARY</t>
  </si>
  <si>
    <t>CANTUA ELEMENTARY</t>
  </si>
  <si>
    <t>CANYON CREST ACADEMY</t>
  </si>
  <si>
    <t>CANYON CREST ELEMENTARY</t>
  </si>
  <si>
    <t>CANYON EARLY LEARNING CENTER</t>
  </si>
  <si>
    <t>CANYON ELEMENTARY</t>
  </si>
  <si>
    <t>CANYON HIGH</t>
  </si>
  <si>
    <t>CANYON HILLS</t>
  </si>
  <si>
    <t>CANYON HILLS JUNIOR HIGH</t>
  </si>
  <si>
    <t>CANYON LAKE MIDDLE</t>
  </si>
  <si>
    <t>CANYON MIDDLE</t>
  </si>
  <si>
    <t>CANYON OAKS ELEMENTARY</t>
  </si>
  <si>
    <t>CANYON OAKS HIGH</t>
  </si>
  <si>
    <t>CANYON OAKS YOUTH CENTER</t>
  </si>
  <si>
    <t>CANYON RIDGE HIGH</t>
  </si>
  <si>
    <t>CANYON RIM ELEMENTARY</t>
  </si>
  <si>
    <t>CANYON SPRINGS COMMUNITY ELEMENTARY</t>
  </si>
  <si>
    <t>CANYON SPRINGS HIGH</t>
  </si>
  <si>
    <t>CANYON VIEW ELEMENTARY</t>
  </si>
  <si>
    <t>CANYON VISTA ELEMENTARY</t>
  </si>
  <si>
    <t>CAPAY JOINT UNION ELEMENTARY</t>
  </si>
  <si>
    <t>CAPISTRANO AVENUE ELEMENTARY</t>
  </si>
  <si>
    <t>CAPISTRANO CONNECTIONS ACADEMY CHARTER</t>
  </si>
  <si>
    <t>CAPISTRANO ELEMENTARY</t>
  </si>
  <si>
    <t>CAPISTRANO VALLEY HIGH</t>
  </si>
  <si>
    <t>CAPISTRANO VIRTUAL/HOME</t>
  </si>
  <si>
    <t>CAPITAL CITY INDEPENDENT STUDY</t>
  </si>
  <si>
    <t>CAPITOL COLLEGIATE ACADEMY</t>
  </si>
  <si>
    <t>CAPPY CULVER ELEMENTARY</t>
  </si>
  <si>
    <t>CAPRI ELEMENTARY</t>
  </si>
  <si>
    <t>CAPTAIN COOPER ELEMENTARY</t>
  </si>
  <si>
    <t>CAPTAIN JASON M. DAHL ELEMENTARY</t>
  </si>
  <si>
    <t>CAPTAIN JOHN CONTINUATION HIGH</t>
  </si>
  <si>
    <t>CAPTAIN LELAND NORTON ELEMENTARY</t>
  </si>
  <si>
    <t>CAPTAIN RAYMOND COLLINS</t>
  </si>
  <si>
    <t>CAPUCHINO HIGH</t>
  </si>
  <si>
    <t>CARDIFF ELEMENTARY</t>
  </si>
  <si>
    <t>CARDOZO MIDDLE</t>
  </si>
  <si>
    <t>CARL B. MUNCK ELEMENTARY</t>
  </si>
  <si>
    <t>CARL E. GILBERT ELEMENTARY</t>
  </si>
  <si>
    <t>CARL H. SUNDAHL ELEMENTARY</t>
  </si>
  <si>
    <t>CARL HANKEY ELEMENTARY</t>
  </si>
  <si>
    <t>CARL HANKEY MIDDLE</t>
  </si>
  <si>
    <t>CARL HARVEY ELEMENTARY</t>
  </si>
  <si>
    <t>CARL SMITH MIDDLE</t>
  </si>
  <si>
    <t>CARLE (WILLIAM C.) HIGH (CONTINUATION)</t>
  </si>
  <si>
    <t>CARLETON P. LIGHTFOOT ELEMENTARY</t>
  </si>
  <si>
    <t>CARLIN C. COPPIN ELEMENTARY</t>
  </si>
  <si>
    <t>CARLMONT HIGH</t>
  </si>
  <si>
    <t>CARLOS SANTANA ARTS ACADEMY</t>
  </si>
  <si>
    <t>CARLSBAD HIGH</t>
  </si>
  <si>
    <t>CARLSBAD SEASIDE ACADEMY</t>
  </si>
  <si>
    <t>CARLSBAD VILLAGE ACADEMY</t>
  </si>
  <si>
    <t>CARLTON ELEMENTARY</t>
  </si>
  <si>
    <t>CARLTON HILLS ELEMENTARY</t>
  </si>
  <si>
    <t>CARLTON OAKS ELEMENTARY</t>
  </si>
  <si>
    <t>CARMACK</t>
  </si>
  <si>
    <t>CARMEL CHILD DEVELOPMENT CENTER</t>
  </si>
  <si>
    <t>CARMEL CREEK ELEMENTARY</t>
  </si>
  <si>
    <t>CARMEL DEL MAR ELEMENTARY</t>
  </si>
  <si>
    <t>CARMEL ELEMENTARY</t>
  </si>
  <si>
    <t>CARMEL HIGH</t>
  </si>
  <si>
    <t>CARMEL MIDDLE</t>
  </si>
  <si>
    <t>CARMEL RIVER ELEMENTARY</t>
  </si>
  <si>
    <t>CARMEL VALLEY HIGH</t>
  </si>
  <si>
    <t>CARMEL VALLEY MIDDLE</t>
  </si>
  <si>
    <t>CARMELA ELEMENTARY</t>
  </si>
  <si>
    <t>CARMEN DRAGON ELEMENTARY</t>
  </si>
  <si>
    <t>CARMENITA MIDDLE</t>
  </si>
  <si>
    <t>CARMICHAEL (BESSIE)/FEC</t>
  </si>
  <si>
    <t>CARMICHAEL ELEMENTARY</t>
  </si>
  <si>
    <t>CARNELIAN ELEMENTARY</t>
  </si>
  <si>
    <t>CAROLDALE LEARNING COMMUNITY</t>
  </si>
  <si>
    <t>CAROLINE HARRIS ELEMENTARY</t>
  </si>
  <si>
    <t>CAROLINE WENZEL ELEMENTARY</t>
  </si>
  <si>
    <t>CAROLYN A. CLARK ELEMENTARY</t>
  </si>
  <si>
    <t>CARPE DIEM HIGH (CONTINUATION)</t>
  </si>
  <si>
    <t>CARPENTER COMMUNITY CHARTER</t>
  </si>
  <si>
    <t>CARPENTER ELEMENTARY</t>
  </si>
  <si>
    <t>CARPINTERIA FAMILY</t>
  </si>
  <si>
    <t>CARPINTERIA MIDDLE</t>
  </si>
  <si>
    <t>CARPINTERIA SENIOR HIGH</t>
  </si>
  <si>
    <t>CARQUINEZ MIDDLE</t>
  </si>
  <si>
    <t>CARR LAKE COMMUNITY DAY</t>
  </si>
  <si>
    <t>CARRIAGE DRIVE ELEMENTARY</t>
  </si>
  <si>
    <t>CARRILLO ELEMENTARY</t>
  </si>
  <si>
    <t>CARRILLO RANCH ELEMENTARY</t>
  </si>
  <si>
    <t>CARRISA PLAINS ELEMENTARY</t>
  </si>
  <si>
    <t>CARROLL ELEMENTARY</t>
  </si>
  <si>
    <t>CARROLL FOWLER ELEMENTARY</t>
  </si>
  <si>
    <t>CARSON ELEMENTARY</t>
  </si>
  <si>
    <t>CARSON SENIOR HIGH</t>
  </si>
  <si>
    <t>CARSON STREET ELEMENTARY</t>
  </si>
  <si>
    <t>CARSON-GORE ACADEMY OF ENVIORNMENTAL STUDIES</t>
  </si>
  <si>
    <t>CARTER G. WOODSON PUBLIC CHARTER</t>
  </si>
  <si>
    <t>CARTHAY CENTER ELEMENTARY</t>
  </si>
  <si>
    <t>CARUTHERS ELEMENTARY</t>
  </si>
  <si>
    <t>CARUTHERS HIGH</t>
  </si>
  <si>
    <t>CARVER (CHARLES J.) ELEMENTARY</t>
  </si>
  <si>
    <t>CARVER (GEORGE WASHINGTON) ELEMENTARY</t>
  </si>
  <si>
    <t>CARVER ACADEMY</t>
  </si>
  <si>
    <t>CARVER ELEMENTARY</t>
  </si>
  <si>
    <t>CARYN ELEMENTARY</t>
  </si>
  <si>
    <t>CASA DE ORO ELEMENTARY</t>
  </si>
  <si>
    <t>CASA GRANDE HIGH</t>
  </si>
  <si>
    <t>CASA LOMA ELEMENTARY</t>
  </si>
  <si>
    <t>CASA RAMONA ACADEMY FOR TECHNOLOGY COMMUNITY AND</t>
  </si>
  <si>
    <t>CASA ROBLE FUNDAMENTAL HIGH</t>
  </si>
  <si>
    <t>CASCADE COMMUNITY DAY</t>
  </si>
  <si>
    <t>CASCADE HIGH</t>
  </si>
  <si>
    <t>CASEY ELEMENTARY</t>
  </si>
  <si>
    <t>CASILLAS (JOSEPH) ELEMENTARY</t>
  </si>
  <si>
    <t>CASIMIR MIDDLE</t>
  </si>
  <si>
    <t>CASITA CENTER FOR SCIENCE/MATH/TECHNOLOGY</t>
  </si>
  <si>
    <t>CASTAIC ELEMENTARY</t>
  </si>
  <si>
    <t>CASTAIC MIDDLE</t>
  </si>
  <si>
    <t>CASTELAR STREET ELEMENTARY</t>
  </si>
  <si>
    <t>CASTERLIN ELEMENTARY</t>
  </si>
  <si>
    <t>CASTILLE ELEMENTARY</t>
  </si>
  <si>
    <t>CASTILLERO MIDDLE</t>
  </si>
  <si>
    <t>CASTLE HEIGHTS ELEMENTARY</t>
  </si>
  <si>
    <t>CASTLE PARK ELEMENTARY</t>
  </si>
  <si>
    <t>CASTLE PARK MIDDLE</t>
  </si>
  <si>
    <t>CASTLE PARK SENIOR HIGH</t>
  </si>
  <si>
    <t>CASTLE ROCK</t>
  </si>
  <si>
    <t>CASTLE ROCK ELEMENTARY</t>
  </si>
  <si>
    <t>CASTLE VIEW ELEMENTARY</t>
  </si>
  <si>
    <t>CASTLEBAY LANE CHARTER</t>
  </si>
  <si>
    <t>CASTLEMONT ELEMENTARY</t>
  </si>
  <si>
    <t>CASTLEMONT HIGH</t>
  </si>
  <si>
    <t>CASTRO VALLEY ELEMENTARY</t>
  </si>
  <si>
    <t>CASTRO VALLEY HIGH</t>
  </si>
  <si>
    <t>CASTROVILLE ELEMENTARY</t>
  </si>
  <si>
    <t>CASWELL ELEMENTARY</t>
  </si>
  <si>
    <t>CASWELL STATE PRESCHOOL</t>
  </si>
  <si>
    <t>CATHEDRAL CITY ELEMENTARY</t>
  </si>
  <si>
    <t>CATHEDRAL CITY HIGH</t>
  </si>
  <si>
    <t>CATHERINE EVERETT ELEMENTARY</t>
  </si>
  <si>
    <t>CATHERINE L. ZANE MIDDLE</t>
  </si>
  <si>
    <t>CATHERYN GATES ELEMENTARY</t>
  </si>
  <si>
    <t>CATHEYS VALLEY ELEMENTARY</t>
  </si>
  <si>
    <t>CATSKILL AVENUE ELEMENTARY</t>
  </si>
  <si>
    <t>CAVE LANGUAGE ACADEMY</t>
  </si>
  <si>
    <t>CAWSTON ELEMENTARY</t>
  </si>
  <si>
    <t>CAYUCOS ELEMENTARY</t>
  </si>
  <si>
    <t>CDS ELEMENTARY</t>
  </si>
  <si>
    <t>CDS SECONDARY</t>
  </si>
  <si>
    <t>CECIL AVENUE MATH AND SCIENCE ACADEMY</t>
  </si>
  <si>
    <t>CECILIA LUCERO SOLORIO ELEMENTARY</t>
  </si>
  <si>
    <t>CEDAR GROVE ELEMENTARY</t>
  </si>
  <si>
    <t>CEDAR LANE ELEMENTARY</t>
  </si>
  <si>
    <t>CEDAR MIDDLE</t>
  </si>
  <si>
    <t>CEDARCREEK ELEMENTARY</t>
  </si>
  <si>
    <t>CEDARGROVE ELEMENTARY</t>
  </si>
  <si>
    <t>CEDARLANE ACADEMY</t>
  </si>
  <si>
    <t>CEDARWOOD ELEMENTARY</t>
  </si>
  <si>
    <t>CEIBA COLLEGE PREPARATORY ACADEMY</t>
  </si>
  <si>
    <t>CELERITY CARDINAL CHARTER</t>
  </si>
  <si>
    <t>CELERITY DYAD CHARTER</t>
  </si>
  <si>
    <t>CELERITY EXA CHARTER</t>
  </si>
  <si>
    <t>CELERITY NASCENT CHARTER</t>
  </si>
  <si>
    <t>CELERITY OCTAVIA CHARTER</t>
  </si>
  <si>
    <t>CELERITY PALMATI CHARTER</t>
  </si>
  <si>
    <t>CELERITY SIRIUS CHARTER</t>
  </si>
  <si>
    <t>CELERITY TROIKA CHARTER</t>
  </si>
  <si>
    <t>CENTENNIAL CONTINUATION HIGH</t>
  </si>
  <si>
    <t>CENTENNIAL ELEMENTARY</t>
  </si>
  <si>
    <t>CENTENNIAL HIGH</t>
  </si>
  <si>
    <t>CENTENNIAL INDEPENDENT STUDY</t>
  </si>
  <si>
    <t>CENTENNIAL VISTA HIGH</t>
  </si>
  <si>
    <t>CENTER ELEMENTARY</t>
  </si>
  <si>
    <t>CENTER FOR ADVANCED LEARNING</t>
  </si>
  <si>
    <t>CENTER FOR ALTERNATIVE LEARNING</t>
  </si>
  <si>
    <t>CENTER FOR LEARNING AND DEVELOPMENT</t>
  </si>
  <si>
    <t>CENTER HIGH</t>
  </si>
  <si>
    <t>CENTER MIDDLE</t>
  </si>
  <si>
    <t>CENTER STREET ELEMENTARY</t>
  </si>
  <si>
    <t>CENTERVILLE ELEMENTARY</t>
  </si>
  <si>
    <t>CENTERVILLE HIGH (CONTINUATION)</t>
  </si>
  <si>
    <t>CENTERVILLE JUNIOR HIGH</t>
  </si>
  <si>
    <t>CENTINELA ELEMENTARY</t>
  </si>
  <si>
    <t>CENTINELA VALLEY INDEPENDENT STUDY</t>
  </si>
  <si>
    <t>CENTRAL BAY HIGH (CONTINUATION)</t>
  </si>
  <si>
    <t>CENTRAL CALIFORNIA CONNECTIONS ACADEMY</t>
  </si>
  <si>
    <t>CENTRAL CITY VALUE</t>
  </si>
  <si>
    <t>CENTRAL COAST HIGH</t>
  </si>
  <si>
    <t>CENTRAL COAST NEW TECH HIGH</t>
  </si>
  <si>
    <t>CENTRAL COMMUNITY</t>
  </si>
  <si>
    <t>CENTRAL COUNTY SPECIAL EDUCATION PROGRAMS</t>
  </si>
  <si>
    <t>CENTRAL ELEMENTARY</t>
  </si>
  <si>
    <t>CENTRAL GAITHER ELEMENTARY</t>
  </si>
  <si>
    <t>CENTRAL HIGH</t>
  </si>
  <si>
    <t>CENTRAL HIGH (CONTINUATION)</t>
  </si>
  <si>
    <t>CENTRAL HIGH EAST CAMPUS</t>
  </si>
  <si>
    <t>CENTRAL JUVENILE HALL</t>
  </si>
  <si>
    <t>CENTRAL LANGUAGE ACADEMY</t>
  </si>
  <si>
    <t>CENTRAL MIDDLE</t>
  </si>
  <si>
    <t>CENTRAL ORANGE COUNTY CTE PARTNERSHIP (CTEP)</t>
  </si>
  <si>
    <t>CENTRAL SIERRA ROP</t>
  </si>
  <si>
    <t>CENTRAL UNIFIED ALTERNATIVE/OPPORTUNITY</t>
  </si>
  <si>
    <t>CENTRAL UNION ADULT</t>
  </si>
  <si>
    <t>CENTRAL UNION HIGH</t>
  </si>
  <si>
    <t>CENTRAL VALLEY HIGH</t>
  </si>
  <si>
    <t>CENTRAL VALLEY HIGH (CONTINUATION)</t>
  </si>
  <si>
    <t>CENTRALIA ELEMENTARY</t>
  </si>
  <si>
    <t>CENTURY ACADEMY</t>
  </si>
  <si>
    <t>CENTURY ACADEMY FOR EXCELLENCE</t>
  </si>
  <si>
    <t>CENTURY COMMUNITY CHARTER</t>
  </si>
  <si>
    <t>CENTURY ELEMENTARY</t>
  </si>
  <si>
    <t>CENTURY HIGH</t>
  </si>
  <si>
    <t>CENTURY PARK ELEMENTARY</t>
  </si>
  <si>
    <t>CERES ELEMENTARY</t>
  </si>
  <si>
    <t>CERES HIGH</t>
  </si>
  <si>
    <t>CERRA VISTA ELEMENTARY</t>
  </si>
  <si>
    <t>CERRITOS ELEMENTARY</t>
  </si>
  <si>
    <t>CERRITOS HIGH</t>
  </si>
  <si>
    <t>CERRO VILLA MIDDLE</t>
  </si>
  <si>
    <t>CESAR CHAVEZ ACADEMY</t>
  </si>
  <si>
    <t>CESAR CHAVEZ CONTINUATION HIGH</t>
  </si>
  <si>
    <t>CESAR CHAVEZ ELEMENTARY</t>
  </si>
  <si>
    <t>CESAR CHAVEZ HIGH</t>
  </si>
  <si>
    <t>CESAR CHAVEZ INTERMEDIATE</t>
  </si>
  <si>
    <t>CESAR CHAVEZ JUNIOR HIGH</t>
  </si>
  <si>
    <t>CESAR CHAVEZ LANGUAGE ACADEMY</t>
  </si>
  <si>
    <t>CESAR CHAVEZ MIDDLE</t>
  </si>
  <si>
    <t>CESAR E CHAVEZ ELEMENTARY</t>
  </si>
  <si>
    <t>CESAR E. CHAVEZ ELEMENTARY</t>
  </si>
  <si>
    <t>CESAR E. CHAVEZ HIGH</t>
  </si>
  <si>
    <t>CESAR E. CHAVEZ LRNG ACADS-ACAD OF SCIENTIFIC EXPL</t>
  </si>
  <si>
    <t>CESAR E. CHAVEZ LRNG ACADS-ARTSTHEATRE ENTERTMNT</t>
  </si>
  <si>
    <t>CESAR E. CHAVEZ LRNG ACADS-SOC JUST HUMANITAS ACAD</t>
  </si>
  <si>
    <t>CESAR E. CHAVEZ LRNG ACADS-TEACHER PREPARATION ACA</t>
  </si>
  <si>
    <t>CESAR E. CHAVEZ MIDDLE</t>
  </si>
  <si>
    <t>CHABOT ELEMENTARY</t>
  </si>
  <si>
    <t>CHABOYA MIDDLE</t>
  </si>
  <si>
    <t>CHAFFEY COMMUNITY DAY</t>
  </si>
  <si>
    <t>CHAFFEY DISTRICT ONLINE HIGH</t>
  </si>
  <si>
    <t>CHAFFEY HIGH</t>
  </si>
  <si>
    <t>CHALLENGER ELEMENTARY COMMUNITY DAY</t>
  </si>
  <si>
    <t>CHALLENGER MIDDLE</t>
  </si>
  <si>
    <t>CHALLENGER SCHOOL OF SPORTS AND FITNESS</t>
  </si>
  <si>
    <t>CHALLENGES COMMUNITY DAY</t>
  </si>
  <si>
    <t>CHALONE HIGH</t>
  </si>
  <si>
    <t>CHALONE PEAKS MIDDLE</t>
  </si>
  <si>
    <t>CHAMPS - CHARTER HS OF ARTS-MULTIMEDIA &amp; PERFORMIN</t>
  </si>
  <si>
    <t>CHANA HIGH (CONTINUATION)</t>
  </si>
  <si>
    <t>CHANDLER LEARNING ACADEMY</t>
  </si>
  <si>
    <t>CHANNEL ISLANDS HIGH</t>
  </si>
  <si>
    <t>CHAPARRAL ELEMENTARY</t>
  </si>
  <si>
    <t>CHAPARRAL HIGH</t>
  </si>
  <si>
    <t>CHAPARRAL HIGH (CONTINUATION)</t>
  </si>
  <si>
    <t>CHAPARRAL HILLS ELEMENTARY</t>
  </si>
  <si>
    <t>CHAPARRAL MIDDLE</t>
  </si>
  <si>
    <t>CHAPMAN ELEMENTARY</t>
  </si>
  <si>
    <t>CHAPMAN HEIGHTS ELEMENTARY</t>
  </si>
  <si>
    <t>CHAPMAN HILLS ELEMENTARY</t>
  </si>
  <si>
    <t>CHARLES BLACKSTOCK JUNIOR HIGH</t>
  </si>
  <si>
    <t>CHARLES BURSCH ELEMENTARY</t>
  </si>
  <si>
    <t>CHARLES D. JONES JUNIOR HIGH</t>
  </si>
  <si>
    <t>CHARLES DREW MIDDLE</t>
  </si>
  <si>
    <t>CHARLES E. MACK ELEMENTARY</t>
  </si>
  <si>
    <t>CHARLES G. EMERY ELEMENTARY</t>
  </si>
  <si>
    <t>CHARLES H. CASTLE ELEMENTARY</t>
  </si>
  <si>
    <t>CHARLES H. KIM ELEMENTARY</t>
  </si>
  <si>
    <t>CHARLES H. LEE ELEMENTARY</t>
  </si>
  <si>
    <t>CHARLES HELMERS ELEMENTARY</t>
  </si>
  <si>
    <t>CHARLES HOFFMAN ELEMENTARY</t>
  </si>
  <si>
    <t>CHARLES L. SULLIVAN MIDDLE</t>
  </si>
  <si>
    <t>CHARLES LEROY LOWMAN SPECIAL EDUCATION CENTER</t>
  </si>
  <si>
    <t>CHARLES MACLAY MIDDLE</t>
  </si>
  <si>
    <t>CHARLES PECK ELEMENTARY</t>
  </si>
  <si>
    <t>CHARLES T. KRANZ INTERMEDIATE</t>
  </si>
  <si>
    <t>CHARLES W. BARRETT ELEMENTARY</t>
  </si>
  <si>
    <t>CHARLES W. ELIOT MIDDLE</t>
  </si>
  <si>
    <t>CHARLES W. TEWINKLE MIDDLE</t>
  </si>
  <si>
    <t>CHARLES WAGNER ELEMENTARY</t>
  </si>
  <si>
    <t>CHARLES WHITE ELEMENTARY</t>
  </si>
  <si>
    <t>CHARLES WRIGHT ELEMENTARY</t>
  </si>
  <si>
    <t>CHARLESTON ELEMENTARY</t>
  </si>
  <si>
    <t>CHARLOTTE N. WERNER ELEMENTARY</t>
  </si>
  <si>
    <t>CHARLOTTE WOOD MIDDLE</t>
  </si>
  <si>
    <t>CHARNOCK ROAD ELEMENTARY</t>
  </si>
  <si>
    <t>CHARTER ALTERNATIVE PROGRAM (CAP)</t>
  </si>
  <si>
    <t>CHARTER ALTERNATIVES ACADEMY</t>
  </si>
  <si>
    <t>CHARTER COMMUNITY SCHOOL HOME STUDY ACADEMY</t>
  </si>
  <si>
    <t>CHARTER HOME SCHOOL ACADEMY</t>
  </si>
  <si>
    <t>CHARTER MONTESSORI BLUE OAK CAMPUS</t>
  </si>
  <si>
    <t>CHARTER OAK HIGH</t>
  </si>
  <si>
    <t>CHARTER SCHOOL OF MORGAN HILL</t>
  </si>
  <si>
    <t>CHARTER SCHOOL OF SAN DIEGO</t>
  </si>
  <si>
    <t>CHASE AVENUE ELEMENTARY</t>
  </si>
  <si>
    <t>CHASE STREET ELEMENTARY</t>
  </si>
  <si>
    <t>CHATOM ELEMENTARY</t>
  </si>
  <si>
    <t>CHATSWORTH CHARTER HIGH</t>
  </si>
  <si>
    <t>CHATSWORTH PARK ELEMENTARY</t>
  </si>
  <si>
    <t>CHAUTAUQUA HIGH (CONTINUATION)</t>
  </si>
  <si>
    <t>CHAVEZ (CESAR) ELEMENTARY</t>
  </si>
  <si>
    <t>CHAVEZ ELEMENTARY</t>
  </si>
  <si>
    <t>CHAWANAKEE ACADEMY</t>
  </si>
  <si>
    <t>CHAWANAKEE CULINARY ARTS INSTITUTE</t>
  </si>
  <si>
    <t>CHEMAWA MIDDLE</t>
  </si>
  <si>
    <t>CHEREMOYA AVENUE ELEMENTARY</t>
  </si>
  <si>
    <t>CHEROKEE POINT ELEMENTARY</t>
  </si>
  <si>
    <t>CHERRY AVENUE MIDDLE</t>
  </si>
  <si>
    <t>CHERRY CHASE ELEMENTARY</t>
  </si>
  <si>
    <t>CHERRYLAND ELEMENTARY</t>
  </si>
  <si>
    <t>CHERRYLEE ELEMENTARY</t>
  </si>
  <si>
    <t>CHERRYWOOD ELEMENTARY</t>
  </si>
  <si>
    <t>CHESNUT HIGH (CONTINUATION)</t>
  </si>
  <si>
    <t>CHESTER ELEMENTARY</t>
  </si>
  <si>
    <t>CHESTER JUNIOR/SENIOR HIGH</t>
  </si>
  <si>
    <t>CHESTER W. MORRISON ELEMENTARY</t>
  </si>
  <si>
    <t>CHESTER W. NIMITZ ELEMENTARY</t>
  </si>
  <si>
    <t>CHESTER W. NIMITZ MIDDLE</t>
  </si>
  <si>
    <t>CHESTERTON ELEMENTARY</t>
  </si>
  <si>
    <t>CHET F. HARRITT ELEMENTARY</t>
  </si>
  <si>
    <t>CHEVIOT HILLS CONTINUATION</t>
  </si>
  <si>
    <t>CHICAGO PARK COMMUNITY CHARTER</t>
  </si>
  <si>
    <t>CHICAGO PARK ELEMENTARY</t>
  </si>
  <si>
    <t>CHICO COUNTRY DAY</t>
  </si>
  <si>
    <t>CHICO GREEN</t>
  </si>
  <si>
    <t>CHICO HIGH</t>
  </si>
  <si>
    <t>CHICO JUNIOR HIGH</t>
  </si>
  <si>
    <t>CHILDREN OF PROMISE PREPARATORY ACADEMY</t>
  </si>
  <si>
    <t>CHILDREN'S CENTER</t>
  </si>
  <si>
    <t>CHILDREN'S COMMUNITY CHARTER</t>
  </si>
  <si>
    <t>CHILDREN'S HOSPITAL OF CENTRAL CALIFORNIA</t>
  </si>
  <si>
    <t>CHIME CHARTER MIDDLE</t>
  </si>
  <si>
    <t>CHIME INSTITUTE'S SCHWARZENEGGER COMMUNITY</t>
  </si>
  <si>
    <t>CHIN (JOHN YEHALL) ELEMENTARY</t>
  </si>
  <si>
    <t>CHINESE CAMP ELEMENTARY</t>
  </si>
  <si>
    <t>CHINESE EDUCATION CENTER</t>
  </si>
  <si>
    <t>CHINESE IMMERSION SCHOOL AT DEAVILA</t>
  </si>
  <si>
    <t>CHINO HIGH</t>
  </si>
  <si>
    <t>CHINO HILLS HIGH</t>
  </si>
  <si>
    <t>CHINO VALLEY LEARNING ACADEMY</t>
  </si>
  <si>
    <t>CHIPMAN JUNIOR HIGH</t>
  </si>
  <si>
    <t>CHOICE 2000 ON-LINE</t>
  </si>
  <si>
    <t>CHOLLAS/MEAD ELEMENTARY</t>
  </si>
  <si>
    <t>CHOWCHILLA UNION HIGH</t>
  </si>
  <si>
    <t>CHRISTA MCAULIFFE ELEMENTARY</t>
  </si>
  <si>
    <t>CHRISTA MCAULIFFE MIDDLE</t>
  </si>
  <si>
    <t>CHRISTIAN SORENSEN ELEMENTARY</t>
  </si>
  <si>
    <t>CHRISTINE SIPHERD ELEMENTARY</t>
  </si>
  <si>
    <t>CHRISTOPHER COLUMBUS MIDDLE</t>
  </si>
  <si>
    <t>CHRISTOPHER DENA ELEMENTARY</t>
  </si>
  <si>
    <t>CHRISTOPHER ELEMENTARY</t>
  </si>
  <si>
    <t>CHRISTOPHER HIGH</t>
  </si>
  <si>
    <t>CHRYSALIS CHARTER</t>
  </si>
  <si>
    <t>CHUALAR ELEMENTARY</t>
  </si>
  <si>
    <t>CHULA VISTA HILLS ELEMENTARY</t>
  </si>
  <si>
    <t>CHULA VISTA LEARNING COMMUNITY CHARTER</t>
  </si>
  <si>
    <t>CHULA VISTA MIDDLE</t>
  </si>
  <si>
    <t>CHULA VISTA SENIOR HIGH</t>
  </si>
  <si>
    <t>CIELO VISTA CHARTER</t>
  </si>
  <si>
    <t>CIELO VISTA ELEMENTARY</t>
  </si>
  <si>
    <t>CIENEGA ELEMENTARY</t>
  </si>
  <si>
    <t>CIMARRON AVENUE ELEMENTARY</t>
  </si>
  <si>
    <t>CIMARRON ELEMENTARY</t>
  </si>
  <si>
    <t>CINNABAR CHARTER</t>
  </si>
  <si>
    <t>CINNABAR ELEMENTARY</t>
  </si>
  <si>
    <t>CINNAMON ELEMENTARY</t>
  </si>
  <si>
    <t>CIPRIANI ELEMENTARY</t>
  </si>
  <si>
    <t>CIRCLE OF INDEPENDENT LEARNING</t>
  </si>
  <si>
    <t>CIRCLE VIEW ELEMENTARY</t>
  </si>
  <si>
    <t>CIS ACADEMY</t>
  </si>
  <si>
    <t>CITIZENS OF THE WORLD 2</t>
  </si>
  <si>
    <t>CITIZENS OF THE WORLD 3</t>
  </si>
  <si>
    <t>CITIZENS OF THE WORLD CHARTER</t>
  </si>
  <si>
    <t>CITRUS AVENUE ELEMENTARY</t>
  </si>
  <si>
    <t>CITRUS ELEMENTARY</t>
  </si>
  <si>
    <t>CITRUS GLEN ELEMENTARY</t>
  </si>
  <si>
    <t>CITRUS HEIGHTS ELEMENTARY</t>
  </si>
  <si>
    <t>CITRUS HIGH</t>
  </si>
  <si>
    <t>CITRUS HIGH (CONTINUATION)</t>
  </si>
  <si>
    <t>CITRUS HILL HIGH</t>
  </si>
  <si>
    <t>CITRUS HILLS INTERMEDIATE</t>
  </si>
  <si>
    <t>CITRUS MIDDLE</t>
  </si>
  <si>
    <t>CITRUS SOUTH TULE ELEMENTARY</t>
  </si>
  <si>
    <t>CITRUS VALLEY HIGH</t>
  </si>
  <si>
    <t>CITY ARTS AND TECH HIGH</t>
  </si>
  <si>
    <t>CITY CHARTER ELEMENTARY</t>
  </si>
  <si>
    <t>CITY CHARTER MIDDLE</t>
  </si>
  <si>
    <t>CITY HEIGHTS PREPARATORY CHARTER</t>
  </si>
  <si>
    <t>CITY HONORS COLLEGE PREPARATORY CHARTER</t>
  </si>
  <si>
    <t>CITY OF ANGELS</t>
  </si>
  <si>
    <t>CITY TERRACE ELEMENTARY</t>
  </si>
  <si>
    <t>CIVICORPS CORPSMEMBER ACADEMY</t>
  </si>
  <si>
    <t>CIVICORPS ELEMENTARY</t>
  </si>
  <si>
    <t>CIVICORPS MIDDLE</t>
  </si>
  <si>
    <t>CLAIREMONT HIGH</t>
  </si>
  <si>
    <t>CLAIRMONT ELEMENTARY</t>
  </si>
  <si>
    <t>CLARA BARTON ELEMENTARY</t>
  </si>
  <si>
    <t>CLARA J. KING ELEMENTARY</t>
  </si>
  <si>
    <t>CLAREMONT HIGH</t>
  </si>
  <si>
    <t>CLAREMONT MIDDLE</t>
  </si>
  <si>
    <t>CLARENCE LOBO ELEMENTARY</t>
  </si>
  <si>
    <t>CLARENCE RUTH ELEMENTARY</t>
  </si>
  <si>
    <t>CLARENDON ALTERNATIVE ELEMENTARY</t>
  </si>
  <si>
    <t>CLARK INTERMEDIATE</t>
  </si>
  <si>
    <t>CLARK MIDDLE</t>
  </si>
  <si>
    <t>CLARKSBURG MIDDLE</t>
  </si>
  <si>
    <t>CLAS AFFIRMATION</t>
  </si>
  <si>
    <t>CLASSICAL ACADEMY</t>
  </si>
  <si>
    <t>CLASSICAL ACADEMY HIGH</t>
  </si>
  <si>
    <t>CLAUDIA LANDEEN</t>
  </si>
  <si>
    <t>CLAY ELEMENTARY</t>
  </si>
  <si>
    <t>CLAYTON A. RECORD JR. ELEMENTARY</t>
  </si>
  <si>
    <t>CLAYTON B. WIRE ELEMENTARY</t>
  </si>
  <si>
    <t>CLAYTON VALLEY CHARTER HIGH</t>
  </si>
  <si>
    <t>CLAYTON VALLEY HIGH</t>
  </si>
  <si>
    <t>CLEAR CREEK ELEMENTARY</t>
  </si>
  <si>
    <t>CLEAR LAKE HIGH</t>
  </si>
  <si>
    <t>CLEAR VIEW</t>
  </si>
  <si>
    <t>CLEARLAKE COMMUNITY</t>
  </si>
  <si>
    <t>CLEMENT MIDDLE</t>
  </si>
  <si>
    <t>CLEMENTS ELEMENTARY</t>
  </si>
  <si>
    <t>CLEMINSON ELEMENTARY</t>
  </si>
  <si>
    <t>CLEO GORDON ELEMENTARY</t>
  </si>
  <si>
    <t>CLEVELAND ELEMENTARY</t>
  </si>
  <si>
    <t>CLIFFORD D. MURRAY ELEMENTARY</t>
  </si>
  <si>
    <t>CLIFFORD ELEMENTARY</t>
  </si>
  <si>
    <t>CLIFFORD STREET ELEMENTARY</t>
  </si>
  <si>
    <t>CLIFTON MIDDLE</t>
  </si>
  <si>
    <t>CLINTON WILLIAM JEFFERSON</t>
  </si>
  <si>
    <t>CLINTON-MENDENHALL ELEMENTARY</t>
  </si>
  <si>
    <t>CLOUD PRESCHOOL</t>
  </si>
  <si>
    <t>CLOVER AVENUE ELEMENTARY</t>
  </si>
  <si>
    <t>CLOVER FLAT ELEMENTARY</t>
  </si>
  <si>
    <t>CLOVER VALLEY HIGH (CONTINUATION)</t>
  </si>
  <si>
    <t>CLOVERDALE ELEMENTARY</t>
  </si>
  <si>
    <t>CLOVERDALE HIGH</t>
  </si>
  <si>
    <t>CLOVERLAND ELEMENTARY</t>
  </si>
  <si>
    <t>CLOVERLY ELEMENTARY</t>
  </si>
  <si>
    <t>CLOVIS COMMUNITY DAY ELEMENTARY</t>
  </si>
  <si>
    <t>CLOVIS COMMUNITY DAY SECONDARY</t>
  </si>
  <si>
    <t>CLOVIS EAST HIGH</t>
  </si>
  <si>
    <t>CLOVIS ELEMENTARY</t>
  </si>
  <si>
    <t>CLOVIS HIGH</t>
  </si>
  <si>
    <t>CLOVIS NORTH HIGH</t>
  </si>
  <si>
    <t>CLOVIS ONLINE CHARTER</t>
  </si>
  <si>
    <t>CLOVIS WEST HIGH</t>
  </si>
  <si>
    <t>CLYDE ARBUCKLE ELEMENTARY</t>
  </si>
  <si>
    <t>CLYDE L. FISCHER MIDDLE</t>
  </si>
  <si>
    <t>CLYDE W. NEEDHAM ELEMENTARY</t>
  </si>
  <si>
    <t>COACHELLA VALLEY HIGH</t>
  </si>
  <si>
    <t>COACHELLA VALLEY USD SPECIAL ED PREK</t>
  </si>
  <si>
    <t>COALINGA HIGH</t>
  </si>
  <si>
    <t>COALINGA MIDDLE</t>
  </si>
  <si>
    <t>COARSEGOLD ELEMENTARY</t>
  </si>
  <si>
    <t>COAST HIGH</t>
  </si>
  <si>
    <t>COAST UNION HIGH</t>
  </si>
  <si>
    <t>COASTAL ACADEMY</t>
  </si>
  <si>
    <t>COASTAL ADULT</t>
  </si>
  <si>
    <t>COASTAL GROVE CHARTER</t>
  </si>
  <si>
    <t>COASTLINE ROP</t>
  </si>
  <si>
    <t>COBALT INSTITUTE OF MATH AND SCIENCE ACADEMY</t>
  </si>
  <si>
    <t>COBB (WILLIAM L.) ELEMENTARY</t>
  </si>
  <si>
    <t>COBB MOUNTAIN ELEMENTARY</t>
  </si>
  <si>
    <t>COBBLESTONE ELEMENTARY</t>
  </si>
  <si>
    <t>COEUR D'ALENE AVENUE ELEMENTARY</t>
  </si>
  <si>
    <t>COFFEE CREEK ELEMENTARY</t>
  </si>
  <si>
    <t>COGSWELL ELEMENTARY</t>
  </si>
  <si>
    <t>COHASSET STREET ELEMENTARY</t>
  </si>
  <si>
    <t>COL. J. K. TUFFREE MIDDLE</t>
  </si>
  <si>
    <t>COLD SPRING ELEMENTARY</t>
  </si>
  <si>
    <t>COLD SPRINGS HIGH</t>
  </si>
  <si>
    <t>COLD STREAM ALTERNATIVE</t>
  </si>
  <si>
    <t>COLDWATER CANYON ELEMENTARY</t>
  </si>
  <si>
    <t>COLE CANYON ELEMENTARY</t>
  </si>
  <si>
    <t>COLE ELEMENTARY</t>
  </si>
  <si>
    <t>COLEGIO NEW CITY</t>
  </si>
  <si>
    <t>COLEMAN ELEMENTARY</t>
  </si>
  <si>
    <t>COLEMAN F. BROWN ELEMENTARY</t>
  </si>
  <si>
    <t>COLEMAN TECH CHARTER HIGH</t>
  </si>
  <si>
    <t>COLEVILLE HIGH</t>
  </si>
  <si>
    <t>COLFAX CHARTER ELEMENTARY</t>
  </si>
  <si>
    <t>COLFAX ELEMENTARY</t>
  </si>
  <si>
    <t>COLFAX HIGH</t>
  </si>
  <si>
    <t>COLINA MIDDLE</t>
  </si>
  <si>
    <t>COLISEUM COLLEGE PREP ACADEMY</t>
  </si>
  <si>
    <t>COLISEUM STREET ELEMENTARY</t>
  </si>
  <si>
    <t>COLLEGE CONNECTION ACADEMY</t>
  </si>
  <si>
    <t>COLLEGE ELEMENTARY</t>
  </si>
  <si>
    <t>COLLEGE HEIGHTS ELEMENTARY</t>
  </si>
  <si>
    <t>COLLEGE PARK ELEMENTARY</t>
  </si>
  <si>
    <t>COLLEGE PARK HIGH</t>
  </si>
  <si>
    <t>COLLEGE PREPARATORY AND ARCHITECTURE ACADEMY</t>
  </si>
  <si>
    <t>COLLEGE PREPARATORY MIDDLE</t>
  </si>
  <si>
    <t>COLLEGE VIEW</t>
  </si>
  <si>
    <t>COLLEGE VIEW ELEMENTARY</t>
  </si>
  <si>
    <t>COLLEGEVILLE ELEMENTARY</t>
  </si>
  <si>
    <t>COLLEGEWOOD ELEMENTARY</t>
  </si>
  <si>
    <t>COLLETT ELEMENTARY</t>
  </si>
  <si>
    <t>COLLINS ELEMENTARY</t>
  </si>
  <si>
    <t>COLLIS P. HUNTINGTON ELEMENTARY</t>
  </si>
  <si>
    <t>COLONEL HOWARD NICHOLS ELEMENTARY</t>
  </si>
  <si>
    <t>COLONEL JOSEPH C. RODRIGUEZ PREP ACADEMY</t>
  </si>
  <si>
    <t>COLONEL MITCHELL PAIGE MIDDLE</t>
  </si>
  <si>
    <t>COLONIAL ACRES ELEMENTARY</t>
  </si>
  <si>
    <t>COLONIAL HEIGHTS</t>
  </si>
  <si>
    <t>COLONY BASIC SKILLS ALTERNATIVE HIGH</t>
  </si>
  <si>
    <t>COLONY HIGH</t>
  </si>
  <si>
    <t>COLONY OAK ELEMENTARY</t>
  </si>
  <si>
    <t>COLTON HIGH</t>
  </si>
  <si>
    <t>COLTON MIDDLE</t>
  </si>
  <si>
    <t>COLTON-REDLANDS-YUCAIPA ROP</t>
  </si>
  <si>
    <t>COLUMBIA ACADEMY</t>
  </si>
  <si>
    <t>COLUMBIA ELEMENTARY</t>
  </si>
  <si>
    <t>COLUMBIA INTERNATIONAL SCIENCE MATH &amp; TECHNOLOGY</t>
  </si>
  <si>
    <t>COLUMBIA MIDDLE</t>
  </si>
  <si>
    <t>COLUMBIA-EAST VALLEY 6-8 COMMUNITY DAY</t>
  </si>
  <si>
    <t>COLUMBIA-EAST VALLEY K-6 COMMUNITY DAY</t>
  </si>
  <si>
    <t>COLUMBINE ELEMENTARY</t>
  </si>
  <si>
    <t>COLUMBUS AVENUE</t>
  </si>
  <si>
    <t>COLUMBUS CONTINUATION</t>
  </si>
  <si>
    <t>COLUMBUS ELEMENTARY</t>
  </si>
  <si>
    <t>COLUMBUS TUSTIN MIDDLE</t>
  </si>
  <si>
    <t>COLUSA ALTERNATIVE HIGH (CONTINUATION)</t>
  </si>
  <si>
    <t>COLUSA ALTERNATIVE HOME</t>
  </si>
  <si>
    <t>COLUSA COUNTY COMMUNITY</t>
  </si>
  <si>
    <t>COLUSA COUNTY OPPORTUNITY</t>
  </si>
  <si>
    <t>COLUSA COUNTY SPECIAL EDUCATION</t>
  </si>
  <si>
    <t>COLUSA HIGH</t>
  </si>
  <si>
    <t>COMMODORE STOCKTON SKILLS</t>
  </si>
  <si>
    <t>COMMONWEALTH AVENUE ELEMENTARY</t>
  </si>
  <si>
    <t>COMMONWEALTH ELEMENTARY</t>
  </si>
  <si>
    <t>COMMUNICATION AND TECH AT DIEGO RIVERA LRNG COMPLE</t>
  </si>
  <si>
    <t>COMMUNITAS CHARTER HIGH</t>
  </si>
  <si>
    <t>COMMUNITY CAREER ACADEMY (CONTINUATION)</t>
  </si>
  <si>
    <t>COMMUNITY COLLABORATIVE CHARTER</t>
  </si>
  <si>
    <t>COMMUNITY DAY</t>
  </si>
  <si>
    <t>COMMUNITY DAY INTERMEDIATE AND HIGH</t>
  </si>
  <si>
    <t>COMMUNITY DAY K-6</t>
  </si>
  <si>
    <t>COMMUNITY DAY SCHOOL III</t>
  </si>
  <si>
    <t>COMMUNITY DAY/ALTERNATIVE EDUCATION/SPECIAL EDUCAT</t>
  </si>
  <si>
    <t>COMMUNITY HARVEST CHARTER</t>
  </si>
  <si>
    <t>COMMUNITY HIGH</t>
  </si>
  <si>
    <t>COMMUNITY HIGH (CONTINUATION)</t>
  </si>
  <si>
    <t>COMMUNITY MAGNET CHARTER ELEMENTARY</t>
  </si>
  <si>
    <t>COMMUNITY MONTESSORI CHARTER</t>
  </si>
  <si>
    <t>COMMUNITY OUTREACH ACADEMY</t>
  </si>
  <si>
    <t>COMMUNITY ROOTS ACADEMY</t>
  </si>
  <si>
    <t>COMMUNITY SCHOOL FOR CREATIVE EDUCATION</t>
  </si>
  <si>
    <t>COMMUNITY SCHOOL/INDEPENDENT ALTERNATIVE EDUCATION</t>
  </si>
  <si>
    <t>COMMUNITY UNITED ELEMENTARY</t>
  </si>
  <si>
    <t>COMPETITIVE EDGE CHARTER ACADEMY (CECA)</t>
  </si>
  <si>
    <t>COMPTCHE ELEMENTARY</t>
  </si>
  <si>
    <t>COMPTON AVENUE ELEMENTARY</t>
  </si>
  <si>
    <t>COMPTON COMMUNITY DAY HIGH</t>
  </si>
  <si>
    <t>COMPTON COMMUNITY DAY MIDDLE</t>
  </si>
  <si>
    <t>COMPTON HIGH</t>
  </si>
  <si>
    <t>COMPTON JUNIOR HIGH</t>
  </si>
  <si>
    <t>COMPTON UNIFIED ROP</t>
  </si>
  <si>
    <t>CONCORD HIGH</t>
  </si>
  <si>
    <t>CONCORDIA ELEMENTARY</t>
  </si>
  <si>
    <t>CONCOW ELEMENTARY</t>
  </si>
  <si>
    <t>CONDIT ELEMENTARY</t>
  </si>
  <si>
    <t>CONDOR ELEMENTARY</t>
  </si>
  <si>
    <t>CONDOR HIGH</t>
  </si>
  <si>
    <t>CONEJO ELEMENTARY</t>
  </si>
  <si>
    <t>CONEJO MIDDLE</t>
  </si>
  <si>
    <t>CONEJO VALLEY HIGH (CONTINUATION)</t>
  </si>
  <si>
    <t>CONGRESSMAN JERRY LEWIS ELEMENTARY</t>
  </si>
  <si>
    <t>CONLEY ELEMENTARY</t>
  </si>
  <si>
    <t>CONNECT COMMUNITY CHARTER</t>
  </si>
  <si>
    <t>CONNECTING WATERS CHARTER</t>
  </si>
  <si>
    <t>CONNECTIONS VISUAL AND PERFORMING ARTS ACADEMY</t>
  </si>
  <si>
    <t>CONSERVATORY OF VOCAL/INSTRUMENTAL ARTS</t>
  </si>
  <si>
    <t>CONSTELLATION COMMUNITY CHARTER MIDDLE</t>
  </si>
  <si>
    <t>CONTEXT: MIDDLE SCHOOL TEMECULA</t>
  </si>
  <si>
    <t>CONTRA COSTA COUNTY ROP</t>
  </si>
  <si>
    <t>CONTRERAS LEARNING CENTER-ACADEMIC LEADERSHIP COMM</t>
  </si>
  <si>
    <t>CONTRERAS LEARNING CENTER-SCHOOL OF SOCIAL JUSTICE</t>
  </si>
  <si>
    <t>CONTRERAS LRNG CENTER-LOS ANGELES SCH OF GLOBAL ST</t>
  </si>
  <si>
    <t>CONWAY ELEMENTARY</t>
  </si>
  <si>
    <t>CONYER ELEMENTARY</t>
  </si>
  <si>
    <t>COOK (HAZEL GOES) ELEMENTARY</t>
  </si>
  <si>
    <t>COOLEY RANCH ELEMENTARY</t>
  </si>
  <si>
    <t>COOLIDGE ELEMENTARY</t>
  </si>
  <si>
    <t>COOPER (SARAH B.) CHILDREN CENTER</t>
  </si>
  <si>
    <t>COOPER ELEMENTARY</t>
  </si>
  <si>
    <t>COOPER MIDDLE</t>
  </si>
  <si>
    <t>COPE MIDDLE</t>
  </si>
  <si>
    <t>COPPER HILLS ELEMENTARY</t>
  </si>
  <si>
    <t>COPPEROPOLIS ELEMENTARY</t>
  </si>
  <si>
    <t>CORAL MOUNTAIN ACADEMY</t>
  </si>
  <si>
    <t>CORCORAN ACADEMY</t>
  </si>
  <si>
    <t>CORCORAN ADULT</t>
  </si>
  <si>
    <t>CORCORAN HIGH</t>
  </si>
  <si>
    <t>CORDELIA HILLS ELEMENTARY</t>
  </si>
  <si>
    <t>CORDILLERA ELEMENTARY</t>
  </si>
  <si>
    <t>CORDOVA GARDENS ELEMENTARY</t>
  </si>
  <si>
    <t>CORDOVA HIGH</t>
  </si>
  <si>
    <t>CORDOVA LANE CENTER</t>
  </si>
  <si>
    <t>CORDOVA MEADOWS ELEMENTARY</t>
  </si>
  <si>
    <t>CORDOVA VILLA ELEMENTARY</t>
  </si>
  <si>
    <t>CORDUA ELEMENTARY</t>
  </si>
  <si>
    <t>CORE BUTTE CHARTER</t>
  </si>
  <si>
    <t>CORE LEARNING ACADEMY AT CONLEY-CARABALLO HIGH</t>
  </si>
  <si>
    <t>CORE PLACER CHARTER</t>
  </si>
  <si>
    <t>CORNELL ELEMENTARY</t>
  </si>
  <si>
    <t>CORNERSTONE ACADEMY PREPARATORY</t>
  </si>
  <si>
    <t>CORNERSTONE AT PEDREGAL ELEMENTARY</t>
  </si>
  <si>
    <t>CORNERSTONE PREP CHARTER</t>
  </si>
  <si>
    <t>CORNING HIGH</t>
  </si>
  <si>
    <t>CORNING-CENTER ALTERNATIVE LEARNING</t>
  </si>
  <si>
    <t>CORONA AVENUE ELEMENTARY</t>
  </si>
  <si>
    <t>CORONA CREEK ELEMENTARY</t>
  </si>
  <si>
    <t>CORONA DEL MAR HIGH</t>
  </si>
  <si>
    <t>CORONA ELEMENTARY</t>
  </si>
  <si>
    <t>CORONA FUNDAMENTAL INTERMEDIATE</t>
  </si>
  <si>
    <t>CORONA HIGH</t>
  </si>
  <si>
    <t>CORONA RANCH ELEMENTARY</t>
  </si>
  <si>
    <t>CORONA VISTA HIGH</t>
  </si>
  <si>
    <t>CORONA-NORCO ALTERNATIVE</t>
  </si>
  <si>
    <t>CORONADO ELEMENTARY</t>
  </si>
  <si>
    <t>CORONADO HIGH</t>
  </si>
  <si>
    <t>CORONADO HIGH (CONTINUATION)</t>
  </si>
  <si>
    <t>CORONADO MIDDLE</t>
  </si>
  <si>
    <t>CORONADO PATHWAYS CHARTER</t>
  </si>
  <si>
    <t>CORONADO VILLAGE ELEMENTARY</t>
  </si>
  <si>
    <t>CORONITA ELEMENTARY</t>
  </si>
  <si>
    <t>CORREIA MIDDLE</t>
  </si>
  <si>
    <t>CORTADA ELEMENTARY</t>
  </si>
  <si>
    <t>CORTE MADERA</t>
  </si>
  <si>
    <t>CORTEZ ELEMENTARY</t>
  </si>
  <si>
    <t>CORVALLIS ELEMENTARY</t>
  </si>
  <si>
    <t>CORVALLIS MIDDLE</t>
  </si>
  <si>
    <t>COSTA MESA HIGH</t>
  </si>
  <si>
    <t>COSTANO ELEMENTARY</t>
  </si>
  <si>
    <t>COSTANOA CONTINUATION HIGH</t>
  </si>
  <si>
    <t>COSUMNES OAKS HIGH</t>
  </si>
  <si>
    <t>COSUMNES RIVER ELEMENTARY</t>
  </si>
  <si>
    <t>COTTAGE ELEMENTARY</t>
  </si>
  <si>
    <t>COTTAGE HILL ELEMENTARY</t>
  </si>
  <si>
    <t>COTTONWOOD CANYON ELEMENTARY</t>
  </si>
  <si>
    <t>COTTONWOOD COMMUNITY DAY</t>
  </si>
  <si>
    <t>COTTONWOOD CREEK CHARTER</t>
  </si>
  <si>
    <t>COTTONWOOD CREEK ELEMENTARY</t>
  </si>
  <si>
    <t>COTTONWOOD ELEMENTARY</t>
  </si>
  <si>
    <t>COUGAR SPRINGS COMMUNITY DAY</t>
  </si>
  <si>
    <t>COULTERVILLE HIGH</t>
  </si>
  <si>
    <t>COULTERVILLE-GREELEY ELEMENTARY</t>
  </si>
  <si>
    <t>COUNTRY CLUB ELEMENTARY</t>
  </si>
  <si>
    <t>COUNTRY HIGH</t>
  </si>
  <si>
    <t>COUNTRY LANE ELEMENTARY</t>
  </si>
  <si>
    <t>COUNTRY SPRINGS ELEMENTARY</t>
  </si>
  <si>
    <t>COUNTRYSIDE COMMUNITY DAY</t>
  </si>
  <si>
    <t>COUNTY COMMUNITY</t>
  </si>
  <si>
    <t>COURREGES (ROCH) ELEMENTARY</t>
  </si>
  <si>
    <t>COVILLAUD ELEMENTARY</t>
  </si>
  <si>
    <t>COVINA HIGH</t>
  </si>
  <si>
    <t>COVINGTON ELEMENTARY</t>
  </si>
  <si>
    <t>COWAN AVENUE ELEMENTARY</t>
  </si>
  <si>
    <t>COX (JAMES H.) ELEMENTARY</t>
  </si>
  <si>
    <t>COX ACADEMY</t>
  </si>
  <si>
    <t>COX BAR ELEMENTARY</t>
  </si>
  <si>
    <t>COX ELEMENTARY</t>
  </si>
  <si>
    <t>COYLE AVENUE ELEMENTARY</t>
  </si>
  <si>
    <t>COYOTE CANYON ELEMENTARY</t>
  </si>
  <si>
    <t>COYOTE CREEK ELEMENTARY</t>
  </si>
  <si>
    <t>COYOTE RIDGE ELEMENTARY</t>
  </si>
  <si>
    <t>COYOTE VALLEY ELEMENTARY</t>
  </si>
  <si>
    <t>CRAFTON ELEMENTARY</t>
  </si>
  <si>
    <t>CRAGMONT ELEMENTARY</t>
  </si>
  <si>
    <t>CRAIG WILLIAMS ELEMENTARY</t>
  </si>
  <si>
    <t>CRAM ELEMENTARY</t>
  </si>
  <si>
    <t>CRAWFORD CHAMPS</t>
  </si>
  <si>
    <t>CRAWFORD HIGH</t>
  </si>
  <si>
    <t>CRAWFORD IDEA</t>
  </si>
  <si>
    <t>CRAWFORD LAW AND BUSINESS</t>
  </si>
  <si>
    <t>CREATIVE ARTS CHARTER</t>
  </si>
  <si>
    <t>CREATIVE CONNECTIONS ARTS ACADEMY</t>
  </si>
  <si>
    <t>CREATIVE PERFORMING AND MEDIA ARTS</t>
  </si>
  <si>
    <t>CREDENCE HIGH</t>
  </si>
  <si>
    <t>CREDO HIGH</t>
  </si>
  <si>
    <t>CREEK VIEW ELEMENTARY</t>
  </si>
  <si>
    <t>CREEKSIDE CHARTER</t>
  </si>
  <si>
    <t>CREEKSIDE EARLY LEARNING CENTER</t>
  </si>
  <si>
    <t>CREEKSIDE ELEMENTARY</t>
  </si>
  <si>
    <t>CREEKSIDE HIGH</t>
  </si>
  <si>
    <t>CREEKSIDE MIDDLE</t>
  </si>
  <si>
    <t>CREEKSIDE OAKS ELEMENTARY</t>
  </si>
  <si>
    <t>CREEKVIEW RANCH MIDDLE</t>
  </si>
  <si>
    <t>CRENSHAW ARTS-TECHNOLOGY CHARTER HIGH</t>
  </si>
  <si>
    <t>CRENSHAW SCI TECH ENGR MATH AND MED MAGNET</t>
  </si>
  <si>
    <t>CRESCENDO CHARTER</t>
  </si>
  <si>
    <t>CRESCENDO CHARTER ACADEMY</t>
  </si>
  <si>
    <t>CRESCENDO CHARTER CONSERVATORY</t>
  </si>
  <si>
    <t>CRESCENDO CHARTER PREPARATORY CENTRAL</t>
  </si>
  <si>
    <t>CRESCENDO CHARTER PREPARATORY SOUTH</t>
  </si>
  <si>
    <t>CRESCENDO CHARTER PREPARATORY WEST</t>
  </si>
  <si>
    <t>CRESCENT ELEMENTARY</t>
  </si>
  <si>
    <t>CRESCENT ELK MIDDLE</t>
  </si>
  <si>
    <t>CRESCENT HEIGHTS BOULEVARD ELEMENTARY</t>
  </si>
  <si>
    <t>CRESCENT VALLEY PUBLIC CHARTER</t>
  </si>
  <si>
    <t>CRESCENT VIEW SOUTH CHARTER</t>
  </si>
  <si>
    <t>CRESCENT VIEW WEST CHARTER</t>
  </si>
  <si>
    <t>CRESCENTA VALLEY HIGH</t>
  </si>
  <si>
    <t>CRESPI JUNIOR HIGH</t>
  </si>
  <si>
    <t>CRESSEY ELEMENTARY</t>
  </si>
  <si>
    <t>CRESSON ELEMENTARY</t>
  </si>
  <si>
    <t>CREST ELEMENTARY</t>
  </si>
  <si>
    <t>CRESTLINE ELEMENTARY</t>
  </si>
  <si>
    <t>CRESTMONT ELEMENTARY</t>
  </si>
  <si>
    <t>CRESTMOOR ELEMENTARY</t>
  </si>
  <si>
    <t>CRESTMORE ELEMENTARY</t>
  </si>
  <si>
    <t>CRESTON ELEMENTARY</t>
  </si>
  <si>
    <t>CRESTVIEW ELEMENTARY</t>
  </si>
  <si>
    <t>CRESTWOOD ELEMENTARY</t>
  </si>
  <si>
    <t>CRESTWOOD STREET ELEMENTARY</t>
  </si>
  <si>
    <t>CRITTENDEN MIDDLE</t>
  </si>
  <si>
    <t>CROCKER HIGHLANDS ELEMENTARY</t>
  </si>
  <si>
    <t>CROCKER MIDDLE</t>
  </si>
  <si>
    <t>CROCKER/RIVERSIDE ELEMENTARY</t>
  </si>
  <si>
    <t>CROSSROADS</t>
  </si>
  <si>
    <t>CROSSROADS ALTERNATIVE EDUCATION CENTER</t>
  </si>
  <si>
    <t>CROSSROADS CHARTER</t>
  </si>
  <si>
    <t>CROSSROADS COMMUNITY DAY</t>
  </si>
  <si>
    <t>CROSSROADS ELEMENTARY</t>
  </si>
  <si>
    <t>CROSSROADS HIGH (ALTERNATIVE)</t>
  </si>
  <si>
    <t>CROSSROADS HIGH (CONTINUATION)</t>
  </si>
  <si>
    <t>CROSSROADS TRADE TECH CHARTER</t>
  </si>
  <si>
    <t>CROSSWALK: HIGHER EDUCATION LEARNING PATHWAYS</t>
  </si>
  <si>
    <t>CROWELL ELEMENTARY</t>
  </si>
  <si>
    <t>CROWLEY ELEMENTARY</t>
  </si>
  <si>
    <t>CROWN POINT ELEMENTARY</t>
  </si>
  <si>
    <t>CROWN PREPARATORY ACADEMY</t>
  </si>
  <si>
    <t>CROWN RIDGE ACADEMY</t>
  </si>
  <si>
    <t>CROWN VALLEY ELEMENTARY</t>
  </si>
  <si>
    <t>CROWNE HILL ELEMENTARY</t>
  </si>
  <si>
    <t>CROZIER (GEORGE W.) MIDDLE</t>
  </si>
  <si>
    <t>CRYSTAL MIDDLE</t>
  </si>
  <si>
    <t>CUBBERLEY ELEMENTARY</t>
  </si>
  <si>
    <t>CUBBERLEY K-8</t>
  </si>
  <si>
    <t>CUCAMONGA ELEMENTARY</t>
  </si>
  <si>
    <t>CUCAMONGA MIDDLE</t>
  </si>
  <si>
    <t>CUDDEBACK ELEMENTARY</t>
  </si>
  <si>
    <t>CULLEN ELEMENTARY</t>
  </si>
  <si>
    <t>CULVER CITY HIGH</t>
  </si>
  <si>
    <t>CULVER CITY MIDDLE</t>
  </si>
  <si>
    <t>CULVER PARK HIGH</t>
  </si>
  <si>
    <t>CULVERDALE ELEMENTARY</t>
  </si>
  <si>
    <t>CUMBERLAND ELEMENTARY</t>
  </si>
  <si>
    <t>CUMMINGS VALLEY ELEMENTARY</t>
  </si>
  <si>
    <t>CUNNINGHAM ELEMENTARY</t>
  </si>
  <si>
    <t>CUPERTINO HIGH</t>
  </si>
  <si>
    <t>CUPERTINO MIDDLE</t>
  </si>
  <si>
    <t>CURIE ELEMENTARY</t>
  </si>
  <si>
    <t>CURRAN MIDDLE</t>
  </si>
  <si>
    <t>CURREN ELEMENTARY</t>
  </si>
  <si>
    <t>CURTIS CREEK ELEMENTARY</t>
  </si>
  <si>
    <t>CURTIS MIDDLE</t>
  </si>
  <si>
    <t>CURTNER ELEMENTARY</t>
  </si>
  <si>
    <t>CUTLER ELEMENTARY</t>
  </si>
  <si>
    <t>CUTLER-OROSI COMMUNITY DAY</t>
  </si>
  <si>
    <t>CUTTEN ELEMENTARY</t>
  </si>
  <si>
    <t>CUYAMA ELEMENTARY</t>
  </si>
  <si>
    <t>CUYAMA VALLEY HIGH</t>
  </si>
  <si>
    <t>CYPRESS CHARTER HIGH</t>
  </si>
  <si>
    <t>CYPRESS ELEMENTARY</t>
  </si>
  <si>
    <t>CYPRESS HIGH</t>
  </si>
  <si>
    <t>CYPRESS SCHOOL OF THE ARTS</t>
  </si>
  <si>
    <t>CYRIL SPINELLI ELEMENTARY</t>
  </si>
  <si>
    <t>CYRUS J. MORRIS ELEMENTARY</t>
  </si>
  <si>
    <t>D. D. JOHNSTON ELEMENTARY</t>
  </si>
  <si>
    <t>D. H. WHITE ELEMENTARY</t>
  </si>
  <si>
    <t>D. J. SEDGWICK ELEMENTARY</t>
  </si>
  <si>
    <t>D. RUSSELL PARKS JUNIOR HIGH</t>
  </si>
  <si>
    <t>D. W. BABCOCK ELEMENTARY</t>
  </si>
  <si>
    <t>DA VINCI CHARTER ACADEMY</t>
  </si>
  <si>
    <t>DA VINCI DESIGN</t>
  </si>
  <si>
    <t>DA VINCI SCIENCE</t>
  </si>
  <si>
    <t>DAHLIA HEIGHTS ELEMENTARY</t>
  </si>
  <si>
    <t>DAILARD ELEMENTARY</t>
  </si>
  <si>
    <t>DAILY (ALLAN F.) HIGH (CONTINUATION)</t>
  </si>
  <si>
    <t>DAIRYLAND ELEMENTARY</t>
  </si>
  <si>
    <t>DAISY GIBSON ELEMENTARY</t>
  </si>
  <si>
    <t>DALE JUNIOR HIGH</t>
  </si>
  <si>
    <t>DALLAS RANCH MIDDLE</t>
  </si>
  <si>
    <t>DAN JACOBS</t>
  </si>
  <si>
    <t>DAN MINI ELEMENTARY</t>
  </si>
  <si>
    <t>DAN O. ROOT ELEMENTARY</t>
  </si>
  <si>
    <t>DANA</t>
  </si>
  <si>
    <t>DANA ELEMENTARY</t>
  </si>
  <si>
    <t>DANA GRAY ELEMENTARY</t>
  </si>
  <si>
    <t>DANA HILLS HIGH</t>
  </si>
  <si>
    <t>DANBROOK ELEMENTARY</t>
  </si>
  <si>
    <t>DANBURY SPECIAL EDUCATION</t>
  </si>
  <si>
    <t>DANIEL J. SAVAGE MIDDLE</t>
  </si>
  <si>
    <t>DANIEL LEWIS MIDDLE</t>
  </si>
  <si>
    <t>DANIEL N. BUCHANAN ELEMENTARY</t>
  </si>
  <si>
    <t>DANIEL PEARL JOURNALISM &amp; COMMUNICATIONS MAGNET</t>
  </si>
  <si>
    <t>DANIEL PHELAN ELEMENTARY</t>
  </si>
  <si>
    <t>DANIEL WEBSTER</t>
  </si>
  <si>
    <t>DANIEL WEBSTER ELEMENTARY</t>
  </si>
  <si>
    <t>DANIEL WEBSTER MIDDLE</t>
  </si>
  <si>
    <t>DANNY J. BAKEWELL SR. PRIMARY CENTER</t>
  </si>
  <si>
    <t>DANUBE AVENUE ELEMENTARY</t>
  </si>
  <si>
    <t>DAPPLEGRAY ELEMENTARY</t>
  </si>
  <si>
    <t>DARBY AVENUE CHARTER</t>
  </si>
  <si>
    <t>DARIO CASSINA HIGH</t>
  </si>
  <si>
    <t>DARNALL CHARTER</t>
  </si>
  <si>
    <t>DARTMOUTH MIDDLE</t>
  </si>
  <si>
    <t>DATE ELEMENTARY</t>
  </si>
  <si>
    <t>DAVES AVENUE ELEMENTARY</t>
  </si>
  <si>
    <t>DAVID A. BROWN MIDDLE</t>
  </si>
  <si>
    <t>DAVID G. MILLEN INTERMEDIATE</t>
  </si>
  <si>
    <t>DAVID L. GREENBERG ELEMENTARY</t>
  </si>
  <si>
    <t>DAVID LUBIN ELEMENTARY</t>
  </si>
  <si>
    <t>DAVID REESE ELEMENTARY</t>
  </si>
  <si>
    <t>DAVID STARR JORDAN MIDDLE</t>
  </si>
  <si>
    <t>DAVID STARR JORDAN SENIOR HIGH</t>
  </si>
  <si>
    <t>DAVID W. LONG ELEMENTARY</t>
  </si>
  <si>
    <t>DAVID WARK GRIFFITH MIDDLE</t>
  </si>
  <si>
    <t>DAVIDSON ELEMENTARY</t>
  </si>
  <si>
    <t>DAVILA DAY</t>
  </si>
  <si>
    <t>DAVIS (CAROLINE) INTERMEDIATE</t>
  </si>
  <si>
    <t>DAVIS COMMUNITY DAY</t>
  </si>
  <si>
    <t>DAVIS ELEMENTARY</t>
  </si>
  <si>
    <t>DAVIS MIDDLE</t>
  </si>
  <si>
    <t>DAVIS SCHOOL FOR INDEPENDENT STUDY</t>
  </si>
  <si>
    <t>DAVIS SENIOR HIGH</t>
  </si>
  <si>
    <t>DAVIS SPECIAL EDUCATION PRE-SCHOOL</t>
  </si>
  <si>
    <t>DAY CREEK INTERMEDIATE</t>
  </si>
  <si>
    <t>DAYLOR (WILLIAM) HIGH (CONTINUATION)</t>
  </si>
  <si>
    <t>DAYTON ELEMENTARY</t>
  </si>
  <si>
    <t>DAYTON HEIGHTS ELEMENTARY</t>
  </si>
  <si>
    <t>DE ANZA 9TH GRADE ACADEMY</t>
  </si>
  <si>
    <t>DE ANZA ACADEMY OF TECHNOLOGY AND THE ARTS</t>
  </si>
  <si>
    <t>DE ANZA ELEMENTARY</t>
  </si>
  <si>
    <t>DE ANZA MAGNET</t>
  </si>
  <si>
    <t>DE ANZA MIDDLE</t>
  </si>
  <si>
    <t>DE ANZA SENIOR HIGH</t>
  </si>
  <si>
    <t>DE LAVEAGA ELEMENTARY</t>
  </si>
  <si>
    <t>DE PORTOLA ELEMENTARY</t>
  </si>
  <si>
    <t>DE PORTOLA MIDDLE</t>
  </si>
  <si>
    <t>DEAN L. SHIVELY</t>
  </si>
  <si>
    <t>DEARBORN ELEMENTARY CHARTER ACADEMY</t>
  </si>
  <si>
    <t>DEATH VALLEY ELEMENTARY</t>
  </si>
  <si>
    <t>DEATH VALLEY HIGH ACADEMY</t>
  </si>
  <si>
    <t>DEBORAH A. WILLIAMS ELEMENTARY</t>
  </si>
  <si>
    <t>DECKER ELEMENTARY</t>
  </si>
  <si>
    <t>DECOTO SCHOOL FOR INDEPENDENT STUDY</t>
  </si>
  <si>
    <t>DEEP CREEK ACADEMY</t>
  </si>
  <si>
    <t>DEER CANYON ELEMENTARY</t>
  </si>
  <si>
    <t>DEER CREEK ELEMENTARY</t>
  </si>
  <si>
    <t>DEER VALLEY HIGH</t>
  </si>
  <si>
    <t>DEERFIELD ELEMENTARY</t>
  </si>
  <si>
    <t>DEHESA CHARTER</t>
  </si>
  <si>
    <t>DEHESA ELEMENTARY</t>
  </si>
  <si>
    <t>DEL AMIGO HIGH (CONTINUATION)</t>
  </si>
  <si>
    <t>DEL AMO ELEMENTARY</t>
  </si>
  <si>
    <t>DEL CAMPO HIGH</t>
  </si>
  <si>
    <t>DEL CERRO ELEMENTARY</t>
  </si>
  <si>
    <t>DEL DAYO ELEMENTARY</t>
  </si>
  <si>
    <t>DEL DIOS MIDDLE</t>
  </si>
  <si>
    <t>DEL LAGO ACADEMY - CAMPUS OF APPLIED SCIENCE</t>
  </si>
  <si>
    <t>DEL LAGO ELEMENTARY</t>
  </si>
  <si>
    <t>DEL MAR ELEMENTARY</t>
  </si>
  <si>
    <t>DEL MAR HEIGHTS ELEMENTARY</t>
  </si>
  <si>
    <t>DEL MAR HIGH</t>
  </si>
  <si>
    <t>DEL MAR HILLS ELEMENTARY</t>
  </si>
  <si>
    <t>DEL MAR MIDDLE</t>
  </si>
  <si>
    <t>DEL NORTE COUNTY ADULT</t>
  </si>
  <si>
    <t>DEL NORTE COUNTY COMMUNITY DAY (ELEMENTARY)</t>
  </si>
  <si>
    <t>DEL NORTE COUNTY COMMUNITY DAY (SECONDARY)</t>
  </si>
  <si>
    <t>DEL NORTE COUNTY ROP</t>
  </si>
  <si>
    <t>DEL NORTE ELEMENTARY</t>
  </si>
  <si>
    <t>DEL NORTE HIGH</t>
  </si>
  <si>
    <t>DEL OBISPO ELEMENTARY</t>
  </si>
  <si>
    <t>DEL ORO HIGH</t>
  </si>
  <si>
    <t>DEL PASO HEIGHTS ELEMENTARY</t>
  </si>
  <si>
    <t>DEL PASO MANOR ELEMENTARY</t>
  </si>
  <si>
    <t>DEL PUERTO HIGH</t>
  </si>
  <si>
    <t>DEL REY ELEMENTARY</t>
  </si>
  <si>
    <t>DEL REY WOODS ELEMENTARY</t>
  </si>
  <si>
    <t>DEL RIO CONTINUATION HIGH</t>
  </si>
  <si>
    <t>DEL RIO ELEMENTARY</t>
  </si>
  <si>
    <t>DEL ROBLE ELEMENTARY</t>
  </si>
  <si>
    <t>DEL ROSA ELEMENTARY</t>
  </si>
  <si>
    <t>DEL SUR ELEMENTARY</t>
  </si>
  <si>
    <t>DEL SUR SENIOR ELEMENTARY</t>
  </si>
  <si>
    <t>DEL VALLE CONTINUATION HIGH</t>
  </si>
  <si>
    <t>DEL VALLE ELEMENTARY</t>
  </si>
  <si>
    <t>DEL VALLEJO MIDDLE</t>
  </si>
  <si>
    <t>DEL VISTA MATH AND SCIENCE ACADEMY</t>
  </si>
  <si>
    <t>DELAINE EASTIN ELEMENTARY</t>
  </si>
  <si>
    <t>DELANO ADULT</t>
  </si>
  <si>
    <t>DELANO HIGH</t>
  </si>
  <si>
    <t>DELEVAN DRIVE ELEMENTARY</t>
  </si>
  <si>
    <t>DELHI HIGH</t>
  </si>
  <si>
    <t>DELLA S. LINDLEY ELEMENTARY</t>
  </si>
  <si>
    <t>DELPHIC ELEMENTARY</t>
  </si>
  <si>
    <t>DELTA CHARTER</t>
  </si>
  <si>
    <t>DELTA ELEMENTARY CHARTER</t>
  </si>
  <si>
    <t>DELTA HIGH</t>
  </si>
  <si>
    <t>DELTA SIERRA MIDDLE</t>
  </si>
  <si>
    <t>DELTA VIEW ELEMENTARY</t>
  </si>
  <si>
    <t>DELTA VISTA HIGH</t>
  </si>
  <si>
    <t>DELTA VISTA MIDDLE</t>
  </si>
  <si>
    <t>DEMILLE ELEMENTARY</t>
  </si>
  <si>
    <t>DENA BOER</t>
  </si>
  <si>
    <t>DENAIR ACADEMIC AVENUES</t>
  </si>
  <si>
    <t>DENAIR CHARTER ACADEMY</t>
  </si>
  <si>
    <t>DENAIR COMMUNITY DAY</t>
  </si>
  <si>
    <t>DENAIR ELEMENTARY</t>
  </si>
  <si>
    <t>DENAIR ELEMENTARY COMMUNITY DAY</t>
  </si>
  <si>
    <t>DENAIR HIGH</t>
  </si>
  <si>
    <t>DENAIR MIDDLE</t>
  </si>
  <si>
    <t>DENKER AVENUE ELEMENTARY</t>
  </si>
  <si>
    <t>DENMAN (JAMES) MIDDLE</t>
  </si>
  <si>
    <t>DENNIS G. EARL ELEMENTARY</t>
  </si>
  <si>
    <t>DENT ELEMENTARY</t>
  </si>
  <si>
    <t>DESCANSO ELEMENTARY</t>
  </si>
  <si>
    <t>DESERT GARDEN ELEMENTARY</t>
  </si>
  <si>
    <t>DESERT HOT SPRINGS HIGH</t>
  </si>
  <si>
    <t>DESERT JUNIOR-SENIOR HIGH</t>
  </si>
  <si>
    <t>DESERT KNOLLS ELEMENTARY</t>
  </si>
  <si>
    <t>DESERT MIRAGE HIGH</t>
  </si>
  <si>
    <t>DESERT MOUNTAIN COMMUNITY DAY</t>
  </si>
  <si>
    <t>DESERT OASIS HIGH (CONTINUATION)</t>
  </si>
  <si>
    <t>DESERT RIDGE ACADEMY</t>
  </si>
  <si>
    <t>DESERT ROSE ELEMENTARY</t>
  </si>
  <si>
    <t>DESERT SANDS CHARTER</t>
  </si>
  <si>
    <t>DESERT SPRINGS MIDDLE</t>
  </si>
  <si>
    <t>DESERT TRAILS PREPARATORY ACADEMY</t>
  </si>
  <si>
    <t>DESERT VALLEY HIGH (CONTINUATION)</t>
  </si>
  <si>
    <t>DESERT VIEW COMMUNITY DAY</t>
  </si>
  <si>
    <t>DESERT VIEW ELEMENTARY</t>
  </si>
  <si>
    <t>DESERT WILLOW INTERMEDIATE</t>
  </si>
  <si>
    <t>DESERT WINDS CONTINUATION HIGH</t>
  </si>
  <si>
    <t>DESIGN SCIENCE EARLY COLLEGE HIGH</t>
  </si>
  <si>
    <t>DEWEY ACADEMY</t>
  </si>
  <si>
    <t>DEWEY AVENUE ELEMENTARY</t>
  </si>
  <si>
    <t>DEWEY ELEMENTARY</t>
  </si>
  <si>
    <t>DEWOLF CONTINUATION HIGH</t>
  </si>
  <si>
    <t>DI GIORGIO ELEMENTARY</t>
  </si>
  <si>
    <t>DIABLO COMMUNITY DAY</t>
  </si>
  <si>
    <t>DIABLO VIEW MIDDLE</t>
  </si>
  <si>
    <t>DIABLO VISTA ELEMENTARY</t>
  </si>
  <si>
    <t>DIABLO VISTA MIDDLE</t>
  </si>
  <si>
    <t>DIAMOND BAR HIGH</t>
  </si>
  <si>
    <t>DIAMOND CREEK ELEMENTARY</t>
  </si>
  <si>
    <t>DIAMOND ELEMENTARY</t>
  </si>
  <si>
    <t>DIAMOND MOUNTAIN CHARTER HIGH</t>
  </si>
  <si>
    <t>DIAMOND POINT ELEMENTARY</t>
  </si>
  <si>
    <t>DIAMOND RANCH HIGH</t>
  </si>
  <si>
    <t>DIAMOND VALLEY ELEMENTARY</t>
  </si>
  <si>
    <t>DIAMOND VALLEY MIDDLE</t>
  </si>
  <si>
    <t>DIAMOND VIEW MIDDLE</t>
  </si>
  <si>
    <t>DIANE S. LEICHMAN SPECIAL EDUCATION CENTER</t>
  </si>
  <si>
    <t>DICKENS (BILLY JOE) HIGH (CONTINUATION)</t>
  </si>
  <si>
    <t>DICKISON ELEMENTARY</t>
  </si>
  <si>
    <t>DICKSON ELEMENTARY</t>
  </si>
  <si>
    <t>DIEGO HILLS CHARTER</t>
  </si>
  <si>
    <t>DIEGO VALLEY CHARTER</t>
  </si>
  <si>
    <t>DIEGUENO MIDDLE</t>
  </si>
  <si>
    <t>DINGEMAN ELEMENTARY</t>
  </si>
  <si>
    <t>DINGLE ELEMENTARY</t>
  </si>
  <si>
    <t>DINUBA HIGH</t>
  </si>
  <si>
    <t>DISCOVERY</t>
  </si>
  <si>
    <t>DISCOVERY BAY ELEMENTARY</t>
  </si>
  <si>
    <t>DISCOVERY CHARTER</t>
  </si>
  <si>
    <t>DISCOVERY CHARTER II</t>
  </si>
  <si>
    <t>DISCOVERY CHARTER PREPARATORY NO. 2</t>
  </si>
  <si>
    <t>DISCOVERY ELEMENTARY</t>
  </si>
  <si>
    <t>DISCOVERY HIGH</t>
  </si>
  <si>
    <t>DISCOVERY SCHOOL OF THE ARTS</t>
  </si>
  <si>
    <t>DISCOVERY SECONDARY</t>
  </si>
  <si>
    <t>DISTRICT SPECIAL EDUCATION</t>
  </si>
  <si>
    <t>DIVIDE HIGH</t>
  </si>
  <si>
    <t>DIVISADERO MIDDLE</t>
  </si>
  <si>
    <t>DIVISION OF UNACCOMPANIED CHILDREN'S SERVICES (DUC</t>
  </si>
  <si>
    <t>DIXIE CANYON COMMUNITY CHARTER</t>
  </si>
  <si>
    <t>DIXIE ELEMENTARY</t>
  </si>
  <si>
    <t>DIXIELAND ELEMENTARY</t>
  </si>
  <si>
    <t>DIXON COMMUNITY DAY</t>
  </si>
  <si>
    <t>DIXON HIGH</t>
  </si>
  <si>
    <t>DIXON MONTESSORI CHARTER</t>
  </si>
  <si>
    <t>DOÃ±A MERCED ELEMENTARY</t>
  </si>
  <si>
    <t>DOBBINS ELEMENTARY</t>
  </si>
  <si>
    <t>DOLORES HUERTA ELEMENTARY</t>
  </si>
  <si>
    <t>DOLORES STREET ELEMENTARY</t>
  </si>
  <si>
    <t>DOMINGUEZ ELEMENTARY</t>
  </si>
  <si>
    <t>DOMINGUEZ HIGH</t>
  </si>
  <si>
    <t>DON ANTONIO LUGO HIGH</t>
  </si>
  <si>
    <t>DON BENITO FUNDAMENTAL</t>
  </si>
  <si>
    <t>DON CALLEJON</t>
  </si>
  <si>
    <t>DON JUAN AVILA ELEMENTARY</t>
  </si>
  <si>
    <t>DON JUAN AVILA MIDDLE</t>
  </si>
  <si>
    <t>DON JULIAN ELEMENTARY</t>
  </si>
  <si>
    <t>DON PEDRO COMMUNITY DAY</t>
  </si>
  <si>
    <t>DON PEDRO ELEMENTARY</t>
  </si>
  <si>
    <t>DON PEDRO HIGH</t>
  </si>
  <si>
    <t>DON RIGGIO</t>
  </si>
  <si>
    <t>DON STOWELL ELEMENTARY</t>
  </si>
  <si>
    <t>DONALD D. LUM ELEMENTARY</t>
  </si>
  <si>
    <t>DONALD E. SUBURU</t>
  </si>
  <si>
    <t>DONALD F. BRADACH ELEMENTARY</t>
  </si>
  <si>
    <t>DONALD GRAHAM ELEMENTARY</t>
  </si>
  <si>
    <t>DONALD J. MEYER ELEMENTARY</t>
  </si>
  <si>
    <t>DONALD L. RHEEM ELEMENTARY</t>
  </si>
  <si>
    <t>DONALD S. JORDAN INTERMEDIATE</t>
  </si>
  <si>
    <t>DONALDSON WAY ELEMENTARY</t>
  </si>
  <si>
    <t>DONLON ELEMENTARY</t>
  </si>
  <si>
    <t>DONN B. CHENOWETH ELEMENTARY</t>
  </si>
  <si>
    <t>DONNER TRAIL ELEMENTARY</t>
  </si>
  <si>
    <t>DOOL ELEMENTARY</t>
  </si>
  <si>
    <t>DOOLEY ELEMENTARY</t>
  </si>
  <si>
    <t>DORIS TOPSY-ELVORD ACADEMY</t>
  </si>
  <si>
    <t>DOROTHY GRANT ELEMENTARY</t>
  </si>
  <si>
    <t>DOROTHY MCELHINNEY MIDDLE</t>
  </si>
  <si>
    <t>DOROTHY V. JOHNSON COMMUNITY DAY</t>
  </si>
  <si>
    <t>DORRIS PLACE ELEMENTARY</t>
  </si>
  <si>
    <t>DOS CAMINOS</t>
  </si>
  <si>
    <t>DOS CAMINOS ELEMENTARY</t>
  </si>
  <si>
    <t>DOS PALOS ADULT</t>
  </si>
  <si>
    <t>DOS PALOS CARVER CENTER</t>
  </si>
  <si>
    <t>DOS PALOS ELEMENTARY</t>
  </si>
  <si>
    <t>DOS PALOS HIGH</t>
  </si>
  <si>
    <t>DOS PUEBLOS CHARGER ACADEMY</t>
  </si>
  <si>
    <t>DOS PUEBLOS SENIOR HIGH</t>
  </si>
  <si>
    <t>DOTY MIDDLE</t>
  </si>
  <si>
    <t>DOUGHERTY VALLEY HIGH</t>
  </si>
  <si>
    <t>DOUGLAS</t>
  </si>
  <si>
    <t>DOUGLAS CITY ELEMENTARY</t>
  </si>
  <si>
    <t>DOUGLAS J. MILLER ELEMENTARY</t>
  </si>
  <si>
    <t>DOUGLAS MACARTHUR FUNDAMENTAL INTERMEDIATE</t>
  </si>
  <si>
    <t>DOUGLASS MIDDLE</t>
  </si>
  <si>
    <t>DOVE HILL ELEMENTARY</t>
  </si>
  <si>
    <t>DOVER BRIDGE TO SUCCESS</t>
  </si>
  <si>
    <t>DOVER ELEMENTARY</t>
  </si>
  <si>
    <t>DOWNEY HIGH</t>
  </si>
  <si>
    <t>DOWNIEVILLE ELEMENTARY</t>
  </si>
  <si>
    <t>DOWNIEVILLE JUNIOR-SENIOR HIGH</t>
  </si>
  <si>
    <t>DOWNTOWN BUSINESS HIGH</t>
  </si>
  <si>
    <t>DOWNTOWN COLLEGE PREP - ALUM ROCK</t>
  </si>
  <si>
    <t>DOWNTOWN COLLEGE PREP ALVISO</t>
  </si>
  <si>
    <t>DOWNTOWN COLLEGE PREPARATORY</t>
  </si>
  <si>
    <t>DOWNTOWN ELEMENTARY</t>
  </si>
  <si>
    <t>DOWNTOWN HIGH</t>
  </si>
  <si>
    <t>DOWNTOWN VALUE</t>
  </si>
  <si>
    <t>DOWS PRAIRIE ELEMENTARY</t>
  </si>
  <si>
    <t>DOYLE ELEMENTARY</t>
  </si>
  <si>
    <t>DOZIER-LIBBEY MEDICAL HIGH</t>
  </si>
  <si>
    <t>DR. AUGUSTINE RAMIREZ INTERMEDIATE</t>
  </si>
  <si>
    <t>DR. BERNICE JAMESON TODD ELEMENTARY</t>
  </si>
  <si>
    <t>DR. DOUG SEARS LEARNING CENTER</t>
  </si>
  <si>
    <t>DR. J. MICHAEL MCGRATH ELEMENTARY</t>
  </si>
  <si>
    <t>DR. JAMES EDWARD JONES PRIMARY CENTER</t>
  </si>
  <si>
    <t>DR. JULIAN NAVA LRNG ACADS-SCH OF ARTS AND CULTURE</t>
  </si>
  <si>
    <t>DR. JULIAN NAVA LRNG ACADS-SCH OF BUSINESS AND TEC</t>
  </si>
  <si>
    <t>DR. JULIET THORNER ELEMENTARY</t>
  </si>
  <si>
    <t>DR. LAWRENCE H. MOORE MATH SCIENCE TECHNOLOGY AC</t>
  </si>
  <si>
    <t>DR. LEWIS DOLPHIN STALLWORTH SR. CHARTER</t>
  </si>
  <si>
    <t>DR. MARTIN LUTHER KING JR. ACADEMY</t>
  </si>
  <si>
    <t>DR. MILDRED DALTON HENRY ELEMENTARY</t>
  </si>
  <si>
    <t>DR. OWEN LLOYD KNOX ELEMENTARY</t>
  </si>
  <si>
    <t>DR. REYNALDO J. CARREON JR. ACADEMY</t>
  </si>
  <si>
    <t>DR. T. J. OWENS GILROY EARLY COLLEGE ACADEMY</t>
  </si>
  <si>
    <t>DR. THEO. T. ALEXANDER JR. SCIENCE CENTER</t>
  </si>
  <si>
    <t>DR. WALTER C. RALSTON INTERMEDIATE</t>
  </si>
  <si>
    <t>DREW (CHARLES) COLLEGE PREPARATORY ACADEMY</t>
  </si>
  <si>
    <t>DRIFFILL ELEMENTARY</t>
  </si>
  <si>
    <t>DRY CREEK ELEMENTARY</t>
  </si>
  <si>
    <t>DUARTE HIGH</t>
  </si>
  <si>
    <t>DUBLIN ELEMENTARY</t>
  </si>
  <si>
    <t>DUBLIN HIGH</t>
  </si>
  <si>
    <t>DUCOR UNION ELEMENTARY</t>
  </si>
  <si>
    <t>DUNBAR ELEMENTARY</t>
  </si>
  <si>
    <t>DUNCAN-RUSSELL CONTINUATION</t>
  </si>
  <si>
    <t>DUNHAM CHARTER</t>
  </si>
  <si>
    <t>DUNHAM ELEMENTARY</t>
  </si>
  <si>
    <t>DUNLAP ELEMENTARY</t>
  </si>
  <si>
    <t>DUNLAP LEADERSHIP ACADEMY</t>
  </si>
  <si>
    <t>DUNN ELEMENTARY</t>
  </si>
  <si>
    <t>DUNSMORE ELEMENTARY</t>
  </si>
  <si>
    <t>DUNSMUIR ELEMENTARY</t>
  </si>
  <si>
    <t>DUNSMUIR HIGH</t>
  </si>
  <si>
    <t>DUNSMUIR JOINT UNION HIGH COMMUNITY DAY</t>
  </si>
  <si>
    <t>DURFEE ELEMENTARY</t>
  </si>
  <si>
    <t>DURHAM ELEMENTARY</t>
  </si>
  <si>
    <t>DURHAM HIGH</t>
  </si>
  <si>
    <t>DURHAM INTERMEDIATE</t>
  </si>
  <si>
    <t>DUVENECK ELEMENTARY</t>
  </si>
  <si>
    <t>DWIGHT D. EISENHOWER ELEMENTARY</t>
  </si>
  <si>
    <t>DWIGHT EISENHOWER ELEMENTARY</t>
  </si>
  <si>
    <t>DYER STREET ELEMENTARY</t>
  </si>
  <si>
    <t>DYER-KELLY ELEMENTARY</t>
  </si>
  <si>
    <t>E. A. HALL MIDDLE</t>
  </si>
  <si>
    <t>E. G. GARRISON ELEMENTARY</t>
  </si>
  <si>
    <t>E. HALE CURRAN ELEMENTARY</t>
  </si>
  <si>
    <t>E. J. MARSHALL ELEMENTARY</t>
  </si>
  <si>
    <t>E. L. MUSICK ELEMENTARY</t>
  </si>
  <si>
    <t>E. LOS ANGELES PERF ARTS ACAD AT ESTEBAN E. TORRES</t>
  </si>
  <si>
    <t>E. LOS ANGELES RENAISS ACAD AT ESTEBAN E. TORRES H</t>
  </si>
  <si>
    <t>E. M. GRIMMER ELEMENTARY</t>
  </si>
  <si>
    <t>E. NEAL ROBERTS ELEMENTARY</t>
  </si>
  <si>
    <t>E. O. GREEN JUNIOR HIGH</t>
  </si>
  <si>
    <t>E. P. FOSTER ELEMENTARY</t>
  </si>
  <si>
    <t>E. RUTH SHELDON ACADEMY OF INNOVATIVE LEARNING</t>
  </si>
  <si>
    <t>E3 CIVIC HIGH</t>
  </si>
  <si>
    <t>EAGLE CANYON ELEMENTARY</t>
  </si>
  <si>
    <t>EAGLE CANYON HIGH</t>
  </si>
  <si>
    <t>EAGLE CREEK</t>
  </si>
  <si>
    <t>EAGLE MOUNTAIN ELEMENTARY</t>
  </si>
  <si>
    <t>EAGLE PEAK MIDDLE</t>
  </si>
  <si>
    <t>EAGLE PEAK MONTESSORI</t>
  </si>
  <si>
    <t>EAGLE PRAIRIE ELEMENTARY</t>
  </si>
  <si>
    <t>EAGLE RANCH</t>
  </si>
  <si>
    <t>EAGLE ROCK ELEMENTARY</t>
  </si>
  <si>
    <t>EAGLE ROCK HIGH</t>
  </si>
  <si>
    <t>EAGLE SUMMIT COMMUNITY DAY</t>
  </si>
  <si>
    <t>EAGLE TREE CONTINUATION</t>
  </si>
  <si>
    <t>EARL E. EDMONDSON ELEMENTARY</t>
  </si>
  <si>
    <t>EARL F. JOHNSON HIGH (CONTINUATION)</t>
  </si>
  <si>
    <t>EARL LEGETTE ELEMENTARY</t>
  </si>
  <si>
    <t>EARL WARREN ELEMENTARY</t>
  </si>
  <si>
    <t>EARL WARREN JUNIOR HIGH</t>
  </si>
  <si>
    <t>EARL WARREN MIDDLE</t>
  </si>
  <si>
    <t>EARLE E. WILLIAMS MIDDLE</t>
  </si>
  <si>
    <t>EARLIMART COMMUNITY DAY</t>
  </si>
  <si>
    <t>EARLIMART ELEMENTARY</t>
  </si>
  <si>
    <t>EARLIMART MIDDLE</t>
  </si>
  <si>
    <t>EARLY CHILDHOOD EDUCATION</t>
  </si>
  <si>
    <t>EARLY CHILDHOOD LEARNING CENTER</t>
  </si>
  <si>
    <t>EARLY COLLEGE ACADEMY-LA TRADE TECH COLLEGE</t>
  </si>
  <si>
    <t>EARLY COLLEGE HIGH</t>
  </si>
  <si>
    <t>EARLY LEARNING PROGRAM</t>
  </si>
  <si>
    <t>EAST AVENUE ELEMENTARY</t>
  </si>
  <si>
    <t>EAST AVENUE MIDDLE</t>
  </si>
  <si>
    <t>EAST BAKERSFIELD HIGH</t>
  </si>
  <si>
    <t>EAST BAY ARTS HIGH</t>
  </si>
  <si>
    <t>EAST BAY REGIONAL OCCUPATION CENTER/AGENCY (ROC/P)</t>
  </si>
  <si>
    <t>EAST COTTONWOOD ELEMENTARY</t>
  </si>
  <si>
    <t>EAST COUNTY ACADEMY OF LEARNING</t>
  </si>
  <si>
    <t>EAST COUNTY ELEMENTARY SPECIAL EDUCATION</t>
  </si>
  <si>
    <t>EAST HERITAGE ELEMENTARY</t>
  </si>
  <si>
    <t>EAST HIGH (CONTINUATION)</t>
  </si>
  <si>
    <t>EAST HILLS ACADEMY</t>
  </si>
  <si>
    <t>EAST LAKE</t>
  </si>
  <si>
    <t>EAST LOS ANGELES COMMUNITY DAY</t>
  </si>
  <si>
    <t>EAST NICOLAUS HIGH</t>
  </si>
  <si>
    <t>EAST OAKLAND LEADERSHIP ACADEMY</t>
  </si>
  <si>
    <t>EAST OAKLAND LEADERSHIP ACADEMY HIGH</t>
  </si>
  <si>
    <t>EAST OAKLAND PRIDE ELEMENTARY</t>
  </si>
  <si>
    <t>EAST OAKLAND SCHOOL OF THE ARTS</t>
  </si>
  <si>
    <t>EAST PALO ALTO ACADEMY</t>
  </si>
  <si>
    <t>EAST REGION COMMUNITY</t>
  </si>
  <si>
    <t>EAST REGION COMMUNITY SCHOOL OF GREATER EL CAJON</t>
  </si>
  <si>
    <t>EAST REGION COMMUNITY SCHOOL OF GREATER LA MESA</t>
  </si>
  <si>
    <t>EAST REGION COURT</t>
  </si>
  <si>
    <t>EAST SAN GABRIEL VALLEY ROP</t>
  </si>
  <si>
    <t>EAST STANISLAUS HIGH</t>
  </si>
  <si>
    <t>EAST UNION HIGH</t>
  </si>
  <si>
    <t>EAST VALLEY COMMUNITY DAY</t>
  </si>
  <si>
    <t>EAST VALLEY COMMUNITY DAY 6-8 MIDDLE</t>
  </si>
  <si>
    <t>EAST VALLEY COMMUNITY DAY K-6 ELEMENTARY</t>
  </si>
  <si>
    <t>EAST VALLEY SENIOR HIGH</t>
  </si>
  <si>
    <t>EAST WHITTIER MIDDLE</t>
  </si>
  <si>
    <t>EASTBLUFF ELEMENTARY</t>
  </si>
  <si>
    <t>EASTERBROOK DISCOVERY</t>
  </si>
  <si>
    <t>EASTERBY ELEMENTARY</t>
  </si>
  <si>
    <t>EASTERN COMMUNITY DAY</t>
  </si>
  <si>
    <t>EASTIN-ARCOLA HIGH</t>
  </si>
  <si>
    <t>EASTLAKE ELEMENTARY</t>
  </si>
  <si>
    <t>EASTLAKE HIGH</t>
  </si>
  <si>
    <t>EASTLAKE MIDDLE</t>
  </si>
  <si>
    <t>EASTMAN AVENUE ELEMENTARY</t>
  </si>
  <si>
    <t>EASTMONT INTERMEDIATE</t>
  </si>
  <si>
    <t>EASTON COMMUNITY DAY</t>
  </si>
  <si>
    <t>EASTON CONTINUATION HIGH</t>
  </si>
  <si>
    <t>EASTSHORE ELEMENTARY</t>
  </si>
  <si>
    <t>EASTSIDE ACADEMY/TRANSITIONAL LEARNING CENTER</t>
  </si>
  <si>
    <t>EASTSIDE ELEMENTARY</t>
  </si>
  <si>
    <t>EASTSIDE HIGH</t>
  </si>
  <si>
    <t>EASTVALE ELEMENTARY</t>
  </si>
  <si>
    <t>EASTWOOD ELEMENTARY</t>
  </si>
  <si>
    <t>EATON ELEMENTARY</t>
  </si>
  <si>
    <t>ECADEMY CALIFORNIA</t>
  </si>
  <si>
    <t>ECADEMY CHARTER AT CRANE</t>
  </si>
  <si>
    <t>ECHO VALLEY ELEMENTARY</t>
  </si>
  <si>
    <t>ED DONALDSON EDUCATION CENTER</t>
  </si>
  <si>
    <t>EDEN AREA ROP</t>
  </si>
  <si>
    <t>EDEN GARDENS ELEMENTARY</t>
  </si>
  <si>
    <t>EDENDALE MIDDLE</t>
  </si>
  <si>
    <t>EDENVALE ELEMENTARY</t>
  </si>
  <si>
    <t>EDGE</t>
  </si>
  <si>
    <t>EDGE ACADEMY</t>
  </si>
  <si>
    <t>EDGEMONT ELEMENTARY</t>
  </si>
  <si>
    <t>EDGEWATER ELEMENTARY</t>
  </si>
  <si>
    <t>EDGEWOOD ACADEMY</t>
  </si>
  <si>
    <t>EDGEWOOD HIGH</t>
  </si>
  <si>
    <t>EDGEWOOD MIDDLE</t>
  </si>
  <si>
    <t>EDISON (THOMAS) ELEMENTARY</t>
  </si>
  <si>
    <t>EDISON CHARTER ACADEMY</t>
  </si>
  <si>
    <t>EDISON COMPUTECH</t>
  </si>
  <si>
    <t>EDISON ELEMENTARY</t>
  </si>
  <si>
    <t>EDISON HIGH</t>
  </si>
  <si>
    <t>EDISON MIDDLE</t>
  </si>
  <si>
    <t>EDISON-BETHUNE CHARTER ACADEMY</t>
  </si>
  <si>
    <t>EDITH B. STOREY ELEMENTARY</t>
  </si>
  <si>
    <t>EDITH LANDELS ELEMENTARY</t>
  </si>
  <si>
    <t>EDNA BATEY ELEMENTARY</t>
  </si>
  <si>
    <t>EDNA BEAMAN ELEMENTARY</t>
  </si>
  <si>
    <t>EDNA BREWER MIDDLE</t>
  </si>
  <si>
    <t>EDNA HILL MIDDLE</t>
  </si>
  <si>
    <t>EDNA MAGUIRE ELEMENTARY</t>
  </si>
  <si>
    <t>EDUCATIONAL OUTREACH ACADEMY</t>
  </si>
  <si>
    <t>EDUCATIONAL PARTNERSHIP HIGH</t>
  </si>
  <si>
    <t>EDUCATIONAL RESOURCE CENTER AT GAREY VILLAGE COMMU</t>
  </si>
  <si>
    <t>EDUCATIONAL TRAINING CENTER</t>
  </si>
  <si>
    <t>EDUHSD VIRTUAL ACADEMY AT SHENANDOAH</t>
  </si>
  <si>
    <t>EDUSHD COMMUNITY DAY</t>
  </si>
  <si>
    <t>EDWARD B. COLE ACADEMY</t>
  </si>
  <si>
    <t>EDWARD C. MERLO INSTITUTE OF ENVIRONMENTAL STUDIES</t>
  </si>
  <si>
    <t>EDWARD FITZGERALD ELEMENTARY</t>
  </si>
  <si>
    <t>EDWARD HARRIS JR. MIDDLE</t>
  </si>
  <si>
    <t>EDWARD J. RICHARDSON MIDDLE</t>
  </si>
  <si>
    <t>EDWARD KEMBLE ELEMENTARY</t>
  </si>
  <si>
    <t>EDWARD M. DOWNER ELEMENTARY</t>
  </si>
  <si>
    <t>EDWARD R. ROYBAL LEARNING CENTER</t>
  </si>
  <si>
    <t>EDWARD RUSSELL ELEMENTARY</t>
  </si>
  <si>
    <t>EDWIN MARKHAM ELEMENTARY</t>
  </si>
  <si>
    <t>EDWIN MARKHAM MIDDLE</t>
  </si>
  <si>
    <t>EDWIN RHODES ELEMENTARY</t>
  </si>
  <si>
    <t>EEL RIVER CHARTER</t>
  </si>
  <si>
    <t>EEL RIVER COMMUNITY</t>
  </si>
  <si>
    <t>EINSTEIN ACADEMY</t>
  </si>
  <si>
    <t>EINSTEIN EDUCATION CENTER</t>
  </si>
  <si>
    <t>EISENHOWER SENIOR HIGH</t>
  </si>
  <si>
    <t>EJE ELEMENTARY ACADEMY CHARTER</t>
  </si>
  <si>
    <t>EJE MIDDLE ACADEMY</t>
  </si>
  <si>
    <t>EL CAJON VALLEY HIGH</t>
  </si>
  <si>
    <t>EL CAMINO CREEK ELEMENTARY</t>
  </si>
  <si>
    <t>EL CAMINO ELEMENTARY</t>
  </si>
  <si>
    <t>EL CAMINO FUNDAMENTAL HIGH</t>
  </si>
  <si>
    <t>EL CAMINO HIGH</t>
  </si>
  <si>
    <t>EL CAMINO HIGH (CONTINUATION)</t>
  </si>
  <si>
    <t>EL CAMINO JUNIOR HIGH</t>
  </si>
  <si>
    <t>EL CAMINO REAL CHARTER HIGH</t>
  </si>
  <si>
    <t>EL CAMINO REAL CONTINUATION HIGH</t>
  </si>
  <si>
    <t>EL CAMINO REAL ELEMENTARY</t>
  </si>
  <si>
    <t>EL CAMINO REAL SCIENCE AND TECHNOLOGY ACADEMY</t>
  </si>
  <si>
    <t>EL CAPITAN ELEMENTARY</t>
  </si>
  <si>
    <t>EL CAPITAN HIGH</t>
  </si>
  <si>
    <t>EL CAPITAN MIDDLE</t>
  </si>
  <si>
    <t>EL CARMELO ELEMENTARY</t>
  </si>
  <si>
    <t>EL CENTRO DISTRICT WIDE PRESCHOOL</t>
  </si>
  <si>
    <t>EL CENTRO ELEMENTARY</t>
  </si>
  <si>
    <t>EL CENTRO JR./SR. HIGH</t>
  </si>
  <si>
    <t>EL CERRITO ELEMENTARY</t>
  </si>
  <si>
    <t>EL CERRITO MIDDLE</t>
  </si>
  <si>
    <t>EL CERRITO SENIOR HIGH</t>
  </si>
  <si>
    <t>EL CRYSTAL ELEMENTARY</t>
  </si>
  <si>
    <t>EL DESCANSO ELEMENTARY</t>
  </si>
  <si>
    <t>EL DIAMANTE HIGH</t>
  </si>
  <si>
    <t>EL DORADO AVENUE ELEMENTARY</t>
  </si>
  <si>
    <t>EL DORADO COE CHARTER COMMUNITY DAY</t>
  </si>
  <si>
    <t>EL DORADO ELEMENTARY</t>
  </si>
  <si>
    <t>EL DORADO HIGH</t>
  </si>
  <si>
    <t>EL DORADO MIDDLE</t>
  </si>
  <si>
    <t>EL GABILAN ELEMENTARY</t>
  </si>
  <si>
    <t>EL GRANADA ELEMENTARY</t>
  </si>
  <si>
    <t>EL MARINO ELEMENTARY</t>
  </si>
  <si>
    <t>EL MIRAGE</t>
  </si>
  <si>
    <t>EL MODENA HIGH</t>
  </si>
  <si>
    <t>EL MOLINO HIGH</t>
  </si>
  <si>
    <t>EL MONTE ELEMENTARY</t>
  </si>
  <si>
    <t>EL MONTE HIGH</t>
  </si>
  <si>
    <t>EL MONTE MIDDLE</t>
  </si>
  <si>
    <t>EL MONTE UNION HIGH SCHOOL COMMUNITY DAY</t>
  </si>
  <si>
    <t>EL MONTE/ROSEMEAD ADULT</t>
  </si>
  <si>
    <t>EL MORRO ELEMENTARY</t>
  </si>
  <si>
    <t>EL NIDO ELEMENTARY</t>
  </si>
  <si>
    <t>EL ORO WAY CHARTER FOR ENRICHED STUDIES</t>
  </si>
  <si>
    <t>EL PORTAL ELEMENTARY</t>
  </si>
  <si>
    <t>EL PORTAL MIDDLE</t>
  </si>
  <si>
    <t>EL PUENTE</t>
  </si>
  <si>
    <t>EL PUENTE HIGH</t>
  </si>
  <si>
    <t>EL RANCHO CHARTER</t>
  </si>
  <si>
    <t>EL RANCHO HIGH</t>
  </si>
  <si>
    <t>EL RINCON ELEMENTARY</t>
  </si>
  <si>
    <t>EL ROBLE ELEMENTARY</t>
  </si>
  <si>
    <t>EL ROBLE INTERMEDIATE</t>
  </si>
  <si>
    <t>EL RODEO ELEMENTARY</t>
  </si>
  <si>
    <t>EL SAUSAL MIDDLE</t>
  </si>
  <si>
    <t>EL SEGUNDO HIGH</t>
  </si>
  <si>
    <t>EL SEGUNDO MIDDLE</t>
  </si>
  <si>
    <t>EL SERENO ALTERNATIVE EDUCATION</t>
  </si>
  <si>
    <t>EL SERENO ELEMENTARY</t>
  </si>
  <si>
    <t>EL SERENO MIDDLE</t>
  </si>
  <si>
    <t>EL SOL SANTA ANA SCIENCE AND ARTS ACADEMY</t>
  </si>
  <si>
    <t>EL TEJON CONTINUATION HIGH</t>
  </si>
  <si>
    <t>EL TEJON ELEMENTARY</t>
  </si>
  <si>
    <t>EL TORO ELEMENTARY</t>
  </si>
  <si>
    <t>EL TORO HIGH</t>
  </si>
  <si>
    <t>EL TOYON ELEMENTARY</t>
  </si>
  <si>
    <t>EL VERANO ELEMENTARY</t>
  </si>
  <si>
    <t>EL VISTA ELEMENTARY</t>
  </si>
  <si>
    <t>ELBOW CREEK ELEMENTARY</t>
  </si>
  <si>
    <t>ELDER CREEK ELEMENTARY</t>
  </si>
  <si>
    <t>ELDERBERRY ELEMENTARY</t>
  </si>
  <si>
    <t>ELDRIDGE ELEMENTARY</t>
  </si>
  <si>
    <t>ELEANOR J. TOLL MIDDLE</t>
  </si>
  <si>
    <t>ELEANOR MURRAY FALLON</t>
  </si>
  <si>
    <t>ELEANOR ROOSEVELT COMMUNITY LEARNING CENTER</t>
  </si>
  <si>
    <t>ELEANOR ROOSEVELT HIGH</t>
  </si>
  <si>
    <t>ELIHU BEARD ELEMENTARY</t>
  </si>
  <si>
    <t>ELIM ELEMENTARY</t>
  </si>
  <si>
    <t>ELINOR LINCOLN HICKEY JR./SR. HIGH</t>
  </si>
  <si>
    <t>ELIOT ELEMENTARY</t>
  </si>
  <si>
    <t>ELISE P. BUCKINGHAM CHARTER MAGNET HIGH</t>
  </si>
  <si>
    <t>ELITHA DONNER ELEMENTARY</t>
  </si>
  <si>
    <t>ELIZABETH LEARNING CENTER</t>
  </si>
  <si>
    <t>ELIZABETH PINKERTON MIDDLE</t>
  </si>
  <si>
    <t>ELIZABETH T. HUGHBANKS ELEMENTARY</t>
  </si>
  <si>
    <t>ELIZABETH TERRONEZ MIDDLE</t>
  </si>
  <si>
    <t>ELIZABETH USTACH MIDDLE</t>
  </si>
  <si>
    <t>ELK CREEK</t>
  </si>
  <si>
    <t>ELK CREEK ELEMENTARY</t>
  </si>
  <si>
    <t>ELK CREEK JUNIOR-SENIOR HIGH</t>
  </si>
  <si>
    <t>ELK GROVE CHARTER</t>
  </si>
  <si>
    <t>ELK GROVE ELEMENTARY</t>
  </si>
  <si>
    <t>ELK GROVE HIGH</t>
  </si>
  <si>
    <t>ELK HILLS ELEMENTARY</t>
  </si>
  <si>
    <t>ELKHORN</t>
  </si>
  <si>
    <t>ELKHORN ELEMENTARY</t>
  </si>
  <si>
    <t>ELKHORN VILLAGE ELEMENTARY</t>
  </si>
  <si>
    <t>ELKINS ELEMENTARY</t>
  </si>
  <si>
    <t>ELLA BARKLEY HIGH</t>
  </si>
  <si>
    <t>ELLA ELEMENTARY</t>
  </si>
  <si>
    <t>ELLEN FEICKERT ELEMENTARY</t>
  </si>
  <si>
    <t>ELLEN OCHOA LEARNING CENTER</t>
  </si>
  <si>
    <t>ELLERHORST ELEMENTARY</t>
  </si>
  <si>
    <t>ELLERTH E. LARSON ELEMENTARY</t>
  </si>
  <si>
    <t>ELLINGTON (DUKE) HIGH (CONTINUATION)</t>
  </si>
  <si>
    <t>ELLIOTT (WILLIAM F) ELEMENTARY</t>
  </si>
  <si>
    <t>ELLIOTT RANCH ELEMENTARY</t>
  </si>
  <si>
    <t>ELLIS ELEMENTARY</t>
  </si>
  <si>
    <t>ELLWOOD ELEMENTARY</t>
  </si>
  <si>
    <t>ELM HIGH</t>
  </si>
  <si>
    <t>ELM STREET ELEMENTARY</t>
  </si>
  <si>
    <t>ELMER WOOD ELEMENTARY</t>
  </si>
  <si>
    <t>ELMHURST COMMUNITY PREP</t>
  </si>
  <si>
    <t>ELMHURST ELEMENTARY</t>
  </si>
  <si>
    <t>ELMWOOD ELEMENTARY</t>
  </si>
  <si>
    <t>ELSA WIDENMANN ELEMENTARY</t>
  </si>
  <si>
    <t>ELSIE ALLEN HIGH</t>
  </si>
  <si>
    <t>ELSINORE ELEMENTARY</t>
  </si>
  <si>
    <t>ELSINORE HIGH</t>
  </si>
  <si>
    <t>ELSINORE MIDDLE</t>
  </si>
  <si>
    <t>ELVERTA ELEMENTARY</t>
  </si>
  <si>
    <t>ELWIN ELEMENTARY</t>
  </si>
  <si>
    <t>ELWOOD J. KEEMA HIGH</t>
  </si>
  <si>
    <t>ELYSIAN HEIGHTS ELEMENTARY</t>
  </si>
  <si>
    <t>EMBLEM ACADEMY</t>
  </si>
  <si>
    <t>EMELITA ACADEMY CHARTER</t>
  </si>
  <si>
    <t>EMERALD MIDDLE</t>
  </si>
  <si>
    <t>EMERSON (RALPH WALDO) ELEMENTARY</t>
  </si>
  <si>
    <t>EMERSON ELEMENTARY</t>
  </si>
  <si>
    <t>EMERSON MIDDLE</t>
  </si>
  <si>
    <t>EMERSON PARKSIDE ACADEMY</t>
  </si>
  <si>
    <t>EMERSON/BANDINI ELEMENTARY</t>
  </si>
  <si>
    <t>EMERY PARK ELEMENTARY</t>
  </si>
  <si>
    <t>EMERY SECONDARY</t>
  </si>
  <si>
    <t>EMERYVILLE PRESCHOOL STUDENTS</t>
  </si>
  <si>
    <t>EMIGRANT GAP ELEMENTARY</t>
  </si>
  <si>
    <t>EMILIE J. ROSS MIDDLE</t>
  </si>
  <si>
    <t>EMILIE RITCHEN ELEMENTARY</t>
  </si>
  <si>
    <t>EMMA C. SMITH ELEMENTARY</t>
  </si>
  <si>
    <t>EMMA W. SHUEY ELEMENTARY</t>
  </si>
  <si>
    <t>EMMA WILSON ELEMENTARY</t>
  </si>
  <si>
    <t>EMMERTON ELEMENTARY</t>
  </si>
  <si>
    <t>EMMETT S. FINLEY ELEMENTARY</t>
  </si>
  <si>
    <t>EMORY ELEMENTARY</t>
  </si>
  <si>
    <t>EMPEROR ELEMENTARY</t>
  </si>
  <si>
    <t>EMPIRE ELEMENTARY</t>
  </si>
  <si>
    <t>EMPIRE GARDENS ELEMENTARY</t>
  </si>
  <si>
    <t>EMPIRE OAKS ELEMENTARY</t>
  </si>
  <si>
    <t>EMPRESA ELEMENTARY</t>
  </si>
  <si>
    <t>ENADIA TECHNOLOGY ENRICHED CHARTER</t>
  </si>
  <si>
    <t>ENCANTO ELEMENTARY</t>
  </si>
  <si>
    <t>ENCHANTED HILLS ELEMENTARY</t>
  </si>
  <si>
    <t>ENCINA PREPARATORY HIGH</t>
  </si>
  <si>
    <t>ENCINAL ELEMENTARY</t>
  </si>
  <si>
    <t>ENCINAL HIGH</t>
  </si>
  <si>
    <t>ENCINITA ELEMENTARY</t>
  </si>
  <si>
    <t>ENCINO CHARTER ELEMENTARY</t>
  </si>
  <si>
    <t>ENCOMPASS ACADEMY ELEMENTARY</t>
  </si>
  <si>
    <t>ENCORE JR./SR. HIGH SCH FOR THE PERF AND VISUAL AR</t>
  </si>
  <si>
    <t>ENDEAVOR ALTERNATIVE</t>
  </si>
  <si>
    <t>ENDEAVOR COLLEGE PREPARATORY CHARTER</t>
  </si>
  <si>
    <t>ENDEAVOUR ELEMENTARY</t>
  </si>
  <si>
    <t>ENDEAVOUR MIDDLE</t>
  </si>
  <si>
    <t>ENDEAVOUR SCHOOL OF EXPLORATION</t>
  </si>
  <si>
    <t>ENDERS ELEMENTARY</t>
  </si>
  <si>
    <t>ENGR AND TECH ACAD AT ESTEBAN E. TORRES HIGH #3</t>
  </si>
  <si>
    <t>ENID PRINE HIGH (CONTINUATION)</t>
  </si>
  <si>
    <t>ENRIQUE CAMARENA JR. HIGH</t>
  </si>
  <si>
    <t>ENSLEN ELEMENTARY</t>
  </si>
  <si>
    <t>ENTERPRISE ALTERNATIVE</t>
  </si>
  <si>
    <t>ENTERPRISE COMMUNITY DAY</t>
  </si>
  <si>
    <t>ENTERPRISE HIGH</t>
  </si>
  <si>
    <t>ENTERPRISE MIDDLE</t>
  </si>
  <si>
    <t>ENTERPRISE PLUS</t>
  </si>
  <si>
    <t>ENTERPRISE SECONDARY</t>
  </si>
  <si>
    <t>ENVIRONMENTAL ACAD OF RESEARCH TECH AND EARTH SCIS</t>
  </si>
  <si>
    <t>ENVIRONMENTAL CHARTER HIGH</t>
  </si>
  <si>
    <t>ENVIRONMENTAL CHARTER MIDDLE</t>
  </si>
  <si>
    <t>ENVIRONMENTAL CHARTER MIDDLE - INGLEWOOD</t>
  </si>
  <si>
    <t>ENVISION ACADEMY FOR ARTS &amp; TECHNOLOGY</t>
  </si>
  <si>
    <t>EPIPHANY PREP CHARTER</t>
  </si>
  <si>
    <t>EQUITAS ACADEMY CHARTER</t>
  </si>
  <si>
    <t>EQUITAS ACADEMY CHARTER #2</t>
  </si>
  <si>
    <t>ERIC WHITE ELEMENTARY</t>
  </si>
  <si>
    <t>ERICSON ELEMENTARY</t>
  </si>
  <si>
    <t>ERLE STANLEY GARDNER MIDDLE</t>
  </si>
  <si>
    <t>ERMA B. REESE ELEMENTARY</t>
  </si>
  <si>
    <t>ERMA DUNCAN POLYTECHNICAL HIGH</t>
  </si>
  <si>
    <t>ERNEST GARCIA ELEMENTARY</t>
  </si>
  <si>
    <t>ERNEST LAWRENCE MIDDLE</t>
  </si>
  <si>
    <t>ERNEST O. LAWRENCE ELEMENTARY</t>
  </si>
  <si>
    <t>ERNEST P. WILLENBERG SPECIAL EDUCATION CENTER</t>
  </si>
  <si>
    <t>ERNEST R. GEDDES ELEMENTARY</t>
  </si>
  <si>
    <t>ERNEST RIGHETTI HIGH</t>
  </si>
  <si>
    <t>ERNEST S. MCBRIDE SR. HIGH</t>
  </si>
  <si>
    <t>ERNESTO GALARZA ELEMENTARY</t>
  </si>
  <si>
    <t>ERNIE PYLE ELEMENTARY</t>
  </si>
  <si>
    <t>ERWIN ELEMENTARY</t>
  </si>
  <si>
    <t>ESCALON CHARTER ACADEMY</t>
  </si>
  <si>
    <t>ESCALON HIGH</t>
  </si>
  <si>
    <t>ESCALONA ELEMENTARY</t>
  </si>
  <si>
    <t>ESCHOLAR ACADEMY</t>
  </si>
  <si>
    <t>ESCONDIDO CHARTER HIGH</t>
  </si>
  <si>
    <t>ESCONDIDO COMMUNITY DAY</t>
  </si>
  <si>
    <t>ESCONDIDO ELEMENTARY</t>
  </si>
  <si>
    <t>ESCONDIDO HIGH</t>
  </si>
  <si>
    <t>ESCUELA POPULAR ACCELERATED FAMILY LEARNING</t>
  </si>
  <si>
    <t>ESCUELA POPULAR/CENTER FOR TRAINING AND CAREERS F</t>
  </si>
  <si>
    <t>ESHELMAN AVENUE ELEMENTARY</t>
  </si>
  <si>
    <t>ESPARTO HIGH</t>
  </si>
  <si>
    <t>ESPARTO K-8</t>
  </si>
  <si>
    <t>ESPERANZA</t>
  </si>
  <si>
    <t>ESPERANZA ELEMENTARY</t>
  </si>
  <si>
    <t>ESPERANZA HIGH</t>
  </si>
  <si>
    <t>ESPERANZA HIGH (CONTINUATION)</t>
  </si>
  <si>
    <t>ESPLANADE ELEMENTARY</t>
  </si>
  <si>
    <t>ESTANCIA HIGH</t>
  </si>
  <si>
    <t>ESTHER L. WALTER ELEMENTARY</t>
  </si>
  <si>
    <t>ESTHER LINDSTROM ELEMENTARY</t>
  </si>
  <si>
    <t>ESTRELLA ELEMENTARY</t>
  </si>
  <si>
    <t>ESTRELLITA CONTINUATION HIGH</t>
  </si>
  <si>
    <t>ESTUDILLO ELEMENTARY</t>
  </si>
  <si>
    <t>ETHAN A CHASE MIDDLE</t>
  </si>
  <si>
    <t>ETHAN B. ALLEN ELEMENTARY</t>
  </si>
  <si>
    <t>ETHEL DWYER MIDDLE</t>
  </si>
  <si>
    <t>ETHEL I. BAKER ELEMENTARY</t>
  </si>
  <si>
    <t>ETHEL KUCERA MIDDLE</t>
  </si>
  <si>
    <t>ETHEL M. EVANS ELEMENTARY</t>
  </si>
  <si>
    <t>ETHEL PHILLIPS ELEMENTARY</t>
  </si>
  <si>
    <t>ETIWANDA COLONY ELEMENTARY</t>
  </si>
  <si>
    <t>ETIWANDA COMMUNITY DAY</t>
  </si>
  <si>
    <t>ETIWANDA HIGH</t>
  </si>
  <si>
    <t>ETIWANDA INTERMEDIATE</t>
  </si>
  <si>
    <t>ETNA COMMUNITY DAY</t>
  </si>
  <si>
    <t>ETNA ELEMENTARY</t>
  </si>
  <si>
    <t>ETNA UNION HIGH</t>
  </si>
  <si>
    <t>ETTERSBURG ELEMENTARY</t>
  </si>
  <si>
    <t>EUCALYPTUS</t>
  </si>
  <si>
    <t>EUCALYPTUS ELEMENTARY</t>
  </si>
  <si>
    <t>EUCLID AVENUE ELEMENTARY</t>
  </si>
  <si>
    <t>EUCLID ELEMENTARY</t>
  </si>
  <si>
    <t>EUGENE A. OBREGON</t>
  </si>
  <si>
    <t>EUGENE PADAN ELEMENTARY</t>
  </si>
  <si>
    <t>EUREKA COMMUNITY</t>
  </si>
  <si>
    <t>EUREKA DUNES HIGH</t>
  </si>
  <si>
    <t>EUREKA SENIOR HIGH</t>
  </si>
  <si>
    <t>EV CAIN 21ST CENTURY STEM CHARTER</t>
  </si>
  <si>
    <t>EVANGELINE ROBERTS INSTITUTE OF LEARNING</t>
  </si>
  <si>
    <t>EVANS RANCH ELEMENTARY</t>
  </si>
  <si>
    <t>EVELYN CARR ELEMENTARY</t>
  </si>
  <si>
    <t>EVELYN HANSHAW MIDDLE</t>
  </si>
  <si>
    <t>EVEREST PUBLIC HIGH</t>
  </si>
  <si>
    <t>EVERETT A. REA ELEMENTARY</t>
  </si>
  <si>
    <t>EVERETT ALVAREZ HIGH</t>
  </si>
  <si>
    <t>EVERETT MIDDLE</t>
  </si>
  <si>
    <t>EVERGREEN AVENUE ELEMENTARY</t>
  </si>
  <si>
    <t>EVERGREEN COMMUNITY DAY (5-8)</t>
  </si>
  <si>
    <t>EVERGREEN COMMUNITY DAY K-5</t>
  </si>
  <si>
    <t>EVERGREEN CONTINUATION</t>
  </si>
  <si>
    <t>EVERGREEN ELEMENTARY</t>
  </si>
  <si>
    <t>EVERGREEN HIGH</t>
  </si>
  <si>
    <t>EVERGREEN MIDDLE</t>
  </si>
  <si>
    <t>EVERGREEN VALLEY HIGH</t>
  </si>
  <si>
    <t>EWING ELEMENTARY</t>
  </si>
  <si>
    <t>EXCEL ACAD: COLLEGIATE SPORTS HEALTH SCI PREPARATO</t>
  </si>
  <si>
    <t>EXCEL HIGH</t>
  </si>
  <si>
    <t>EXCEL PREP CHARTER</t>
  </si>
  <si>
    <t>EXCEL PREP CHARTER - IE</t>
  </si>
  <si>
    <t>EXCELSIOR CHARTER</t>
  </si>
  <si>
    <t>EXCELSIOR ELEMENTARY</t>
  </si>
  <si>
    <t>EXCELSIOR MIDDLE</t>
  </si>
  <si>
    <t>EXECUTIVE PREPARATORY ACADEMY OF FINANCE</t>
  </si>
  <si>
    <t>EXETER COMMUNITY DAY</t>
  </si>
  <si>
    <t>EXETER HIGH</t>
  </si>
  <si>
    <t>EXETER INDEPENDENT STUDY (ALTERNATIVE)</t>
  </si>
  <si>
    <t>EXETER UNION COMMUNITY DAY</t>
  </si>
  <si>
    <t>EXPLORER ELEMENTARY</t>
  </si>
  <si>
    <t>EXTERA PUBLIC</t>
  </si>
  <si>
    <t>EXTERA PUBLIC SCHOOL NO. 2</t>
  </si>
  <si>
    <t>EZEKIEL BALDERAS ELEMENTARY</t>
  </si>
  <si>
    <t>EZEQUIEL TAFOYA ALVARADO ACADEMY</t>
  </si>
  <si>
    <t>F. D. ROOSEVELT ELEMENTARY</t>
  </si>
  <si>
    <t>FAIR AVENUE ELEMENTARY</t>
  </si>
  <si>
    <t>FAIR OAKS ELEMENTARY</t>
  </si>
  <si>
    <t>FAIR OAKS RANCH COMMUNITY</t>
  </si>
  <si>
    <t>FAIR VIEW HIGH (CONTINUATION)</t>
  </si>
  <si>
    <t>FAIRBANKS ELEMENTARY</t>
  </si>
  <si>
    <t>FAIRBURN AVENUE ELEMENTARY</t>
  </si>
  <si>
    <t>FAIRFAX ELEMENTARY</t>
  </si>
  <si>
    <t>FAIRFAX MIDDLE</t>
  </si>
  <si>
    <t>FAIRFAX SENIOR HIGH</t>
  </si>
  <si>
    <t>FAIRFIELD ELEMENTARY</t>
  </si>
  <si>
    <t>FAIRFIELD HIGH</t>
  </si>
  <si>
    <t>FAIRFIELD-SUISUN ELEMENTARY COMMUNITY DAY</t>
  </si>
  <si>
    <t>FAIRGROVE ACADEMY</t>
  </si>
  <si>
    <t>FAIRGROVE ELEMENTARY</t>
  </si>
  <si>
    <t>FAIRHAVEN ELEMENTARY</t>
  </si>
  <si>
    <t>FAIRLANDS ELEMENTARY</t>
  </si>
  <si>
    <t>FAIRLAWN ELEMENTARY</t>
  </si>
  <si>
    <t>FAIRMEAD ELEMENTARY</t>
  </si>
  <si>
    <t>FAIRMEADOW ELEMENTARY</t>
  </si>
  <si>
    <t>FAIRMONT CHARTER ELEMENTARY</t>
  </si>
  <si>
    <t>FAIRMONT ELEMENTARY</t>
  </si>
  <si>
    <t>FAIRMOUNT ELEMENTARY</t>
  </si>
  <si>
    <t>FAIRVALLEY HIGH (CONTINUATION)</t>
  </si>
  <si>
    <t>FAIRVIEW ELEMENTARY</t>
  </si>
  <si>
    <t>FAIRVIEW MIDDLE</t>
  </si>
  <si>
    <t>FAIRWOOD ELEMENTARY</t>
  </si>
  <si>
    <t>FAITH RINGGOLD SCHOOL OF ARTS AND SCIENCE</t>
  </si>
  <si>
    <t>FALL RIVER COMMUNITY DAY</t>
  </si>
  <si>
    <t>FALL RIVER ELEMENTARY</t>
  </si>
  <si>
    <t>FALL RIVER ELEMENTARY COMMUNITY DAY</t>
  </si>
  <si>
    <t>FALL RIVER JUNIOR-SENIOR HIGH</t>
  </si>
  <si>
    <t>FALLBROOK HIGH</t>
  </si>
  <si>
    <t>FALLBROOK STREET ELEMENTARY</t>
  </si>
  <si>
    <t>FALLER ELEMENTARY</t>
  </si>
  <si>
    <t>FALLSVALE ELEMENTARY</t>
  </si>
  <si>
    <t>FAME PUBLIC CHARTER</t>
  </si>
  <si>
    <t>FAMILY PARTNERSHIP HOME STUDY CHARTER</t>
  </si>
  <si>
    <t>FAMILY TREE LEARNING CENTER</t>
  </si>
  <si>
    <t>FAMMATRE ELEMENTARY</t>
  </si>
  <si>
    <t>FANCHER CREEK ELEMENTARY</t>
  </si>
  <si>
    <t>FAR EAST COUNTY PROGRAMS</t>
  </si>
  <si>
    <t>FAR WEST</t>
  </si>
  <si>
    <t>FARALLONE VIEW ELEMENTARY</t>
  </si>
  <si>
    <t>FARB MIDDLE</t>
  </si>
  <si>
    <t>FARJARDO - LA SEDA PRESCHOOL</t>
  </si>
  <si>
    <t>FARMDALE ELEMENTARY</t>
  </si>
  <si>
    <t>FARMERSVILLE HIGH</t>
  </si>
  <si>
    <t>FARMERSVILLE JUNIOR HIGH</t>
  </si>
  <si>
    <t>FARMINGTON ELEMENTARY</t>
  </si>
  <si>
    <t>FARNHAM CHARTER</t>
  </si>
  <si>
    <t>FARR AVENUE ELEMENTARY</t>
  </si>
  <si>
    <t>FARRAGUT ELEMENTARY</t>
  </si>
  <si>
    <t>FATHER KEITH B. KENNY</t>
  </si>
  <si>
    <t>FATHER'S HEART CHARTER</t>
  </si>
  <si>
    <t>FAY ELEMENTARY</t>
  </si>
  <si>
    <t>FAYLANE ELEMENTARY</t>
  </si>
  <si>
    <t>FEASTER (MAE L.) CHARTER</t>
  </si>
  <si>
    <t>FEATHER FALLS ELEMENTARY</t>
  </si>
  <si>
    <t>FEATHER RIVER ACADEMY</t>
  </si>
  <si>
    <t>FEDDE (PHARIS F.) MIDDLE</t>
  </si>
  <si>
    <t>FEDERAL TERRACE ELEMENTARY</t>
  </si>
  <si>
    <t>FEINSTEIN (DIANNE) ELEMENTARY</t>
  </si>
  <si>
    <t>FELICITA ELEMENTARY</t>
  </si>
  <si>
    <t>FELICITAS AND GONZALO MENDEZ HIGH</t>
  </si>
  <si>
    <t>FELIX J. APPLEBY ELEMENTARY</t>
  </si>
  <si>
    <t>FELTON ELEMENTARY</t>
  </si>
  <si>
    <t>FENTON AVENUE CHARTER</t>
  </si>
  <si>
    <t>FENTON PRIMARY CENTER</t>
  </si>
  <si>
    <t>FERN BACON MIDDLE</t>
  </si>
  <si>
    <t>FERN DRIVE ELEMENTARY</t>
  </si>
  <si>
    <t>FERN ELEMENTARY</t>
  </si>
  <si>
    <t>FERNANDO PULLUM PERFORMING ARTS HIGH</t>
  </si>
  <si>
    <t>FERNANDO R. LEDESMA CONTINUATION HIGH</t>
  </si>
  <si>
    <t>FERNANDO RIVERA INTERMEDIATE</t>
  </si>
  <si>
    <t>FERNANGELES ELEMENTARY</t>
  </si>
  <si>
    <t>FERNDALE ELEMENTARY</t>
  </si>
  <si>
    <t>FERNDALE HIGH</t>
  </si>
  <si>
    <t>FERRIS SPANGER ELEMENTARY</t>
  </si>
  <si>
    <t>FESLER (ISAAC) JUNIOR HIGH</t>
  </si>
  <si>
    <t>FIDDYMENT FARM</t>
  </si>
  <si>
    <t>FIELD (EUGENE) ELEMENTARY</t>
  </si>
  <si>
    <t>FIELD ELEMENTARY</t>
  </si>
  <si>
    <t>FIELDBROOK ELEMENTARY</t>
  </si>
  <si>
    <t>FIESTA GARDENS INTERNATIONAL ELEMENTARY</t>
  </si>
  <si>
    <t>FIFTEENTH STREET ELEMENTARY</t>
  </si>
  <si>
    <t>FIFTY-FOURTH STREET ELEMENTARY</t>
  </si>
  <si>
    <t>FIFTY-NINTH STREET ELEMENTARY</t>
  </si>
  <si>
    <t>FIFTY-SECOND STREET ELEMENTARY</t>
  </si>
  <si>
    <t>FIGARDEN ELEMENTARY</t>
  </si>
  <si>
    <t>FIGUEROA STREET ELEMENTARY</t>
  </si>
  <si>
    <t>FILLMORE ELEMENTARY</t>
  </si>
  <si>
    <t>FILLMORE MIDDLE</t>
  </si>
  <si>
    <t>FILLMORE SENIOR HIGH</t>
  </si>
  <si>
    <t>FILM AND THEATRE ARTS CHARTER HIGH</t>
  </si>
  <si>
    <t>FINE ARTS ACADEMY</t>
  </si>
  <si>
    <t>FINLEY ELEMENTARY</t>
  </si>
  <si>
    <t>FINNEY (MYRTLE S.) ELEMENTARY</t>
  </si>
  <si>
    <t>FIPPS PRIMARY</t>
  </si>
  <si>
    <t>FIREBAUGH COMMUNITY DAY</t>
  </si>
  <si>
    <t>FIREBAUGH HIGH</t>
  </si>
  <si>
    <t>FIREBAUGH MIDDLE</t>
  </si>
  <si>
    <t>FIRST AVENUE MIDDLE</t>
  </si>
  <si>
    <t>FIRST STREET</t>
  </si>
  <si>
    <t>FIRST STREET ELEMENTARY</t>
  </si>
  <si>
    <t>FISHBURN AVENUE ELEMENTARY</t>
  </si>
  <si>
    <t>FIVE KEYS ADULT SCHOOL (SF SHERIFF'S)</t>
  </si>
  <si>
    <t>FIVE KEYS CHARTER (SF SHERIFF'S)</t>
  </si>
  <si>
    <t>FIVE KEYS INDEPENDENCE HS (SF SHERIFF'S)</t>
  </si>
  <si>
    <t>FLETCHER DRIVE ELEMENTARY</t>
  </si>
  <si>
    <t>FLETCHER ELEMENTARY</t>
  </si>
  <si>
    <t>FLETCHER HILLS ELEMENTARY</t>
  </si>
  <si>
    <t>FLETCHER WALKER ELEMENTARY</t>
  </si>
  <si>
    <t>FLORA VISTA ELEMENTARY</t>
  </si>
  <si>
    <t>FLORENCE AVENUE ELEMENTARY</t>
  </si>
  <si>
    <t>FLORENCE E. RATA</t>
  </si>
  <si>
    <t>FLORENCE ELEMENTARY</t>
  </si>
  <si>
    <t>FLORENCE GRIFFITH JOYNER ELEMENTARY</t>
  </si>
  <si>
    <t>FLORENCE MARKOFER ELEMENTARY</t>
  </si>
  <si>
    <t>FLORENCE NIGHTINGALE MIDDLE</t>
  </si>
  <si>
    <t>FLORIN ELEMENTARY</t>
  </si>
  <si>
    <t>FLORIN HIGH</t>
  </si>
  <si>
    <t>FLORY ACADEMY OF SCIENCES AND TECHNOLOGY</t>
  </si>
  <si>
    <t>FLOURNOY ELEMENTARY</t>
  </si>
  <si>
    <t>FLOWERY ELEMENTARY</t>
  </si>
  <si>
    <t>FLOYD A. SCHELBY</t>
  </si>
  <si>
    <t>FLOYD I. MARCHUS</t>
  </si>
  <si>
    <t>FLOYD M. STORK ELEMENTARY</t>
  </si>
  <si>
    <t>FLYING HILLS ELEMENTARY</t>
  </si>
  <si>
    <t>FLYNN (LEONARD R.) ELEMENTARY</t>
  </si>
  <si>
    <t>FOCUS COMMUNITY DAY (ELEMENTARY)</t>
  </si>
  <si>
    <t>FOLSOM CORDOVA K-8 COMMUNITY CHARTER</t>
  </si>
  <si>
    <t>FOLSOM HIGH</t>
  </si>
  <si>
    <t>FOLSOM HILLS ELEMENTARY</t>
  </si>
  <si>
    <t>FOLSOM LAKE HIGH</t>
  </si>
  <si>
    <t>FOLSOM MIDDLE</t>
  </si>
  <si>
    <t>FONTANA A. B. MILLER HIGH</t>
  </si>
  <si>
    <t>FONTANA ALTERNATIVE LRN CENTER</t>
  </si>
  <si>
    <t>FONTANA HIGH</t>
  </si>
  <si>
    <t>FONTANA MIDDLE</t>
  </si>
  <si>
    <t>FONTANA UNIFIED COMMUNITY DAY</t>
  </si>
  <si>
    <t>FOOTHILL ALTERNATIVE HIGH</t>
  </si>
  <si>
    <t>FOOTHILL COMMUNITY DAY</t>
  </si>
  <si>
    <t>FOOTHILL ELEMENTARY</t>
  </si>
  <si>
    <t>FOOTHILL HIGH</t>
  </si>
  <si>
    <t>FOOTHILL HIGH (ALTERNATIVE)</t>
  </si>
  <si>
    <t>FOOTHILL INTERMEDIATE</t>
  </si>
  <si>
    <t>FOOTHILL KNOLLS ELEMENTARY</t>
  </si>
  <si>
    <t>FOOTHILL MIDDLE</t>
  </si>
  <si>
    <t>FOOTHILL OAK ELEMENTARY</t>
  </si>
  <si>
    <t>FOOTHILL OAKS ELEMENTARY</t>
  </si>
  <si>
    <t>FOOTHILL PLUS</t>
  </si>
  <si>
    <t>FOOTHILL RANCH ELEMENTARY</t>
  </si>
  <si>
    <t>FOOTHILL RANCH MIDDLE</t>
  </si>
  <si>
    <t>FOOTHILL TECHNOLOGY HIGH</t>
  </si>
  <si>
    <t>FOOTHILLS HIGH</t>
  </si>
  <si>
    <t>FOOTHILLS MIDDLE</t>
  </si>
  <si>
    <t>FORD BOULEVARD ELEMENTARY</t>
  </si>
  <si>
    <t>FORD ELEMENTARY</t>
  </si>
  <si>
    <t>FOREST CHARTER</t>
  </si>
  <si>
    <t>FOREST GROVE ELEMENTARY</t>
  </si>
  <si>
    <t>FOREST HILL ELEMENTARY</t>
  </si>
  <si>
    <t>FOREST PARK ELEMENTARY</t>
  </si>
  <si>
    <t>FOREST RANCH CHARTER</t>
  </si>
  <si>
    <t>FORESTHILL DIVIDE</t>
  </si>
  <si>
    <t>FORESTHILL DIVIDE MIDDLE</t>
  </si>
  <si>
    <t>FORESTHILL HIGH</t>
  </si>
  <si>
    <t>FORESTVILLE ACADEMY</t>
  </si>
  <si>
    <t>FORESTVILLE ELEMENTARY</t>
  </si>
  <si>
    <t>FORKNER ELEMENTARY</t>
  </si>
  <si>
    <t>FORKS OF SALMON ELEMENTARY</t>
  </si>
  <si>
    <t>FORT BRAGG HIGH</t>
  </si>
  <si>
    <t>FORT BRAGG MIDDLE</t>
  </si>
  <si>
    <t>FORT IRWIN MIDDLE</t>
  </si>
  <si>
    <t>FORT JONES COMMUNITY DAY</t>
  </si>
  <si>
    <t>FORT JONES ELEMENTARY</t>
  </si>
  <si>
    <t>FORT MILLER MIDDLE</t>
  </si>
  <si>
    <t>FORT ROSS ELEMENTARY</t>
  </si>
  <si>
    <t>FORT SAGE COMMUNITY DAY</t>
  </si>
  <si>
    <t>FORT SAGE MIDDLE</t>
  </si>
  <si>
    <t>FORT WASHINGTON ELEMENTARY</t>
  </si>
  <si>
    <t>FORTUNA MIDDLE</t>
  </si>
  <si>
    <t>FORTUNA UNION HIGH</t>
  </si>
  <si>
    <t>FORTUNE</t>
  </si>
  <si>
    <t>FORTY-NINER ROP</t>
  </si>
  <si>
    <t>FORTY-NINTH STREET ELEMENTARY</t>
  </si>
  <si>
    <t>FORTY-SECOND STREET ELEMENTARY</t>
  </si>
  <si>
    <t>FOSHAY LEARNING CENTER</t>
  </si>
  <si>
    <t>FOSKETT RANCH ELEMENTARY</t>
  </si>
  <si>
    <t>FOSTER CITY ELEMENTARY</t>
  </si>
  <si>
    <t>FOSTER ELEMENTARY</t>
  </si>
  <si>
    <t>FOSTER ROAD ELEMENTARY</t>
  </si>
  <si>
    <t>FOULKS RANCH ELEMENTARY</t>
  </si>
  <si>
    <t>FOUNTAIN VALLEY HIGH</t>
  </si>
  <si>
    <t>FOUR CREEKS ELEMENTARY</t>
  </si>
  <si>
    <t>FOURTH STREET ELEMENTARY</t>
  </si>
  <si>
    <t>FOWLER ACADEMY COMMUNITY DAY</t>
  </si>
  <si>
    <t>FOWLER ACADEMY COMMUNITY DAY (9-12)</t>
  </si>
  <si>
    <t>FOWLER ACADEMY CONTINUATION</t>
  </si>
  <si>
    <t>FOWLER ACADEMY INDEPENDENT STUDY</t>
  </si>
  <si>
    <t>FOWLER HIGH</t>
  </si>
  <si>
    <t>FOX ELEMENTARY</t>
  </si>
  <si>
    <t>FOX ROAD ELEMENTARY</t>
  </si>
  <si>
    <t>FOXBORO ELEMENTARY</t>
  </si>
  <si>
    <t>FRANCES BLEND SPECIAL EDUCATION CENTER</t>
  </si>
  <si>
    <t>FRANCES ELLEN WATKINS HARPER JUNIOR HIGH</t>
  </si>
  <si>
    <t>FRANCES WILLARD ELEMENTARY</t>
  </si>
  <si>
    <t>FRANCIS HOPKINSON ELEMENTARY</t>
  </si>
  <si>
    <t>FRANCIS J. WHITE LEARNING CENTER</t>
  </si>
  <si>
    <t>FRANCISCO BRAVO MEDICAL MAGNET HIGH</t>
  </si>
  <si>
    <t>FRANCISCO MIDDLE</t>
  </si>
  <si>
    <t>FRANCISCO SEPULVEDA MIDDLE</t>
  </si>
  <si>
    <t>FRANK AUGUSTUS MILLER MIDDLE</t>
  </si>
  <si>
    <t>FRANK DEL OLMO ELEMENTARY</t>
  </si>
  <si>
    <t>FRANK E. WOODRUFF ELEMENTARY</t>
  </si>
  <si>
    <t>FRANK J. ZAMBONI</t>
  </si>
  <si>
    <t>FRANK KOHN ELEMENTARY</t>
  </si>
  <si>
    <t>FRANK L. HUFF ELEMENTARY</t>
  </si>
  <si>
    <t>FRANK LANTERMAN</t>
  </si>
  <si>
    <t>FRANK LEDESMA ELEMENTARY</t>
  </si>
  <si>
    <t>FRANK M. WRIGHT MIDDLE</t>
  </si>
  <si>
    <t>FRANK OTIS ELEMENTARY</t>
  </si>
  <si>
    <t>FRANK PAUL ELEMENTARY</t>
  </si>
  <si>
    <t>FRANK SPARKES ELEMENTARY</t>
  </si>
  <si>
    <t>FRANK VESSELS ELEMENTARY</t>
  </si>
  <si>
    <t>FRANK WEST ELEMENTARY</t>
  </si>
  <si>
    <t>FRANK ZEEK ELEMENTARY</t>
  </si>
  <si>
    <t>FRANKLIN (BENJAMIN) ELEMENTARY</t>
  </si>
  <si>
    <t>FRANKLIN AVENUE ELEMENTARY</t>
  </si>
  <si>
    <t>FRANKLIN CLASSICAL MIDDLE</t>
  </si>
  <si>
    <t>FRANKLIN DELANO ROOSEVELT ELEMENTARY</t>
  </si>
  <si>
    <t>FRANKLIN ELEMENTARY</t>
  </si>
  <si>
    <t>FRANKLIN HIGH</t>
  </si>
  <si>
    <t>FRANKLIN MIDDLE</t>
  </si>
  <si>
    <t>FRAZIER MOUNTAIN HIGH</t>
  </si>
  <si>
    <t>FRAZIER PARK ELEMENTARY</t>
  </si>
  <si>
    <t>FRED C. BEYER HIGH</t>
  </si>
  <si>
    <t>FRED E. LULL SPECIAL EDUCATION CENTER</t>
  </si>
  <si>
    <t>FRED E. WEIBEL ELEMENTARY</t>
  </si>
  <si>
    <t>FRED EKSTRAND ELEMENTARY</t>
  </si>
  <si>
    <t>FRED L. THOMPSON JUNIOR HIGH</t>
  </si>
  <si>
    <t>FRED L. WILLIAMS ELEMENTARY</t>
  </si>
  <si>
    <t>FRED T. KOREMATSU DISCOVERY ACADEMY</t>
  </si>
  <si>
    <t>FRED T. KOREMATSU ELEMENTARY SCHOOL AT MACE RANCH</t>
  </si>
  <si>
    <t>FREDERICK DOUGLASS ACADEMY ELEMENTARY</t>
  </si>
  <si>
    <t>FREDERICK DOUGLASS ACADEMY HIGH</t>
  </si>
  <si>
    <t>FREDERICK DOUGLASS ACADEMY MIDDLE</t>
  </si>
  <si>
    <t>FREDERICK JOYCE ELEMENTARY</t>
  </si>
  <si>
    <t>FREDERICK REMINGTON ELEMENTARY</t>
  </si>
  <si>
    <t>FREDERIKSEN ELEMENTARY</t>
  </si>
  <si>
    <t>FREEDOM ACADEMY OF IMPERIAL VALLEY</t>
  </si>
  <si>
    <t>FREEDOM COMMUNITY DAY</t>
  </si>
  <si>
    <t>FREEDOM CREST ELEMENTARY</t>
  </si>
  <si>
    <t>FREEDOM EDUCATION CENTER</t>
  </si>
  <si>
    <t>FREEDOM ELEMENTARY</t>
  </si>
  <si>
    <t>FREEDOM HIGH</t>
  </si>
  <si>
    <t>FREEDOM MIDDLE</t>
  </si>
  <si>
    <t>FREEMAN (DANIEL) ELEMENTARY</t>
  </si>
  <si>
    <t>FREEMAN ELEMENTARY</t>
  </si>
  <si>
    <t>FREEPORT ELEMENTARY</t>
  </si>
  <si>
    <t>FREESE ELEMENTARY</t>
  </si>
  <si>
    <t>FREMONT ACADEMY OF ENGINEERING AND DESIGN</t>
  </si>
  <si>
    <t>FREMONT ELEMENTARY</t>
  </si>
  <si>
    <t>FREMONT HIGH</t>
  </si>
  <si>
    <t>FREMONT INTERMEDIATE</t>
  </si>
  <si>
    <t>FREMONT PRIMARY</t>
  </si>
  <si>
    <t>FRENCH CAMP ELEMENTARY</t>
  </si>
  <si>
    <t>FRENCH GULCH-WHISKEYTOWN ELEMENTARY</t>
  </si>
  <si>
    <t>FRENCH VALLEY ELEMENTARY</t>
  </si>
  <si>
    <t>FRESHWATER CHARTER MIDDLE</t>
  </si>
  <si>
    <t>FRESHWATER ELEMENTARY</t>
  </si>
  <si>
    <t>FRESNO ACADEMY FOR CIVIC AND ENTREPRENEURIAL LEADE</t>
  </si>
  <si>
    <t>FRESNO CITY AND FRESNO STATE PRESCHOOLS</t>
  </si>
  <si>
    <t>FRESNO COE DISTRICT-WIDE PRESCHOOL</t>
  </si>
  <si>
    <t>FRESNO COUNTY COMMUNITY</t>
  </si>
  <si>
    <t>FRESNO COUNTY COMMUNITY DAY</t>
  </si>
  <si>
    <t>FRESNO COUNTY COURT</t>
  </si>
  <si>
    <t>FRESNO COUNTY SPECIAL EDUCATION LOCAL PLAN</t>
  </si>
  <si>
    <t>FRESNO FLATS COMMUNITY DAY</t>
  </si>
  <si>
    <t>FRESNO HIGH</t>
  </si>
  <si>
    <t>FRESNO ROP</t>
  </si>
  <si>
    <t>FRICK MIDDLE</t>
  </si>
  <si>
    <t>FRIDA KAHLO HIGH</t>
  </si>
  <si>
    <t>FRIENDLY HILLS ELEMENTARY</t>
  </si>
  <si>
    <t>FRIES AVENUE ELEMENTARY</t>
  </si>
  <si>
    <t>FRISBIE MIDDLE</t>
  </si>
  <si>
    <t>FRONTIER ELEMENTARY</t>
  </si>
  <si>
    <t>FRONTIER HIGH</t>
  </si>
  <si>
    <t>FRONTIER HIGH (CONTINUATION)</t>
  </si>
  <si>
    <t>FROST (EARL) ELEMENTARY</t>
  </si>
  <si>
    <t>FRUIT RIDGE ELEMENTARY</t>
  </si>
  <si>
    <t>FRUITVALE ELEMENTARY</t>
  </si>
  <si>
    <t>FRUITVALE JUNIOR HIGH</t>
  </si>
  <si>
    <t>FRYBERGER ELEMENTARY</t>
  </si>
  <si>
    <t>FUENTE NUEVA CHARTER</t>
  </si>
  <si>
    <t>FUERTE ELEMENTARY</t>
  </si>
  <si>
    <t>FULL CIRCLE LEARNING ACADEMY</t>
  </si>
  <si>
    <t>FULLBRIGHT AVENUE ELEMENTARY</t>
  </si>
  <si>
    <t>FULLERTON UNION HIGH</t>
  </si>
  <si>
    <t>FULTON (HARRY C.) MIDDLE</t>
  </si>
  <si>
    <t>FULTON K-8</t>
  </si>
  <si>
    <t>FULTON SPECIAL EDUCATION</t>
  </si>
  <si>
    <t>FURGESON (VENN W.) ELEMENTARY</t>
  </si>
  <si>
    <t>FURMAN (DUANE E.) HIGH (INDEPENDENT STUDY PROGRAM)</t>
  </si>
  <si>
    <t>FUTURE BOUND INDEPENDENT STUDY SECONDARY</t>
  </si>
  <si>
    <t>FUTURES ELEMENTARY</t>
  </si>
  <si>
    <t>FUTURES HIGH</t>
  </si>
  <si>
    <t>FUTURO COLLEGE PREPARATORY ELEMENTARY</t>
  </si>
  <si>
    <t>G. M. WALTERS JUNIOR HIGH</t>
  </si>
  <si>
    <t>G. W. HELLYER ELEMENTARY</t>
  </si>
  <si>
    <t>GABILAN ELEMENTARY</t>
  </si>
  <si>
    <t>GABILAN HILLS</t>
  </si>
  <si>
    <t>GABRIELINO HIGH</t>
  </si>
  <si>
    <t>GABRIELLA CHARTER</t>
  </si>
  <si>
    <t>GAGE ELEMENTARY</t>
  </si>
  <si>
    <t>GAHR (RICHARD) HIGH</t>
  </si>
  <si>
    <t>GALE RANCH MIDDLE</t>
  </si>
  <si>
    <t>GALILEO ACADEMY 101</t>
  </si>
  <si>
    <t>GALILEO HIGH</t>
  </si>
  <si>
    <t>GALLATIN ELEMENTARY</t>
  </si>
  <si>
    <t>GALT HIGH</t>
  </si>
  <si>
    <t>GANESHA HIGH</t>
  </si>
  <si>
    <t>GANT ELEMENTARY</t>
  </si>
  <si>
    <t>GARDEN ELEMENTARY</t>
  </si>
  <si>
    <t>GARDEN GATE ELEMENTARY</t>
  </si>
  <si>
    <t>GARDEN GROVE ELEMENTARY</t>
  </si>
  <si>
    <t>GARDEN GROVE HIGH</t>
  </si>
  <si>
    <t>GARDEN PARK ELEMENTARY</t>
  </si>
  <si>
    <t>GARDEN ROAD ELEMENTARY</t>
  </si>
  <si>
    <t>GARDEN VALLEY ELEMENTARY</t>
  </si>
  <si>
    <t>GARDEN VILLAGE ELEMENTARY</t>
  </si>
  <si>
    <t>GARDENA ELEMENTARY</t>
  </si>
  <si>
    <t>GARDENA SENIOR HIGH</t>
  </si>
  <si>
    <t>GARDENHILL ELEMENTARY</t>
  </si>
  <si>
    <t>GARDNER BULLIS ELEMENTARY</t>
  </si>
  <si>
    <t>GARDNER ELEMENTARY</t>
  </si>
  <si>
    <t>GARDNER STREET ELEMENTARY</t>
  </si>
  <si>
    <t>GAREY HIGH</t>
  </si>
  <si>
    <t>GARFIELD ELEMENTARY</t>
  </si>
  <si>
    <t>GARFIELD HIGH</t>
  </si>
  <si>
    <t>GARIN ELEMENTARY</t>
  </si>
  <si>
    <t>GARNET J. ROBERTSON INTERMEDIATE</t>
  </si>
  <si>
    <t>GARR ACADEMY OF MATH AND ENTREPRENEURIAL STUDIES</t>
  </si>
  <si>
    <t>GARRETSON ELEMENTARY</t>
  </si>
  <si>
    <t>GARVANZA ELEMENTARY</t>
  </si>
  <si>
    <t>GARVEY (RICHARD) INTERMEDIATE</t>
  </si>
  <si>
    <t>GARZA (CARMEN LOMAS) PRIMARY CENTER</t>
  </si>
  <si>
    <t>GASPAR DE PORTOLA MIDDLE</t>
  </si>
  <si>
    <t>GATES STREET ELEMENTARY</t>
  </si>
  <si>
    <t>GATEWAY</t>
  </si>
  <si>
    <t>GATEWAY CENTER</t>
  </si>
  <si>
    <t>GATEWAY COMMUNITY</t>
  </si>
  <si>
    <t>GATEWAY COMMUNITY DAY</t>
  </si>
  <si>
    <t>GATEWAY EDUCATIONAL OPTIONS</t>
  </si>
  <si>
    <t>GATEWAY ELEMENTARY</t>
  </si>
  <si>
    <t>GATEWAY HIGH</t>
  </si>
  <si>
    <t>GATEWAY HIGH (CONTINUATION)</t>
  </si>
  <si>
    <t>GATEWAY INTERNATIONAL</t>
  </si>
  <si>
    <t>GATEWAY MIDDLE</t>
  </si>
  <si>
    <t>GATEWAY TO COLLEGE ACADEMY</t>
  </si>
  <si>
    <t>GATEWAY TO COLLEGE AT LANEY COLLEGE</t>
  </si>
  <si>
    <t>GATEWAY TO COLLEGE EARLY COLLEGE HIGH</t>
  </si>
  <si>
    <t>GATEWAY WEST COMMUNITY DAY</t>
  </si>
  <si>
    <t>GAUER (MELBOURNE A.) ELEMENTARY</t>
  </si>
  <si>
    <t>GAULDIN ELEMENTARY</t>
  </si>
  <si>
    <t>GAULT ELEMENTARY</t>
  </si>
  <si>
    <t>GAULT STREET ELEMENTARY</t>
  </si>
  <si>
    <t>GAVILAN VIEW MIDDLE</t>
  </si>
  <si>
    <t>GAZELLE ELEMENTARY</t>
  </si>
  <si>
    <t>GEHRINGER ELEMENTARY</t>
  </si>
  <si>
    <t>GENE DREVNO COMMUNITY DAY</t>
  </si>
  <si>
    <t>GENERAL DAVIE JR. PRIMARY CENTER</t>
  </si>
  <si>
    <t>GENERAL GRANT MIDDLE</t>
  </si>
  <si>
    <t>GENERAL SHAFTER ELEMENTARY</t>
  </si>
  <si>
    <t>GENEVIEVE DIDION</t>
  </si>
  <si>
    <t>GENEVIEVE M. CROSBY ELEMENTARY</t>
  </si>
  <si>
    <t>GEORGE A. BULJAN MIDDLE</t>
  </si>
  <si>
    <t>GEORGE AND EVELYN STEIN CONTINUATION</t>
  </si>
  <si>
    <t>GEORGE B. MILLER ELEMENTARY</t>
  </si>
  <si>
    <t>GEORGE BROWN JR. ELEMENTARY</t>
  </si>
  <si>
    <t>GEORGE C. MARSHALL ELEMENTARY</t>
  </si>
  <si>
    <t>GEORGE C. PAYNE ELEMENTARY</t>
  </si>
  <si>
    <t>GEORGE CIRBY ELEMENTARY</t>
  </si>
  <si>
    <t>GEORGE DE LA TORRE JR. ELEMENTARY</t>
  </si>
  <si>
    <t>GEORGE EISENHUT ELEMENTARY</t>
  </si>
  <si>
    <t>GEORGE ELLERY HALE CHARTER ACADEMY</t>
  </si>
  <si>
    <t>GEORGE H. FLAMSON MIDDLE</t>
  </si>
  <si>
    <t>GEORGE HALL ELEMENTARY</t>
  </si>
  <si>
    <t>GEORGE K. PORTER MIDDLE</t>
  </si>
  <si>
    <t>GEORGE KELLY ELEMENTARY</t>
  </si>
  <si>
    <t>GEORGE KEY</t>
  </si>
  <si>
    <t>GEORGE L. SNOWDEN ELEMENTARY</t>
  </si>
  <si>
    <t>GEORGE LINCOLN MOSHER</t>
  </si>
  <si>
    <t>GEORGE MAYNE ELEMENTARY</t>
  </si>
  <si>
    <t>GEORGE MCPARLAND ELEMENTARY</t>
  </si>
  <si>
    <t>GEORGE NICOLOFF ELEMENTARY</t>
  </si>
  <si>
    <t>GEORGE S. PATTON CONTINUATION</t>
  </si>
  <si>
    <t>GEORGE SARGEANT ELEMENTARY</t>
  </si>
  <si>
    <t>GEORGE T. EGLING MIDDLE</t>
  </si>
  <si>
    <t>GEORGE V. LEYVA INTERMEDIATE</t>
  </si>
  <si>
    <t>GEORGE VISUAL AND PERFORMING ARTS MAGNET AND MIDDL</t>
  </si>
  <si>
    <t>GEORGE W. BUSH ELEMENTARY</t>
  </si>
  <si>
    <t>GEORGE WASHINGTON CARVER ELEMENTARY</t>
  </si>
  <si>
    <t>GEORGE WASHINGTON CARVER MIDDLE</t>
  </si>
  <si>
    <t>GEORGE WASHINGTON CARVER SCHOOL OF ARTS AND SCIENC</t>
  </si>
  <si>
    <t>GEORGE WASHINGTON CHARTER</t>
  </si>
  <si>
    <t>GEORGE WASHINGTON ELEMENTARY</t>
  </si>
  <si>
    <t>GEORGE WASHINGTON PREPARATORY HIGH</t>
  </si>
  <si>
    <t>GEORGE WHITE ELEMENTARY</t>
  </si>
  <si>
    <t>GEORGE Y. KOMURE ELEMENTARY</t>
  </si>
  <si>
    <t>GEORGETOWN ELEMENTARY</t>
  </si>
  <si>
    <t>GEORGIA BROWN ELEMENTARY</t>
  </si>
  <si>
    <t>GEORGIA MORRIS ELEMENTARY</t>
  </si>
  <si>
    <t>GEORGINA P. BLACH JUNIOR HIGH</t>
  </si>
  <si>
    <t>GERALD A. SMITH ELEMENTARY</t>
  </si>
  <si>
    <t>GERALD F. LITEL ELEMENTARY</t>
  </si>
  <si>
    <t>GERALD P. CARR INTERMEDIATE</t>
  </si>
  <si>
    <t>GERALD R. FORD ELEMENTARY</t>
  </si>
  <si>
    <t>GERBER COMMUNITY DAY</t>
  </si>
  <si>
    <t>GERBER ELEMENTARY</t>
  </si>
  <si>
    <t>GERBER JR./SR. HIGH</t>
  </si>
  <si>
    <t>GERMAIN ACADEMY FOR ACADEMIC ACHIEVEMENT</t>
  </si>
  <si>
    <t>GETTYSBURG ELEMENTARY</t>
  </si>
  <si>
    <t>GEYSERVILLE COMMUNITY DAY</t>
  </si>
  <si>
    <t>GEYSERVILLE EDUCATIONAL PARK HIGH</t>
  </si>
  <si>
    <t>GEYSERVILLE ELEMENTARY</t>
  </si>
  <si>
    <t>GEYSERVILLE MIDDLE</t>
  </si>
  <si>
    <t>GIANNINI (A.P.) MIDDLE</t>
  </si>
  <si>
    <t>GIANO INTERMEDIATE</t>
  </si>
  <si>
    <t>GIBSON ELEMENTARY</t>
  </si>
  <si>
    <t>GIDLEY ELEMENTARY</t>
  </si>
  <si>
    <t>GIFFORD C. COLE MIDDLE</t>
  </si>
  <si>
    <t>GILBERT ELEMENTARY</t>
  </si>
  <si>
    <t>GILBERT HIGH (CONTINUATION)</t>
  </si>
  <si>
    <t>GILROY HIGH</t>
  </si>
  <si>
    <t>GILROY PREP</t>
  </si>
  <si>
    <t>GISLER (ROBERT) ELEMENTARY</t>
  </si>
  <si>
    <t>GLACIER HIGH SCHOOL CHARTER</t>
  </si>
  <si>
    <t>GLACIER POINT MIDDLE</t>
  </si>
  <si>
    <t>GLADSTONE ELEMENTARY</t>
  </si>
  <si>
    <t>GLADSTONE HIGH</t>
  </si>
  <si>
    <t>GLADSTONE STREET ELEMENTARY</t>
  </si>
  <si>
    <t>GLADYS POET-CHRISTIAN ELEMENTARY</t>
  </si>
  <si>
    <t>GLASSBROOK ELEMENTARY</t>
  </si>
  <si>
    <t>GLASSELL PARK ELEMENTARY</t>
  </si>
  <si>
    <t>GLEDHILL STREET ELEMENTARY</t>
  </si>
  <si>
    <t>GLEN A. WILSON HIGH</t>
  </si>
  <si>
    <t>GLEN ALTA ELEMENTARY</t>
  </si>
  <si>
    <t>GLEN AVON ELEMENTARY</t>
  </si>
  <si>
    <t>GLEN CITY ELEMENTARY</t>
  </si>
  <si>
    <t>GLEN COVE ELEMENTARY</t>
  </si>
  <si>
    <t>GLEN EDWARDS MIDDLE</t>
  </si>
  <si>
    <t>GLEN H. DYSINGER SR. ELEMENTARY</t>
  </si>
  <si>
    <t>GLEN OAK ELEMENTARY</t>
  </si>
  <si>
    <t>GLEN PARK ELEMENTARY</t>
  </si>
  <si>
    <t>GLEN PAUL</t>
  </si>
  <si>
    <t>GLEN VIEW ELEMENTARY</t>
  </si>
  <si>
    <t>GLEN VIEW HIGH</t>
  </si>
  <si>
    <t>GLEN YERMO ELEMENTARY</t>
  </si>
  <si>
    <t>GLENBROOK MIDDLE</t>
  </si>
  <si>
    <t>GLENDALE HIGH</t>
  </si>
  <si>
    <t>GLENDORA HIGH</t>
  </si>
  <si>
    <t>GLENFELIZ BOULEVARD ELEMENTARY</t>
  </si>
  <si>
    <t>GLENKNOLL ELEMENTARY</t>
  </si>
  <si>
    <t>GLENMEADE ELEMENTARY</t>
  </si>
  <si>
    <t>GLENMOOR ELEMENTARY</t>
  </si>
  <si>
    <t>GLENN COUNTY JUVENILE COURT</t>
  </si>
  <si>
    <t>GLENN COUNTY OPPORTUNITY</t>
  </si>
  <si>
    <t>GLENN COUNTY ROP</t>
  </si>
  <si>
    <t>GLENN COUNTY SPECIAL EDUCATION</t>
  </si>
  <si>
    <t>GLENN HAMMOND CURTISS MIDDLE</t>
  </si>
  <si>
    <t>GLENOAKS ELEMENTARY</t>
  </si>
  <si>
    <t>GLENSHIRE ELEMENTARY</t>
  </si>
  <si>
    <t>GLENVIEW ELEMENTARY</t>
  </si>
  <si>
    <t>GLENWOOD ELEMENTARY</t>
  </si>
  <si>
    <t>GLIDER ELEMENTARY</t>
  </si>
  <si>
    <t>GLOBAL EDUCATION ACADEMY</t>
  </si>
  <si>
    <t>GLOBAL EDUCATION ACADEMY MIDDLE</t>
  </si>
  <si>
    <t>GLOBAL FAMILY</t>
  </si>
  <si>
    <t>GLOBAL YOUTH CHARTER</t>
  </si>
  <si>
    <t>GLORIETTA ELEMENTARY</t>
  </si>
  <si>
    <t>GODDARD MIDDLE</t>
  </si>
  <si>
    <t>GODFREY G. BERRY ELEMENTARY</t>
  </si>
  <si>
    <t>GOETHE INTERNATIONAL CHARTER</t>
  </si>
  <si>
    <t>GOLD OAK ARTS CHARTER</t>
  </si>
  <si>
    <t>GOLD OAK ELEMENTARY</t>
  </si>
  <si>
    <t>GOLD RIDGE ELEMENTARY</t>
  </si>
  <si>
    <t>GOLD RIVER DISCOVERY CENTER K-8</t>
  </si>
  <si>
    <t>GOLD RUN ELEMENTARY</t>
  </si>
  <si>
    <t>GOLD RUSH CHARTER</t>
  </si>
  <si>
    <t>GOLD STREET ELEMENTARY</t>
  </si>
  <si>
    <t>GOLD STRIKE HIGH</t>
  </si>
  <si>
    <t>GOLD TRAIL</t>
  </si>
  <si>
    <t>GOLDEN EAGLE CHARTER</t>
  </si>
  <si>
    <t>GOLDEN ELEMENTARY</t>
  </si>
  <si>
    <t>GOLDEN EMPIRE ELEMENTARY</t>
  </si>
  <si>
    <t>GOLDEN FEATHER COMMUNITY DAY</t>
  </si>
  <si>
    <t>GOLDEN GATE COMMUNITY</t>
  </si>
  <si>
    <t>GOLDEN HILL ELEMENTARY</t>
  </si>
  <si>
    <t>GOLDEN HILL K-8</t>
  </si>
  <si>
    <t>GOLDEN HILLS ELEMENTARY</t>
  </si>
  <si>
    <t>GOLDEN LAKES CHARTER</t>
  </si>
  <si>
    <t>GOLDEN LAKES CHARTER SCHOOL AT LA GRANGE</t>
  </si>
  <si>
    <t>GOLDEN OAK COMMUNITY</t>
  </si>
  <si>
    <t>GOLDEN OAK ELEMENTARY</t>
  </si>
  <si>
    <t>GOLDEN OAK MONTESSORI OF HAYWARD</t>
  </si>
  <si>
    <t>GOLDEN POPPY ELEMENTARY</t>
  </si>
  <si>
    <t>GOLDEN RIDGE</t>
  </si>
  <si>
    <t>GOLDEN SIERRA JUNIOR SENIOR HIGH</t>
  </si>
  <si>
    <t>GOLDEN SPRINGS ELEMENTARY</t>
  </si>
  <si>
    <t>GOLDEN STATE VALLEY ACADEMY</t>
  </si>
  <si>
    <t>GOLDEN STATE VIRTUAL ACADEMY</t>
  </si>
  <si>
    <t>GOLDEN VALLEY CHARTER</t>
  </si>
  <si>
    <t>GOLDEN VALLEY CHARTER SCHOOL OF SACRAMENTO</t>
  </si>
  <si>
    <t>GOLDEN VALLEY ELEMENTARY</t>
  </si>
  <si>
    <t>GOLDEN VALLEY HIGH</t>
  </si>
  <si>
    <t>GOLDEN VALLEY MIDDLE</t>
  </si>
  <si>
    <t>GOLDEN VALLEY VIRTUAL CHARTER</t>
  </si>
  <si>
    <t>GOLDEN VIEW ELEMENTARY</t>
  </si>
  <si>
    <t>GOLDEN WEST ELEMENTARY</t>
  </si>
  <si>
    <t>GOLDEN WEST HIGH</t>
  </si>
  <si>
    <t>GOLDEN WEST MIDDLE</t>
  </si>
  <si>
    <t>GOLDENROD ELEMENTARY</t>
  </si>
  <si>
    <t>GOLETA VALLEY JUNIOR HIGH</t>
  </si>
  <si>
    <t>GOMPERS (SAMUEL) CONTINUATION</t>
  </si>
  <si>
    <t>GOMPERS K-8</t>
  </si>
  <si>
    <t>GOMPERS PREPARATORY ACADEMY</t>
  </si>
  <si>
    <t>GONSALVES (JOE A.) ELEMENTARY</t>
  </si>
  <si>
    <t>GONZALES HIGH</t>
  </si>
  <si>
    <t>GONZALES DAVID CAMP</t>
  </si>
  <si>
    <t>GONZALO FELICITAS MENDEZ FUNDAMENTAL INTERMEDIATE</t>
  </si>
  <si>
    <t>GOOD HOPE ELEMENTARY</t>
  </si>
  <si>
    <t>GOODWILL HIGH</t>
  </si>
  <si>
    <t>GOODWILL SUCCESS PROGRAM</t>
  </si>
  <si>
    <t>GORDON H. BEATTY ELEMENTARY</t>
  </si>
  <si>
    <t>GORDON KIEFER INDEPENDENT STUDY</t>
  </si>
  <si>
    <t>GORMAN ELEMENTARY</t>
  </si>
  <si>
    <t>GORMAN LEARNING CENTER</t>
  </si>
  <si>
    <t>GOSHEN ELEMENTARY</t>
  </si>
  <si>
    <t>GOULD EDUCATIONAL CENTER</t>
  </si>
  <si>
    <t>GRACE HIGH</t>
  </si>
  <si>
    <t>GRACE HUDSON ELEMENTARY</t>
  </si>
  <si>
    <t>GRACE M. DAVIS HIGH</t>
  </si>
  <si>
    <t>GRACE MILLER ELEMENTARY</t>
  </si>
  <si>
    <t>GRACE PATTERSON ELEMENTARY</t>
  </si>
  <si>
    <t>GRACE S. THILLE ELEMENTARY</t>
  </si>
  <si>
    <t>GRACE SMITH ELEMENTARY</t>
  </si>
  <si>
    <t>GRACE YOKLEY MIDDLE</t>
  </si>
  <si>
    <t>GRACIANO GOMEZ ELEMENTARY</t>
  </si>
  <si>
    <t>GRAHAM ELEMENTARY</t>
  </si>
  <si>
    <t>GRANADA COMMUNITY CHARTER</t>
  </si>
  <si>
    <t>GRANADA ELEMENTARY</t>
  </si>
  <si>
    <t>GRANADA HIGH</t>
  </si>
  <si>
    <t>GRANADA HILLS CHARTER HIGH</t>
  </si>
  <si>
    <t>GRANADA MIDDLE</t>
  </si>
  <si>
    <t>GRAND ISLAND ELEMENTARY</t>
  </si>
  <si>
    <t>GRAND OAKS ELEMENTARY</t>
  </si>
  <si>
    <t>GRAND TERRACE ELEMENTARY</t>
  </si>
  <si>
    <t>GRAND TERRACE HIGH SCH AT THE RAY ABRIL JR. EDAL C</t>
  </si>
  <si>
    <t>GRAND VIEW BOULEVARD ELEMENTARY</t>
  </si>
  <si>
    <t>GRAND VIEW ELEMENTARY</t>
  </si>
  <si>
    <t>GRANDVIEW ELEMENTARY</t>
  </si>
  <si>
    <t>GRANDVIEW COLLEGE PREPARATORY ACADEMY</t>
  </si>
  <si>
    <t>GRANGE MIDDLE</t>
  </si>
  <si>
    <t>GRANGER JUNIOR HIGH</t>
  </si>
  <si>
    <t>GRANITE BAY HIGH</t>
  </si>
  <si>
    <t>GRANITE HILL ELEMENTARY</t>
  </si>
  <si>
    <t>GRANITE HILLS HIGH</t>
  </si>
  <si>
    <t>GRANITE OAKS MIDDLE</t>
  </si>
  <si>
    <t>GRANITE POINTE ELEMENTARY</t>
  </si>
  <si>
    <t>GRANITE RIDGE INTERMEDIATE</t>
  </si>
  <si>
    <t>GRANT ELEMENTARY</t>
  </si>
  <si>
    <t>GRANT K-8</t>
  </si>
  <si>
    <t>GRANT UNION HIGH</t>
  </si>
  <si>
    <t>GRAPE STREET ELEMENTARY</t>
  </si>
  <si>
    <t>GRAPELAND ELEMENTARY</t>
  </si>
  <si>
    <t>GRAPEVINE ELEMENTARY</t>
  </si>
  <si>
    <t>GRASS VALLEY CHARTER</t>
  </si>
  <si>
    <t>GRASS VALLEY ELEMENTARY</t>
  </si>
  <si>
    <t>GRASS VALLEY PRESCHOOL</t>
  </si>
  <si>
    <t>GRATTAN ELEMENTARY</t>
  </si>
  <si>
    <t>GRATTON CHARTER</t>
  </si>
  <si>
    <t>GRATTON ELEMENTARY</t>
  </si>
  <si>
    <t>GRATTS LEARNING ACADEMY FOR YOUNG SCHOLARS (GLAYS)</t>
  </si>
  <si>
    <t>GRAVENSTEIN COMMUNITY DAY</t>
  </si>
  <si>
    <t>GRAVENSTEIN ELEMENTARY</t>
  </si>
  <si>
    <t>GRAVENSTEIN FIRST</t>
  </si>
  <si>
    <t>GRAVES ELEMENTARY</t>
  </si>
  <si>
    <t>GRAY AVENUE MIDDLE</t>
  </si>
  <si>
    <t>GRAYSON CHARTER</t>
  </si>
  <si>
    <t>GRAYSTONE ELEMENTARY</t>
  </si>
  <si>
    <t>GRAZIDE ELEMENTARY</t>
  </si>
  <si>
    <t>GREAT BASIN HIGH (CONTINUATION)</t>
  </si>
  <si>
    <t>GREAT OAK HIGH</t>
  </si>
  <si>
    <t>GREAT PARTNERSHIP SPECIAL EDUCATION CONSORTIUM</t>
  </si>
  <si>
    <t>GREAT VALLEY ACADEMY</t>
  </si>
  <si>
    <t>GREAT VALLEY ACADEMY - MANTECA</t>
  </si>
  <si>
    <t>GREAT VALLEY ELEMENTARY</t>
  </si>
  <si>
    <t>GREAT WESTERN ELEMENTARY</t>
  </si>
  <si>
    <t>GREATER SAN DIEGO ACADEMY</t>
  </si>
  <si>
    <t>GREEN ACRES ELEMENTARY</t>
  </si>
  <si>
    <t>GREEN ACRES MIDDLE</t>
  </si>
  <si>
    <t>GREEN DESIGN AT DIEGO RIVERA LEARNING COMPLEX</t>
  </si>
  <si>
    <t>GREEN ELEMENTARY</t>
  </si>
  <si>
    <t>GREEN HILLS ELEMENTARY</t>
  </si>
  <si>
    <t>GREEN OAKS ACADEMY</t>
  </si>
  <si>
    <t>GREEN OAKS FUNDAMENTAL ELEMENTARY</t>
  </si>
  <si>
    <t>GREEN POINT ELEMENTARY</t>
  </si>
  <si>
    <t>GREEN TREE EAST ELEMENTARY</t>
  </si>
  <si>
    <t>GREEN VALLEY CHARTER</t>
  </si>
  <si>
    <t>GREEN VALLEY ELEMENTARY</t>
  </si>
  <si>
    <t>GREEN VALLEY HIGH</t>
  </si>
  <si>
    <t>GREEN VALLEY INDEPENDENT STUDY</t>
  </si>
  <si>
    <t>GREEN VALLEY MIDDLE</t>
  </si>
  <si>
    <t>GREEN VALLEY SCHOOL OF ACADEMICS</t>
  </si>
  <si>
    <t>GREENBROOK ELEMENTARY</t>
  </si>
  <si>
    <t>GREENDELL</t>
  </si>
  <si>
    <t>GREENFIELD COMMUNITY</t>
  </si>
  <si>
    <t>GREENFIELD COMMUNITY DAY</t>
  </si>
  <si>
    <t>GREENFIELD HIGH</t>
  </si>
  <si>
    <t>GREENFIELD MIDDLE</t>
  </si>
  <si>
    <t>GREENHILLS ELEMENTARY</t>
  </si>
  <si>
    <t>GREENLEAF ELEMENTARY</t>
  </si>
  <si>
    <t>GREENTREE ELEMENTARY</t>
  </si>
  <si>
    <t>GREENVILLE FUNDAMENTAL ELEMENTARY</t>
  </si>
  <si>
    <t>GREENVILLE JUNIOR/SENIOR HIGH</t>
  </si>
  <si>
    <t>GREENWOOD ELEMENTARY</t>
  </si>
  <si>
    <t>GREER ELEMENTARY</t>
  </si>
  <si>
    <t>GREGG ANDERSON ACADEMY</t>
  </si>
  <si>
    <t>GREGORY GARDENS ELEMENTARY</t>
  </si>
  <si>
    <t>GRENADA COMMUNITY DAY</t>
  </si>
  <si>
    <t>GRENADA ELEMENTARY</t>
  </si>
  <si>
    <t>GRETCHEN HIGGINS ELEMENTARY</t>
  </si>
  <si>
    <t>GRIDLEY HIGH</t>
  </si>
  <si>
    <t>GRIDLEY STREET ELEMENTARY</t>
  </si>
  <si>
    <t>GRIDLEY UNIFIED COMMUNITY DAY (1-6)</t>
  </si>
  <si>
    <t>GRIDLEY UNIFIED COMMUNITY DAY (7-12)</t>
  </si>
  <si>
    <t>GRIFFIN AVENUE ELEMENTARY</t>
  </si>
  <si>
    <t>GRIFFITHS MIDDLE</t>
  </si>
  <si>
    <t>GRIMMWAY ACADEMY</t>
  </si>
  <si>
    <t>GRIZZLY CHALLENGE CHARTER</t>
  </si>
  <si>
    <t>GRIZZLY HILL</t>
  </si>
  <si>
    <t>GROSSMONT HIGH</t>
  </si>
  <si>
    <t>GROSSMONT MIDDLE COLLEGE HIGH</t>
  </si>
  <si>
    <t>GROSSMONT UNION HIGH SPECIAL EDUCATION PROGRAM</t>
  </si>
  <si>
    <t>GROVE</t>
  </si>
  <si>
    <t>GROVECENTER ELEMENTARY</t>
  </si>
  <si>
    <t>GROVER BEACH ELEMENTARY</t>
  </si>
  <si>
    <t>GROVER CLEVELAND CHARTER HIGH</t>
  </si>
  <si>
    <t>GROVER HEIGHTS ELEMENTARY</t>
  </si>
  <si>
    <t>GRUNSKY ELEMENTARY</t>
  </si>
  <si>
    <t>GUADALUPE ELEMENTARY</t>
  </si>
  <si>
    <t>GUAJOME LEARNING CENTER</t>
  </si>
  <si>
    <t>GUAJOME PARK ACADEMY CHARTER</t>
  </si>
  <si>
    <t>GUERNEVILLE COMMUNITY DAY</t>
  </si>
  <si>
    <t>GUERNEVILLE ELEMENTARY</t>
  </si>
  <si>
    <t>GUIDANCE CHARTER</t>
  </si>
  <si>
    <t>GUIN FOSS ELEMENTARY</t>
  </si>
  <si>
    <t>GUINN (JAMES M.) ELEMENTARY</t>
  </si>
  <si>
    <t>GULF AVENUE ELEMENTARY</t>
  </si>
  <si>
    <t>GUNDERSON HIGH</t>
  </si>
  <si>
    <t>GUNDERSON PLUS (CONTINUATION)</t>
  </si>
  <si>
    <t>GUS FRANKLIN</t>
  </si>
  <si>
    <t>GUSSIE M. BAKER ELEMENTARY</t>
  </si>
  <si>
    <t>GUSTINE ELEMENTARY</t>
  </si>
  <si>
    <t>GUSTINE HIGH</t>
  </si>
  <si>
    <t>GUSTINE MIDDLE</t>
  </si>
  <si>
    <t>GUY JR. EMANUELE ELEMENTARY</t>
  </si>
  <si>
    <t>GVSD ELEMENTARY COMMUNITY DAY</t>
  </si>
  <si>
    <t>H. A. HYDE ELEMENTARY</t>
  </si>
  <si>
    <t>H. A. SNOW ELEMENTARY</t>
  </si>
  <si>
    <t>H. ALLEN HIGHT ELEMENTARY</t>
  </si>
  <si>
    <t>H. CLARKE POWERS ELEMENTARY</t>
  </si>
  <si>
    <t>H. GLENN RICHARDSON</t>
  </si>
  <si>
    <t>H. W. HARKNESS ELEMENTARY</t>
  </si>
  <si>
    <t>HACIENDA ELEMENTARY</t>
  </si>
  <si>
    <t>HACIENDA SCIENCE/ENVIRONMENTAL MAGNET</t>
  </si>
  <si>
    <t>HADDON AVENUE ELEMENTARY</t>
  </si>
  <si>
    <t>HAGE ELEMENTARY</t>
  </si>
  <si>
    <t>HAGGINWOOD ELEMENTARY</t>
  </si>
  <si>
    <t>HALECREST ELEMENTARY</t>
  </si>
  <si>
    <t>HALF MOON BAY HIGH</t>
  </si>
  <si>
    <t>HALL DISTRICT ELEMENTARY</t>
  </si>
  <si>
    <t>HALL MIDDLE</t>
  </si>
  <si>
    <t>HALLDALE ELEMENTARY</t>
  </si>
  <si>
    <t>HALLMARK CHARTER</t>
  </si>
  <si>
    <t>HAMILTON COMMUNITY DAY</t>
  </si>
  <si>
    <t>HAMILTON ELEMENTARY</t>
  </si>
  <si>
    <t>HAMILTON HIGH</t>
  </si>
  <si>
    <t>HAMILTON MEADOW PARK</t>
  </si>
  <si>
    <t>HAMILTON MIDDLE</t>
  </si>
  <si>
    <t>HAMLIN CHARTER ACADEMY</t>
  </si>
  <si>
    <t>HAMMER MONTESSORI AT GALARZA ELEMENTARY</t>
  </si>
  <si>
    <t>HANCOCK ELEMENTARY</t>
  </si>
  <si>
    <t>HANCOCK PARK ELEMENTARY</t>
  </si>
  <si>
    <t>HANDY ELEMENTARY</t>
  </si>
  <si>
    <t>HANFORD COMMUNITY DAY</t>
  </si>
  <si>
    <t>HANFORD ELEMENTARY COMMUNITY DAY</t>
  </si>
  <si>
    <t>HANFORD HIGH</t>
  </si>
  <si>
    <t>HANFORD NIGHT (CONTINUATION)</t>
  </si>
  <si>
    <t>HANFORD WEST HIGH</t>
  </si>
  <si>
    <t>HANNA RANCH ELEMENTARY</t>
  </si>
  <si>
    <t>HANNALEI ELEMENTARY</t>
  </si>
  <si>
    <t>HANS CHRISTENSEN MIDDLE</t>
  </si>
  <si>
    <t>HANSEN ELEMENTARY</t>
  </si>
  <si>
    <t>HANSON ELEMENTARY</t>
  </si>
  <si>
    <t>HAPPY CAMP COMMUNITY DAY</t>
  </si>
  <si>
    <t>HAPPY CAMP ELEMENTARY</t>
  </si>
  <si>
    <t>HAPPY CAMP ELEMENTARY COMMUNITY DAY</t>
  </si>
  <si>
    <t>HAPPY CAMP HIGH</t>
  </si>
  <si>
    <t>HAPPY CAMP UNION ELEMENTARY SCH PRIMARY COMMUNITY</t>
  </si>
  <si>
    <t>HAPPY VALLEY COMMUNITY DAY</t>
  </si>
  <si>
    <t>HAPPY VALLEY ELEMENTARY</t>
  </si>
  <si>
    <t>HAPPY VALLEY PRIMARY</t>
  </si>
  <si>
    <t>HARADA ELEMENTARY</t>
  </si>
  <si>
    <t>HARBOR CITY ELEMENTARY</t>
  </si>
  <si>
    <t>HARBOR HIGH</t>
  </si>
  <si>
    <t>HARBOR TEACHER PREPARATION ACADEMY</t>
  </si>
  <si>
    <t>HARBOR VIEW ELEMENTARY</t>
  </si>
  <si>
    <t>HARBORSIDE ELEMENTARY</t>
  </si>
  <si>
    <t>HARBOUR VIEW ELEMENTARY</t>
  </si>
  <si>
    <t>HARBOUR WAY ELEMENTARY COMMUNITY DAY</t>
  </si>
  <si>
    <t>HARDEN MIDDLE</t>
  </si>
  <si>
    <t>HARDER ELEMENTARY</t>
  </si>
  <si>
    <t>HARDING ELEMENTARY</t>
  </si>
  <si>
    <t>HARDING STREET ELEMENTARY</t>
  </si>
  <si>
    <t>HARDING UNIVERSITY PARTNERSHIP</t>
  </si>
  <si>
    <t>HARDY BROWN COLLEGE PREP</t>
  </si>
  <si>
    <t>HARDY ELEMENTARY</t>
  </si>
  <si>
    <t>HARLOE ELEMENTARY</t>
  </si>
  <si>
    <t>HARMON JOHNSON ELEMENTARY</t>
  </si>
  <si>
    <t>HARMONY ELEMENTARY</t>
  </si>
  <si>
    <t>HARMONY MAGNET ACADEMY</t>
  </si>
  <si>
    <t>HAROLD AMBUEHL ELEMENTARY</t>
  </si>
  <si>
    <t>HAROLD MCALISTER HIGH (OPPORTUNITY)</t>
  </si>
  <si>
    <t>HAROLD WILLIAM KOLB</t>
  </si>
  <si>
    <t>HARRIET G. EDDY MIDDLE</t>
  </si>
  <si>
    <t>HARRIET TUBMAN HIGH</t>
  </si>
  <si>
    <t>HARRIET TUBMAN VILLAGE CHARTER</t>
  </si>
  <si>
    <t>HARRIETTE KIRSCHEN ELEMENTARY</t>
  </si>
  <si>
    <t>HARRINGTON ELEMENTARY</t>
  </si>
  <si>
    <t>HARRIS NEWMARK CONTINUATION</t>
  </si>
  <si>
    <t>HARRISON ELEMENTARY</t>
  </si>
  <si>
    <t>HARRISON STREET ELEMENTARY</t>
  </si>
  <si>
    <t>HARRY BRIDGES SPAN</t>
  </si>
  <si>
    <t>HARRY DEWEY FUNDAMENTAL ELEMENTARY</t>
  </si>
  <si>
    <t>HARRY S. TRUMAN ELEMENTARY</t>
  </si>
  <si>
    <t>HARRY S. TRUMAN MIDDLE</t>
  </si>
  <si>
    <t>HARRY SLONAKER ACADEMY</t>
  </si>
  <si>
    <t>HARRY WIRTZ ELEMENTARY</t>
  </si>
  <si>
    <t>HART ROP</t>
  </si>
  <si>
    <t>HART STREET ELEMENTARY</t>
  </si>
  <si>
    <t>HART-RANSOM ACADEMIC CHARTER</t>
  </si>
  <si>
    <t>HART-RANSOM ELEMENTARY</t>
  </si>
  <si>
    <t>HARTE (BRET) ELEMENTARY</t>
  </si>
  <si>
    <t>HARTE ELEMENTARY</t>
  </si>
  <si>
    <t>HARVARD ELEMENTARY</t>
  </si>
  <si>
    <t>HARVEST ELEMENTARY</t>
  </si>
  <si>
    <t>HARVEST MIDDLE</t>
  </si>
  <si>
    <t>HARVEST PARK MIDDLE</t>
  </si>
  <si>
    <t>HARVEST PARK PRESCHOOL CENTER</t>
  </si>
  <si>
    <t>HARVEST RIDGE COOPERATIVE CHARTER/PLACER ACADEMY</t>
  </si>
  <si>
    <t>HARVEST VALLEY ELEMENTARY</t>
  </si>
  <si>
    <t>HARVEY GREEN ELEMENTARY</t>
  </si>
  <si>
    <t>HASKELL (PLINY FISK) MIDDLE</t>
  </si>
  <si>
    <t>HASKELL ELEMENTARY</t>
  </si>
  <si>
    <t>HAVARD (LEONA M) EARLY EDUCATION SCHOOL</t>
  </si>
  <si>
    <t>HAVEN DRIVE MIDDLE</t>
  </si>
  <si>
    <t>HAVENS ELEMENTARY</t>
  </si>
  <si>
    <t>HAWAIIAN AVENUE ELEMENTARY</t>
  </si>
  <si>
    <t>HAWAIIAN ELEMENTARY</t>
  </si>
  <si>
    <t>HAWES ELEMENTARY</t>
  </si>
  <si>
    <t>HAWTHORNE ELEMENTARY</t>
  </si>
  <si>
    <t>HAWTHORNE HIGH</t>
  </si>
  <si>
    <t>HAWTHORNE MATH AND SCIENCE ACADEMY</t>
  </si>
  <si>
    <t>HAWTHORNE MIDDLE</t>
  </si>
  <si>
    <t>HAYES ELEMENTARY</t>
  </si>
  <si>
    <t>HAYFORK HIGH</t>
  </si>
  <si>
    <t>HAYFORK VALLEY ELEMENTARY</t>
  </si>
  <si>
    <t>HAYNES CHARTER FOR ENRICHED STUDIES</t>
  </si>
  <si>
    <t>HAYWARD HIGH</t>
  </si>
  <si>
    <t>HAZEL FISCHER ELEMENTARY</t>
  </si>
  <si>
    <t>HAZEL M. BAILEY PRIMARY</t>
  </si>
  <si>
    <t>HAZEL STRAUCH ELEMENTARY</t>
  </si>
  <si>
    <t>HAZELTINE AVENUE ELEMENTARY</t>
  </si>
  <si>
    <t>HAZELTON ELEMENTARY</t>
  </si>
  <si>
    <t>HBUHSD COMMUNITY DAY</t>
  </si>
  <si>
    <t>HEADWATERS COMMUNITY DAY</t>
  </si>
  <si>
    <t>HEALDSBURG CHARTER</t>
  </si>
  <si>
    <t>HEALDSBURG ELEMENTARY</t>
  </si>
  <si>
    <t>HEALDSBURG HIGH</t>
  </si>
  <si>
    <t>HEALDSBURG JUNIOR HIGH</t>
  </si>
  <si>
    <t>HEALTH CAREERS ACADEMY</t>
  </si>
  <si>
    <t>HEALTH SCIENCES HIGH</t>
  </si>
  <si>
    <t>HEALTH SCIENCES MIDDLE</t>
  </si>
  <si>
    <t>HEARST ELEMENTARY</t>
  </si>
  <si>
    <t>HEARTLAND HIGH (CONTINUATION)</t>
  </si>
  <si>
    <t>HEATHER ELEMENTARY</t>
  </si>
  <si>
    <t>HEATON ELEMENTARY</t>
  </si>
  <si>
    <t>HEBER ELEMENTARY</t>
  </si>
  <si>
    <t>HECTOR G. GODINEZ</t>
  </si>
  <si>
    <t>HEDENKAMP (ANNE AND WILLIAM) ELEMENTARY</t>
  </si>
  <si>
    <t>HEIGHTS ELEMENTARY</t>
  </si>
  <si>
    <t>HEINZ KAISER ELEMENTARY</t>
  </si>
  <si>
    <t>HELEN BERNSTEIN HIGH</t>
  </si>
  <si>
    <t>HELEN CARR CASTELLO ELEMENTARY</t>
  </si>
  <si>
    <t>HELEN ESTOCK ELEMENTARY</t>
  </si>
  <si>
    <t>HELEN HUNT JACKSON ALTERNATIVE HIGH</t>
  </si>
  <si>
    <t>HELEN HUNT JACKSON ELEMENTARY</t>
  </si>
  <si>
    <t>HELEN KELLER ELEMENTARY</t>
  </si>
  <si>
    <t>HELEN L. DOLLAHAN ELEMENTARY</t>
  </si>
  <si>
    <t>HELEN M. LEHMAN ELEMENTARY</t>
  </si>
  <si>
    <t>HELEN M. WILCOX ELEMENTARY</t>
  </si>
  <si>
    <t>HELEN STACEY MIDDLE</t>
  </si>
  <si>
    <t>HELENDALE ELEMENTARY</t>
  </si>
  <si>
    <t>HELIOTROPE AVENUE ELEMENTARY</t>
  </si>
  <si>
    <t>HELIX HIGH</t>
  </si>
  <si>
    <t>HELM ELEMENTARY</t>
  </si>
  <si>
    <t>HELMS MIDDLE</t>
  </si>
  <si>
    <t>HEMET ACADEMY FOR APPLIED ACADEMICS AND TECHNOLOGY</t>
  </si>
  <si>
    <t>HEMET HIGH</t>
  </si>
  <si>
    <t>HEMLOCK ELEMENTARY</t>
  </si>
  <si>
    <t>HEMMERLING ELEMENTARY</t>
  </si>
  <si>
    <t>HENDERSON COMMUNITY DAY</t>
  </si>
  <si>
    <t>HENDERSON ELEMENTARY</t>
  </si>
  <si>
    <t>HENDRICK RANCH ELEMENTARY</t>
  </si>
  <si>
    <t>HENNESSY ELEMENTARY</t>
  </si>
  <si>
    <t>HENRY (PATRICK) ELEMENTARY</t>
  </si>
  <si>
    <t>HENRY CLAY MIDDLE</t>
  </si>
  <si>
    <t>HENRY DALTON ELEMENTARY</t>
  </si>
  <si>
    <t>HENRY DAVID THOREAU CONTINUATION</t>
  </si>
  <si>
    <t>HENRY EISSLER ELEMENTARY</t>
  </si>
  <si>
    <t>HENRY ELEMENTARY</t>
  </si>
  <si>
    <t>HENRY F. BISHOP ELEMENTARY</t>
  </si>
  <si>
    <t>HENRY F. KAMMANN ELEMENTARY</t>
  </si>
  <si>
    <t>HENRY FORD ELEMENTARY</t>
  </si>
  <si>
    <t>HENRY HAIGHT ELEMENTARY</t>
  </si>
  <si>
    <t>HENRY HIGH</t>
  </si>
  <si>
    <t>HENRY J. KAISER HIGH</t>
  </si>
  <si>
    <t>HENRY K-8</t>
  </si>
  <si>
    <t>HENRY M. GUNN HIGH</t>
  </si>
  <si>
    <t>HENRY MILLER ELEMENTARY</t>
  </si>
  <si>
    <t>HENRY P. MOHR ELEMENTARY</t>
  </si>
  <si>
    <t>HENRY T. GAGE MIDDLE</t>
  </si>
  <si>
    <t>HERBERT C. GREEN MIDDLE</t>
  </si>
  <si>
    <t>HERBERT H. CRUICKSHANK MIDDLE</t>
  </si>
  <si>
    <t>HERBERT HOOVER ELEMENTARY</t>
  </si>
  <si>
    <t>HERBERT HOOVER HIGH</t>
  </si>
  <si>
    <t>HERBERT HOOVER MIDDLE</t>
  </si>
  <si>
    <t>HERBERT SLATER MIDDLE</t>
  </si>
  <si>
    <t>HERCULES HIGH</t>
  </si>
  <si>
    <t>HERCULES MIDDLE</t>
  </si>
  <si>
    <t>HERITAGE</t>
  </si>
  <si>
    <t>HERITAGE CCCOE SPECIAL EDUCATION PROGRAMS</t>
  </si>
  <si>
    <t>HERITAGE COMMUNITY DAY</t>
  </si>
  <si>
    <t>HERITAGE ELEMENTARY</t>
  </si>
  <si>
    <t>HERITAGE HIGH</t>
  </si>
  <si>
    <t>HERITAGE INTERMEDIATE</t>
  </si>
  <si>
    <t>HERITAGE K-8 CHARTER</t>
  </si>
  <si>
    <t>HERITAGE OAK ELEMENTARY</t>
  </si>
  <si>
    <t>HERITAGE PEAK CHARTER</t>
  </si>
  <si>
    <t>HERITAGE VALLEY INDEPENDENT STUDY</t>
  </si>
  <si>
    <t>HERK BOURIS ELEMENTARY</t>
  </si>
  <si>
    <t>HERLONG HIGH</t>
  </si>
  <si>
    <t>HERMAN (LEONARD) INTERMEDIATE</t>
  </si>
  <si>
    <t>HERMAN LEIMBACH ELEMENTARY</t>
  </si>
  <si>
    <t>HERMOSA DRIVE ELEMENTARY</t>
  </si>
  <si>
    <t>HERMOSA ELEMENTARY</t>
  </si>
  <si>
    <t>HERMOSA VALLEY ELEMENTARY</t>
  </si>
  <si>
    <t>HERMOSA VIEW ELEMENTARY</t>
  </si>
  <si>
    <t>HERNDON-BARSTOW ELEMENTARY</t>
  </si>
  <si>
    <t>HEROES ELEMENTARY</t>
  </si>
  <si>
    <t>HERON</t>
  </si>
  <si>
    <t>HERRICK AVENUE ELEMENTARY</t>
  </si>
  <si>
    <t>HESBY OAKS LEADERSHIP CHARTER</t>
  </si>
  <si>
    <t>HESPERIA COMMUNITY DAY</t>
  </si>
  <si>
    <t>HESPERIA HIGH</t>
  </si>
  <si>
    <t>HESPERIA JUNIOR HIGH</t>
  </si>
  <si>
    <t>HESPERIAN ELEMENTARY</t>
  </si>
  <si>
    <t>HEWES MIDDLE</t>
  </si>
  <si>
    <t>HICKMAN CHARTER</t>
  </si>
  <si>
    <t>HICKMAN ELEMENTARY</t>
  </si>
  <si>
    <t>HICKMAN MIDDLE</t>
  </si>
  <si>
    <t>HICKORY ELEMENTARY</t>
  </si>
  <si>
    <t>HICKS CANYON ELEMENTARY</t>
  </si>
  <si>
    <t>HIDDEN HILLS ELEMENTARY</t>
  </si>
  <si>
    <t>HIDDEN SPRINGS ELEMENTARY</t>
  </si>
  <si>
    <t>HIDDEN TRAILS ELEMENTARY</t>
  </si>
  <si>
    <t>HIDDEN VALLEY ELEMENTARY</t>
  </si>
  <si>
    <t>HIDDEN VALLEY ELEMENTARY SATELLITE</t>
  </si>
  <si>
    <t>HIDDEN VALLEY MIDDLE</t>
  </si>
  <si>
    <t>HIGH DESERT</t>
  </si>
  <si>
    <t>HIGH DESERT ACADEMY</t>
  </si>
  <si>
    <t>HIGH DESERT ACADEMY OF APPLIED ARTS AND SCIENCES</t>
  </si>
  <si>
    <t>HIGH DESERT COMMUNITY DAY</t>
  </si>
  <si>
    <t>HIGH DESERT JUVENILE DETENTION AND ASSESSMENT CENT</t>
  </si>
  <si>
    <t>HIGH DESERT PREMIER ACADEMY</t>
  </si>
  <si>
    <t>HIGH TECH ELEMENTARY CHULA VISTA</t>
  </si>
  <si>
    <t>HIGH TECH ELEMENTARY NORTH COUNTY</t>
  </si>
  <si>
    <t>HIGH TECH HIGH</t>
  </si>
  <si>
    <t>HIGH TECH HIGH CHULA VISTA</t>
  </si>
  <si>
    <t>HIGH TECH HIGH INTERNATIONAL</t>
  </si>
  <si>
    <t>HIGH TECH HIGH MEDIA ARTS</t>
  </si>
  <si>
    <t>HIGH TECH HIGH NORTH COUNTY</t>
  </si>
  <si>
    <t>HIGH TECH LA</t>
  </si>
  <si>
    <t>HIGH TECH MIDDLE</t>
  </si>
  <si>
    <t>HIGH TECH MIDDLE CHULA VISTA</t>
  </si>
  <si>
    <t>HIGH TECH MIDDLE MEDIA ARTS</t>
  </si>
  <si>
    <t>HIGH TECH MIDDLE NORTH COUNTY</t>
  </si>
  <si>
    <t>HIGHER LEARNING ACADEMY</t>
  </si>
  <si>
    <t>HIGHGROVE ELEMENTARY</t>
  </si>
  <si>
    <t>HIGHLAND ACADEMY</t>
  </si>
  <si>
    <t>HIGHLAND ELEMENTARY</t>
  </si>
  <si>
    <t>HIGHLAND GROVE ELEMENTARY</t>
  </si>
  <si>
    <t>HIGHLAND HIGH</t>
  </si>
  <si>
    <t>HIGHLAND OAKS ELEMENTARY</t>
  </si>
  <si>
    <t>HIGHLAND PACIFIC ELEMENTARY</t>
  </si>
  <si>
    <t>HIGHLAND PARK CONTINUATION</t>
  </si>
  <si>
    <t>HIGHLAND RANCH ELEMENTARY</t>
  </si>
  <si>
    <t>HIGHLANDS ACADEMY</t>
  </si>
  <si>
    <t>HIGHLANDS ELEMENTARY</t>
  </si>
  <si>
    <t>HIGHLANDS HIGH</t>
  </si>
  <si>
    <t>HILDA L. SOLIS LRNG ACAD SCH OF TECH BUSINESS AND</t>
  </si>
  <si>
    <t>HILL CLASSICAL MIDDLE</t>
  </si>
  <si>
    <t>HILL CREEK ELEMENTARY</t>
  </si>
  <si>
    <t>HILL MIDDLE</t>
  </si>
  <si>
    <t>HILLCREST AT YOUTH SERVICES CENTER</t>
  </si>
  <si>
    <t>HILLCREST DRIVE ELEMENTARY</t>
  </si>
  <si>
    <t>HILLCREST ELEMENTARY</t>
  </si>
  <si>
    <t>HILLCREST HIGH</t>
  </si>
  <si>
    <t>HILLCREST MIDDLE</t>
  </si>
  <si>
    <t>HILLERY T. BROADOUS ELEMENTARY</t>
  </si>
  <si>
    <t>HILLIARD COMSTOCK MIDDLE</t>
  </si>
  <si>
    <t>HILLSDALE ELEMENTARY</t>
  </si>
  <si>
    <t>HILLSDALE HIGH</t>
  </si>
  <si>
    <t>HILLSDALE MIDDLE</t>
  </si>
  <si>
    <t>HILLSIDE ACADEMY</t>
  </si>
  <si>
    <t>HILLSIDE ELEMENTARY</t>
  </si>
  <si>
    <t>HILLSIDE HIGH</t>
  </si>
  <si>
    <t>HILLSIDE JUNIOR/SENIOR HIGH</t>
  </si>
  <si>
    <t>HILLSIDE MIDDLE</t>
  </si>
  <si>
    <t>HILLTOP DRIVE ELEMENTARY</t>
  </si>
  <si>
    <t>HILLTOP MIDDLE</t>
  </si>
  <si>
    <t>HILLTOP SENIOR HIGH</t>
  </si>
  <si>
    <t>HILLVIEW CREST ELEMENTARY</t>
  </si>
  <si>
    <t>HILLVIEW HIGH (CONTINUATION)</t>
  </si>
  <si>
    <t>HILLVIEW JUNIOR HIGH</t>
  </si>
  <si>
    <t>HILLVIEW MIDDLE</t>
  </si>
  <si>
    <t>HILMAR HIGH</t>
  </si>
  <si>
    <t>HILMAR MIDDLE</t>
  </si>
  <si>
    <t>HILTON D. BELL INTERMEDIATE</t>
  </si>
  <si>
    <t>HINKLEY ELEMENTARY/MIDDLE</t>
  </si>
  <si>
    <t>HIRAM W. JOHNSON HIGH</t>
  </si>
  <si>
    <t>HOAGLIN-ZENIA ELEMENTARY</t>
  </si>
  <si>
    <t>HOBART BOULEVARD ELEMENTARY</t>
  </si>
  <si>
    <t>HOFFER ELEMENTARY</t>
  </si>
  <si>
    <t>HOGAN HIGH</t>
  </si>
  <si>
    <t>HOGAN MIDDLE</t>
  </si>
  <si>
    <t>HOLBROOK ELEMENTARY</t>
  </si>
  <si>
    <t>HOLDER ELEMENTARY</t>
  </si>
  <si>
    <t>HOLLAND ELEMENTARY</t>
  </si>
  <si>
    <t>HOLLENBECK MIDDLE</t>
  </si>
  <si>
    <t>HOLLENCREST MIDDLE</t>
  </si>
  <si>
    <t>HOLLINGWORTH ELEMENTARY</t>
  </si>
  <si>
    <t>HOLLISTER DUAL LANGUAGE ACADEMY</t>
  </si>
  <si>
    <t>HOLLISTER ELEMENTARY</t>
  </si>
  <si>
    <t>HOLLISTER PREP</t>
  </si>
  <si>
    <t>HOLLOW HILLS ELEMENTARY</t>
  </si>
  <si>
    <t>HOLLY AVENUE ELEMENTARY</t>
  </si>
  <si>
    <t>HOLLY DRIVE LEADERSHIP ACADEMY</t>
  </si>
  <si>
    <t>HOLLY OAK ELEMENTARY</t>
  </si>
  <si>
    <t>HOLLYDALE</t>
  </si>
  <si>
    <t>HOLLYVALE ELEMENTARY</t>
  </si>
  <si>
    <t>HOLLYWOOD BEACH ELEMENTARY</t>
  </si>
  <si>
    <t>HOLLYWOOD PARK ELEMENTARY</t>
  </si>
  <si>
    <t>HOLLYWOOD PRIMARY CENTER</t>
  </si>
  <si>
    <t>HOLLYWOOD SENIOR HIGH</t>
  </si>
  <si>
    <t>HOLMES AVENUE ELEMENTARY</t>
  </si>
  <si>
    <t>HOLMES ELEMENTARY</t>
  </si>
  <si>
    <t>HOLTVILLE HIGH</t>
  </si>
  <si>
    <t>HOLTVILLE JUNIOR HIGH</t>
  </si>
  <si>
    <t>HOMAN ELEMENTARY</t>
  </si>
  <si>
    <t>HOME &amp; HOSP/TRANSITION SUPPORT</t>
  </si>
  <si>
    <t>HOME AND HOSPITAL PROGRAM</t>
  </si>
  <si>
    <t>HOME GARDENS ACADEMY</t>
  </si>
  <si>
    <t>HOME STREET MIDDLE</t>
  </si>
  <si>
    <t>HOMESTEAD (ALTERNATIVE)</t>
  </si>
  <si>
    <t>HOMESTEAD HIGH</t>
  </si>
  <si>
    <t>HOMETECH CHARTER</t>
  </si>
  <si>
    <t>HONCUT</t>
  </si>
  <si>
    <t>HONEY HOLLOW ELEMENTARY</t>
  </si>
  <si>
    <t>HONEY RUN ACADEMY ELEMENTARY</t>
  </si>
  <si>
    <t>HONEY RUN ACADEMY SECONDARY</t>
  </si>
  <si>
    <t>HONEYDEW ELEMENTARY</t>
  </si>
  <si>
    <t>HOOKER OAK ELEMENTARY</t>
  </si>
  <si>
    <t>HOOPA COMMUNITY</t>
  </si>
  <si>
    <t>HOOPA VALLEY ELEMENTARY</t>
  </si>
  <si>
    <t>HOOPA VALLEY HIGH</t>
  </si>
  <si>
    <t>HOOPER AVENUE ELEMENTARY</t>
  </si>
  <si>
    <t>HOOPER AVENUE PRIMARY CENTER</t>
  </si>
  <si>
    <t>HOOVER (HERBERT) MIDDLE</t>
  </si>
  <si>
    <t>HOOVER ELEMENTARY</t>
  </si>
  <si>
    <t>HOOVER HIGH</t>
  </si>
  <si>
    <t>HOOVER MIDDLE</t>
  </si>
  <si>
    <t>HOOVER STREET ELEMENTARY</t>
  </si>
  <si>
    <t>HOPE</t>
  </si>
  <si>
    <t>HOPE ACADEMY CHARTER</t>
  </si>
  <si>
    <t>HOPE ELEMENTARY</t>
  </si>
  <si>
    <t>HOPE LEADERSHIP CHARTER</t>
  </si>
  <si>
    <t>HOPE REGION COMMUNITY</t>
  </si>
  <si>
    <t>HOPE STREET ELEMENTARY</t>
  </si>
  <si>
    <t>HOPE VIEW ELEMENTARY</t>
  </si>
  <si>
    <t>HOPETON ELEMENTARY</t>
  </si>
  <si>
    <t>HORACE CURETON ELEMENTARY</t>
  </si>
  <si>
    <t>HORACE ENSIGN INTERMEDIATE</t>
  </si>
  <si>
    <t>HORACE MANN</t>
  </si>
  <si>
    <t>HORACE MANN ELEMENTARY</t>
  </si>
  <si>
    <t>HORACE MANN JUNIOR HIGH</t>
  </si>
  <si>
    <t>HORICON ELEMENTARY</t>
  </si>
  <si>
    <t>HORIZON</t>
  </si>
  <si>
    <t>HORIZON CHARTER</t>
  </si>
  <si>
    <t>HORIZON ELEMENTARY</t>
  </si>
  <si>
    <t>HORIZON HIGH</t>
  </si>
  <si>
    <t>HORIZON HIGH (CONTINUATION)</t>
  </si>
  <si>
    <t>HORIZONS</t>
  </si>
  <si>
    <t>HORIZONS ALTERNATIVE</t>
  </si>
  <si>
    <t>HORNBROOK ELEMENTARY</t>
  </si>
  <si>
    <t>HORRALL ELEMENTARY</t>
  </si>
  <si>
    <t>HORT ELEMENTARY</t>
  </si>
  <si>
    <t>HORTON ELEMENTARY</t>
  </si>
  <si>
    <t>HOSLER MIDDLE</t>
  </si>
  <si>
    <t>HOT SPRINGS ELEMENTARY</t>
  </si>
  <si>
    <t>HOUGHTON-KEARNEY ELEMENTARY</t>
  </si>
  <si>
    <t>HOUSTON</t>
  </si>
  <si>
    <t>HOUSTON ELEMENTARY</t>
  </si>
  <si>
    <t>HOWARD CATTLE ELEMENTARY</t>
  </si>
  <si>
    <t>HOWARD ELEMENTARY</t>
  </si>
  <si>
    <t>HOWARD GARDNER COMMUNITY CHARTER</t>
  </si>
  <si>
    <t>HOWARD INGHRAM ELEMENTARY</t>
  </si>
  <si>
    <t>HOWARD J. MCKIBBEN ELEMENTARY</t>
  </si>
  <si>
    <t>HOWARD PENCE ELEMENTARY</t>
  </si>
  <si>
    <t>HOWARD TANNER</t>
  </si>
  <si>
    <t>HOWARD WOOD ELEMENTARY</t>
  </si>
  <si>
    <t>HOWE AVENUE ELEMENTARY</t>
  </si>
  <si>
    <t>HOWELL MOUNTAIN ELEMENTARY</t>
  </si>
  <si>
    <t>HUBBARD STREET ELEMENTARY</t>
  </si>
  <si>
    <t>HUBERT H. BANCROFT ELEMENTARY</t>
  </si>
  <si>
    <t>HUBERT HOWE BANCROFT MIDDLE</t>
  </si>
  <si>
    <t>HUDNALL (CLAUDE) ELEMENTARY</t>
  </si>
  <si>
    <t>HUDSON K-8</t>
  </si>
  <si>
    <t>HUENEME ELEMENTARY</t>
  </si>
  <si>
    <t>HUENEME HIGH</t>
  </si>
  <si>
    <t>HUGHES MIDDLE</t>
  </si>
  <si>
    <t>HUGHES-ELIZABETH LAKES</t>
  </si>
  <si>
    <t>HUGHSON COMMUNITY DAY</t>
  </si>
  <si>
    <t>HUGHSON ELEMENTARY</t>
  </si>
  <si>
    <t>HUGHSON HIGH</t>
  </si>
  <si>
    <t>HUGO REID ELEMENTARY</t>
  </si>
  <si>
    <t>HUMANITAS ACAD OF ART AND TECH AT ESTEBAN E. TORRE</t>
  </si>
  <si>
    <t>HUMANITAS ART SCHOOL AT ROOSEVELT HIGH</t>
  </si>
  <si>
    <t>HUMANITIES AND ARTS (HARTS) ACADEMY OF LOS ANGELES</t>
  </si>
  <si>
    <t>HUMBOLDT BAY HIGH</t>
  </si>
  <si>
    <t>HUMBOLDT COUNTY OFFICE OF EDUCATION COURT</t>
  </si>
  <si>
    <t>HUMBOLDT COUNTY OFFICE OF EDUCATION JUVENILE HALL</t>
  </si>
  <si>
    <t>HUMBOLDT COUNTY ROP</t>
  </si>
  <si>
    <t>HUME LAKE CHARTER</t>
  </si>
  <si>
    <t>HUMPHREYS AVENUE ELEMENTARY</t>
  </si>
  <si>
    <t>HUMPHREYS COLLEGE ACADEMY OF BUSINESS LAW AND EDU</t>
  </si>
  <si>
    <t>HUNT ELEMENTARY</t>
  </si>
  <si>
    <t>HUNTINGTON BEACH HIGH</t>
  </si>
  <si>
    <t>HUNTINGTON DRIVE ELEMENTARY</t>
  </si>
  <si>
    <t>HUNTINGTON MIDDLE</t>
  </si>
  <si>
    <t>HUNTINGTON PARK ELEMENTARY</t>
  </si>
  <si>
    <t>HUNTINGTON PARK SENIOR HIGH</t>
  </si>
  <si>
    <t>HUNTINGTON SEACLIFF ELEMENTARY</t>
  </si>
  <si>
    <t>HURD BARRINGTON ELEMENTARY</t>
  </si>
  <si>
    <t>HURLEY ELEMENTARY</t>
  </si>
  <si>
    <t>HURON ELEMENTARY</t>
  </si>
  <si>
    <t>HURON MIDDLE</t>
  </si>
  <si>
    <t>HYAMPOM ARTS MAGNET ELEMENTARY</t>
  </si>
  <si>
    <t>HYATT ELEMENTARY</t>
  </si>
  <si>
    <t>HYDESVILLE ELEMENTARY</t>
  </si>
  <si>
    <t>IBARRA ELEMENTARY</t>
  </si>
  <si>
    <t>ICEF INGLEWOOD ELEMENTARY CHARTER ACADEMY</t>
  </si>
  <si>
    <t>ICEF INGLEWOOD MIDDLE CHARTER ACADEMY</t>
  </si>
  <si>
    <t>ICEF VISTA ELEMENTARY ACADEMY</t>
  </si>
  <si>
    <t>ICEF VISTA MIDDLE ACADEMY</t>
  </si>
  <si>
    <t>IDA JEW ACADEMIES</t>
  </si>
  <si>
    <t>IDYLLWILD</t>
  </si>
  <si>
    <t>IFTIN CHARTER</t>
  </si>
  <si>
    <t>IFTIN UNIVERSITY PREP HIGH</t>
  </si>
  <si>
    <t>IGO-ONO ELEMENTARY</t>
  </si>
  <si>
    <t>IHIGH VIRTUAL ACADEMY</t>
  </si>
  <si>
    <t>ILEAD LANCASTER CHARTER</t>
  </si>
  <si>
    <t>ILEARN ACADEMY</t>
  </si>
  <si>
    <t>IMAGINE SCHOOLS AT IMPERIAL VALLEY</t>
  </si>
  <si>
    <t>IMAGINE SCHOOLS RIVERSIDE COUNTY</t>
  </si>
  <si>
    <t>IMOGENE GARNER HOOK JUNIOR HIGH</t>
  </si>
  <si>
    <t>IMPACT ACADEMY OF ARTS &amp; TECHNOLOGY</t>
  </si>
  <si>
    <t>IMPERIAL AVE. HOLBROOK HIGH</t>
  </si>
  <si>
    <t>IMPERIAL BEACH CHARTER</t>
  </si>
  <si>
    <t>IMPERIAL COUNTY JUVENILE HALL/COMMUNITY</t>
  </si>
  <si>
    <t>IMPERIAL COUNTY SPECIAL EDUCATION</t>
  </si>
  <si>
    <t>IMPERIAL ELEMENTARY</t>
  </si>
  <si>
    <t>IMPERIAL HIGH</t>
  </si>
  <si>
    <t>IMPERIAL MIDDLE</t>
  </si>
  <si>
    <t>IMPERIAL VALLEY HOME SCHOOL ACADEMY</t>
  </si>
  <si>
    <t>IMPERIAL VALLEY ROP</t>
  </si>
  <si>
    <t>INA ARBUCKLE ELEMENTARY</t>
  </si>
  <si>
    <t>INDEPENDENCE</t>
  </si>
  <si>
    <t>INDEPENDENCE CHARTER</t>
  </si>
  <si>
    <t>INDEPENDENCE CONTINUATION</t>
  </si>
  <si>
    <t>INDEPENDENCE CONTINUATION HIGH</t>
  </si>
  <si>
    <t>INDEPENDENCE ELEMENTARY</t>
  </si>
  <si>
    <t>INDEPENDENCE HIGH</t>
  </si>
  <si>
    <t>INDEPENDENCE HIGH (ALTERNATIVE)</t>
  </si>
  <si>
    <t>INDEPENDENCE HIGH (CONTINUATION)</t>
  </si>
  <si>
    <t>INDEPENDENT ELEMENTARY</t>
  </si>
  <si>
    <t>INDEPENDENT LEARNING CENTER (ALTERNATIVE)</t>
  </si>
  <si>
    <t>INDEPENDENT STUDY PROGRAM</t>
  </si>
  <si>
    <t>INDEPENDENT STUDY SOJOURNER TRUTH</t>
  </si>
  <si>
    <t>INDERKUM HIGH</t>
  </si>
  <si>
    <t>INDIAN CREEK ELEMENTARY</t>
  </si>
  <si>
    <t>INDIAN DIGGINGS ELEMENTARY</t>
  </si>
  <si>
    <t>INDIAN HILLS CONTINUATION HIGH</t>
  </si>
  <si>
    <t>INDIAN HILLS ELEMENTARY</t>
  </si>
  <si>
    <t>INDIAN SPRINGS ELEMENTARY</t>
  </si>
  <si>
    <t>INDIAN SPRINGS HIGH</t>
  </si>
  <si>
    <t>INDIAN VALLEY ELEMENTARY</t>
  </si>
  <si>
    <t>INDIANOLA ELEMENTARY</t>
  </si>
  <si>
    <t>INDIO HIGH</t>
  </si>
  <si>
    <t>INDIO MIDDLE</t>
  </si>
  <si>
    <t>INFANT AND PRESCHOOL PROGRAM</t>
  </si>
  <si>
    <t>INFANT- PRE</t>
  </si>
  <si>
    <t>INGENIUM CHARTER</t>
  </si>
  <si>
    <t>INGENIUM CHARTER MIDDLE</t>
  </si>
  <si>
    <t>INGLEWOOD ACADEMY</t>
  </si>
  <si>
    <t>INGLEWOOD CONTINUATION HIGH</t>
  </si>
  <si>
    <t>INGLEWOOD HIGH</t>
  </si>
  <si>
    <t>INGRID B. LACY MIDDLE</t>
  </si>
  <si>
    <t>INLAND LEADERS CHARTER</t>
  </si>
  <si>
    <t>INNOVATION MIDDLE</t>
  </si>
  <si>
    <t>INNOVATIONS ACADEMY</t>
  </si>
  <si>
    <t>INNOVATIVE HORIZONS CHARTER</t>
  </si>
  <si>
    <t>INSIGHT @ SAN DIEGO</t>
  </si>
  <si>
    <t>INSIGHT SCHOOL OF CALIFORNIA - NORTH BAY</t>
  </si>
  <si>
    <t>INSIGHTS HIGH (CONTINUATION)</t>
  </si>
  <si>
    <t>INSPIRE</t>
  </si>
  <si>
    <t>INSPIRE SCHOOL OF ARTS AND SCIENCES</t>
  </si>
  <si>
    <t>INSTITUTE OF BUSINESS MANAGEMENT AND LAW CHARTER</t>
  </si>
  <si>
    <t>INTEGRITY CHARTER</t>
  </si>
  <si>
    <t>INTELLECTUAL VIRTUES ACADEMY OF LONG BEACH</t>
  </si>
  <si>
    <t>INTENSIVE LEARNING CENTER</t>
  </si>
  <si>
    <t>INTERMOUNTAIN HIGH</t>
  </si>
  <si>
    <t>INTERNATIONAL COMMUNITY</t>
  </si>
  <si>
    <t>INTERNATIONAL ELEMENTARY</t>
  </si>
  <si>
    <t>INTERNATIONAL POLYTECHNIC HIGH</t>
  </si>
  <si>
    <t>INTERNATIONAL SCHOOL OF MONTEREY</t>
  </si>
  <si>
    <t>INTERNATIONAL STUDIES ACADEMY</t>
  </si>
  <si>
    <t>INTERNATIONAL STUDIES LRNG CENTER AT LEGACY HIGH S</t>
  </si>
  <si>
    <t>INVERNESS ELEMENTARY</t>
  </si>
  <si>
    <t>INYO COUNTY ROP</t>
  </si>
  <si>
    <t>INYO COUNTY SPECIAL EDUCATION PRESCHOOL</t>
  </si>
  <si>
    <t>INYOKERN ELEMENTARY</t>
  </si>
  <si>
    <t>IONE ELEMENTARY</t>
  </si>
  <si>
    <t>IONE JUNIOR HIGH</t>
  </si>
  <si>
    <t>IONE OLSON ELEMENTARY</t>
  </si>
  <si>
    <t>IOWA STREET</t>
  </si>
  <si>
    <t>IPAKANNI EARLY COLLEGE CHARTER</t>
  </si>
  <si>
    <t>IQ ACADEMY CALIFORNIA-LOS ANGELES</t>
  </si>
  <si>
    <t>IRA HARBISON</t>
  </si>
  <si>
    <t>IRENE B. WEST ELEMENTARY</t>
  </si>
  <si>
    <t>IRON HORSE MIDDLE</t>
  </si>
  <si>
    <t>IRON HOUSE ELEMENTARY</t>
  </si>
  <si>
    <t>IRVINE ADULT TRANSITION PROGRAMS</t>
  </si>
  <si>
    <t>IRVINE HIGH</t>
  </si>
  <si>
    <t>IRVING L. BRANCH ELEMENTARY</t>
  </si>
  <si>
    <t>IRVINGTON HIGH</t>
  </si>
  <si>
    <t>IRWIN ELEMENTARY</t>
  </si>
  <si>
    <t>IRWIN HIGH (CONTINUATION)</t>
  </si>
  <si>
    <t>IRWIN O. ADDICOTT ELEMENTARY</t>
  </si>
  <si>
    <t>ISAAC L. SOWERS MIDDLE</t>
  </si>
  <si>
    <t>ISAAC NEWTON GRAHAM MIDDLE</t>
  </si>
  <si>
    <t>ISABELLE JACKSON ELEMENTARY</t>
  </si>
  <si>
    <t>ISADOR COHEN ELEMENTARY</t>
  </si>
  <si>
    <t>ISBELL MIDDLE</t>
  </si>
  <si>
    <t>ISHI HILLS MIDDLE</t>
  </si>
  <si>
    <t>ISLA VISTA ELEMENTARY</t>
  </si>
  <si>
    <t>ISLAND COMMUNITY DAY</t>
  </si>
  <si>
    <t>ISLAND ELEMENTARY</t>
  </si>
  <si>
    <t>ISLAND HIGH (CONTINUATION)</t>
  </si>
  <si>
    <t>ISLETON ELEMENTARY</t>
  </si>
  <si>
    <t>IVANHOE ELEMENTARY</t>
  </si>
  <si>
    <t>IVEY RANCH ELEMENTARY</t>
  </si>
  <si>
    <t>IVY ACADEMIA</t>
  </si>
  <si>
    <t>IVY BOUND ACAD OF MATH SCI AND TECH CHARTER MIDD</t>
  </si>
  <si>
    <t>IVY HIGH (CONTINUATION)</t>
  </si>
  <si>
    <t>IVYTECH CHARTER</t>
  </si>
  <si>
    <t>IZAAK WALTON INTERMEDIATE</t>
  </si>
  <si>
    <t>J. C. CRUMPTON ELEMENTARY</t>
  </si>
  <si>
    <t>J. C. MONTGOMERY</t>
  </si>
  <si>
    <t>J. E. HESTER ELEMENTARY</t>
  </si>
  <si>
    <t>J. E. VAN WIG ELEMENTARY</t>
  </si>
  <si>
    <t>J. E. YOUNG ACADEMIC CENTER</t>
  </si>
  <si>
    <t>J. EVERETT BARR COURT</t>
  </si>
  <si>
    <t>J. H. HULL MIDDLE</t>
  </si>
  <si>
    <t>J. H. MCGAUGH ELEMENTARY</t>
  </si>
  <si>
    <t>J. HALEY DURHAM ELEMENTARY</t>
  </si>
  <si>
    <t>J. MARION ROYNON ELEMENTARY</t>
  </si>
  <si>
    <t>J. W. OAKLEY ELEMENTARY</t>
  </si>
  <si>
    <t>J. X. WILSON ELEMENTARY</t>
  </si>
  <si>
    <t>J.P. WESTERN CHARTER HIGH</t>
  </si>
  <si>
    <t>JACK B. CLARKE HIGH</t>
  </si>
  <si>
    <t>JACK FRANSCIONI ELEMENTARY</t>
  </si>
  <si>
    <t>JACK G. DESMOND MIDDLE</t>
  </si>
  <si>
    <t>JACK L. WEAVER ELEMENTARY</t>
  </si>
  <si>
    <t>JACK LONDON COMMUNITY DAY</t>
  </si>
  <si>
    <t>JACK LONDON CONTINUATION</t>
  </si>
  <si>
    <t>JACK LONDON ELEMENTARY</t>
  </si>
  <si>
    <t>JACK NORTHROP ELEMENTARY</t>
  </si>
  <si>
    <t>JACK NORTON ELEMENTARY</t>
  </si>
  <si>
    <t>JACKSON ACADEMY OF MUSIC AND MATH (JAMM)</t>
  </si>
  <si>
    <t>JACKSON AVENUE ELEMENTARY</t>
  </si>
  <si>
    <t>JACKSON ELEMENTARY</t>
  </si>
  <si>
    <t>JACKSON HEIGHTS ELEMENTARY</t>
  </si>
  <si>
    <t>JACKSON JUNIOR HIGH</t>
  </si>
  <si>
    <t>JACKSON STREET ELEMENTARY</t>
  </si>
  <si>
    <t>JACOB WIENS ELEMENTARY</t>
  </si>
  <si>
    <t>JACOBSEN MIDDLE</t>
  </si>
  <si>
    <t>JACOBY CREEK CHARTER</t>
  </si>
  <si>
    <t>JACUMBA ELEMENTARY</t>
  </si>
  <si>
    <t>JACUMBA MIDDLE</t>
  </si>
  <si>
    <t>JAIME ESCALANTE ELEMENTARY</t>
  </si>
  <si>
    <t>JAMACHA ELEMENTARY</t>
  </si>
  <si>
    <t>JAMES A. GARFIELD SENIOR HIGH</t>
  </si>
  <si>
    <t>JAMES A. GRAHAM ELEMENTARY</t>
  </si>
  <si>
    <t>JAMES A. MCKEE ELEMENTARY</t>
  </si>
  <si>
    <t>JAMES A. WHITAKER ELEMENTARY</t>
  </si>
  <si>
    <t>JAMES A. WIEDEN HIGH</t>
  </si>
  <si>
    <t>JAMES B. DAVIDSON MIDDLE</t>
  </si>
  <si>
    <t>JAMES C. ENOCHS HIGH</t>
  </si>
  <si>
    <t>JAMES DOUGHERTY ELEMENTARY</t>
  </si>
  <si>
    <t>JAMES DUKES ELEMENTARY</t>
  </si>
  <si>
    <t>JAMES E. POTTER INTERMEDIATE</t>
  </si>
  <si>
    <t>JAMES EARL CARTER ELEMENTARY</t>
  </si>
  <si>
    <t>JAMES FLOOD ELEMENTARY</t>
  </si>
  <si>
    <t>JAMES FOSTER ELEMENTARY</t>
  </si>
  <si>
    <t>JAMES FRANKLIN SMITH ELEMENTARY</t>
  </si>
  <si>
    <t>JAMES GARFIELD ELEMENTARY</t>
  </si>
  <si>
    <t>JAMES IRVINE INTERMEDIATE</t>
  </si>
  <si>
    <t>JAMES J. MCBRIDE SPECIAL EDUCATION CENTER</t>
  </si>
  <si>
    <t>JAMES JORDAN MIDDLE</t>
  </si>
  <si>
    <t>JAMES K. POLK ELEMENTARY</t>
  </si>
  <si>
    <t>JAMES L. BUNKER ELEMENTARY</t>
  </si>
  <si>
    <t>JAMES L. DAY MIDDLE</t>
  </si>
  <si>
    <t>JAMES LEITCH ELEMENTARY</t>
  </si>
  <si>
    <t>JAMES LICK HIGH</t>
  </si>
  <si>
    <t>JAMES LOGAN HIGH</t>
  </si>
  <si>
    <t>JAMES M. BURCHFIELD PRIMARY</t>
  </si>
  <si>
    <t>JAMES MADISON ELEMENTARY</t>
  </si>
  <si>
    <t>JAMES MADISON MIDDLE</t>
  </si>
  <si>
    <t>JAMES MARSHALL ELEMENTARY</t>
  </si>
  <si>
    <t>JAMES MCENTEE ACADEMY</t>
  </si>
  <si>
    <t>JAMES MONROE ELEMENTARY</t>
  </si>
  <si>
    <t>JAMES MONROE HIGH</t>
  </si>
  <si>
    <t>JAMES MONROE MIDDLE</t>
  </si>
  <si>
    <t>JAMES R. COWAN FUNDAMENTAL ELEMENTARY</t>
  </si>
  <si>
    <t>JAMES RUTTER MIDDLE</t>
  </si>
  <si>
    <t>JAMES S. FUGMAN ELEMENTARY</t>
  </si>
  <si>
    <t>JAMES URBANI INSTITUTE OF LANGUAGE DEVELOPMENT</t>
  </si>
  <si>
    <t>JAMES WORKMAN MIDDLE</t>
  </si>
  <si>
    <t>JAMESTOWN COMMUNITY DAY</t>
  </si>
  <si>
    <t>JAMESTOWN ELEMENTARY</t>
  </si>
  <si>
    <t>JAMISON (DONALD C.) HIGH (CONTINUATION)</t>
  </si>
  <si>
    <t>JAMUL INTERMEDIATE</t>
  </si>
  <si>
    <t>JAMUL PRIMARY</t>
  </si>
  <si>
    <t>JAN WORK COMMUNITY</t>
  </si>
  <si>
    <t>JANE ADDAMS CONTINUATION</t>
  </si>
  <si>
    <t>JANE ADDAMS MIDDLE</t>
  </si>
  <si>
    <t>JANE FREDERICK HIGH</t>
  </si>
  <si>
    <t>JANE LATHROP STANFORD MIDDLE</t>
  </si>
  <si>
    <t>JANESVILLE ELEMENTARY</t>
  </si>
  <si>
    <t>JANIE P. ABBOTT ELEMENTARY</t>
  </si>
  <si>
    <t>JARDIN DE LA INFANCIA</t>
  </si>
  <si>
    <t>JARVIS CAMP</t>
  </si>
  <si>
    <t>JASPER ELEMENTARY</t>
  </si>
  <si>
    <t>JEAN CALLISON ELEMENTARY</t>
  </si>
  <si>
    <t>JEANE THORMAN ELEMENTARY</t>
  </si>
  <si>
    <t>JEANNE R. MEADOWS ELEMENTARY</t>
  </si>
  <si>
    <t>JEFFERSON</t>
  </si>
  <si>
    <t>JEFFERSON (THOMAS) ELEMENTARY</t>
  </si>
  <si>
    <t>JEFFERSON ELEMENTARY</t>
  </si>
  <si>
    <t>JEFFERSON HIGH</t>
  </si>
  <si>
    <t>JEFFERSON HIGH (CONTINUATION)</t>
  </si>
  <si>
    <t>JEFFERSON LEADERSHIP ACADEMIES</t>
  </si>
  <si>
    <t>JEFFERSON MIDDLE</t>
  </si>
  <si>
    <t>JEFFREY TRAIL MIDDLE</t>
  </si>
  <si>
    <t>JELLICK ELEMENTARY</t>
  </si>
  <si>
    <t>JENNY LIND ELEMENTARY</t>
  </si>
  <si>
    <t>JENNY LIND HIGH</t>
  </si>
  <si>
    <t>JENSEN RANCH ELEMENTARY</t>
  </si>
  <si>
    <t>JERABEK ELEMENTARY</t>
  </si>
  <si>
    <t>JERRY D. HOLLAND MIDDLE</t>
  </si>
  <si>
    <t>JERRY VOORHIS ELEMENTARY</t>
  </si>
  <si>
    <t>JERSEY AVENUE ELEMENTARY</t>
  </si>
  <si>
    <t>JESSE G. SANCHEZ ELEMENTARY</t>
  </si>
  <si>
    <t>JESSE M. BETHEL HIGH</t>
  </si>
  <si>
    <t>JESSIE BAKER</t>
  </si>
  <si>
    <t>JESSIE BENTON FREMONT COMMUNITY DAY</t>
  </si>
  <si>
    <t>JESSIE HAYDEN ELEMENTARY</t>
  </si>
  <si>
    <t>JESSIE NELSON ACADEMY</t>
  </si>
  <si>
    <t>JEWEL CITY COMMUNITY DAY</t>
  </si>
  <si>
    <t>JILL KINMONT BOOTHE</t>
  </si>
  <si>
    <t>JIM MAPLES ACADEMY</t>
  </si>
  <si>
    <t>JIM THORPE FUNDAMENTAL</t>
  </si>
  <si>
    <t>JOAN MACQUEEN MIDDLE</t>
  </si>
  <si>
    <t>JOAQUIN MILLER CAREER AND TRANSITION CENTER</t>
  </si>
  <si>
    <t>JOAQUIN MILLER ELEMENTARY</t>
  </si>
  <si>
    <t>JOAQUIN MILLER MIDDLE</t>
  </si>
  <si>
    <t>JOAQUIN MORAGA INTERMEDIATE</t>
  </si>
  <si>
    <t>JOE BACA</t>
  </si>
  <si>
    <t>JOE HAMILTON ELEMENTARY</t>
  </si>
  <si>
    <t>JOE HENDERSON ELEMENTARY</t>
  </si>
  <si>
    <t>JOE MICHELL</t>
  </si>
  <si>
    <t>JOE NIGHTINGALE ELEMENTARY</t>
  </si>
  <si>
    <t>JOE SERNA JR. CHARTER</t>
  </si>
  <si>
    <t>JOE STEFANI</t>
  </si>
  <si>
    <t>JOE WALKER MIDDLE</t>
  </si>
  <si>
    <t>JOEL J. HIDAHL ELEMENTARY</t>
  </si>
  <si>
    <t>JOHANNA BOSS HIGH</t>
  </si>
  <si>
    <t>JOHANNA ECHOLS-HANSEN HIGH (CONTINUATION)</t>
  </si>
  <si>
    <t>JOHN A. OTIS ELEMENTARY</t>
  </si>
  <si>
    <t>JOHN A. ROWLAND HIGH</t>
  </si>
  <si>
    <t>JOHN A. SUTTER MIDDLE</t>
  </si>
  <si>
    <t>JOHN ADAMS ACADEMY</t>
  </si>
  <si>
    <t>JOHN ADAMS ELEMENTARY</t>
  </si>
  <si>
    <t>JOHN ADAMS MIDDLE</t>
  </si>
  <si>
    <t>JOHN AND JACQUELYN MILLER ELEMENTARY</t>
  </si>
  <si>
    <t>JOHN B. ALLARD</t>
  </si>
  <si>
    <t>JOHN B. MONLUX ELEMENTARY</t>
  </si>
  <si>
    <t>JOHN B. RIEBLI ELEMENTARY</t>
  </si>
  <si>
    <t>JOHN BALDWIN ELEMENTARY</t>
  </si>
  <si>
    <t>JOHN BARRETT MIDDLE</t>
  </si>
  <si>
    <t>JOHN BIDWELL ELEMENTARY</t>
  </si>
  <si>
    <t>JOHN BLACOW ELEMENTARY</t>
  </si>
  <si>
    <t>JOHN BURROUGHS MIDDLE</t>
  </si>
  <si>
    <t>JOHN C MARTINEZ ELEMENTARY</t>
  </si>
  <si>
    <t>JOHN C. FREMONT CHARTER</t>
  </si>
  <si>
    <t>JOHN C. FREMONT ELEMENTARY</t>
  </si>
  <si>
    <t>JOHN C. FREMONT SENIOR HIGH</t>
  </si>
  <si>
    <t>JOHN C. KIMBALL HIGH</t>
  </si>
  <si>
    <t>JOHN CABRILLO ELEMENTARY</t>
  </si>
  <si>
    <t>JOHN D. SLOAT ELEMENTARY</t>
  </si>
  <si>
    <t>JOHN DOLLAND ELEMENTARY</t>
  </si>
  <si>
    <t>JOHN E. STEINBECK ELEMENTARY</t>
  </si>
  <si>
    <t>JOHN EHRHARDT ELEMENTARY</t>
  </si>
  <si>
    <t>JOHN F. CRUIKSHANK JR.</t>
  </si>
  <si>
    <t>JOHN F. KENNEDY ELEMENTARY</t>
  </si>
  <si>
    <t>JOHN F. KENNEDY HIGH</t>
  </si>
  <si>
    <t>JOHN F. KENNEDY JUNIOR HIGH</t>
  </si>
  <si>
    <t>JOHN F. KENNEDY MIDDLE</t>
  </si>
  <si>
    <t>JOHN F. LAND</t>
  </si>
  <si>
    <t>JOHN FINNEY HIGH (CONTINUATION)</t>
  </si>
  <si>
    <t>JOHN FOSTER DULLES ELEMENTARY</t>
  </si>
  <si>
    <t>JOHN FREMONT ELEMENTARY</t>
  </si>
  <si>
    <t>JOHN G. MATTOS ELEMENTARY</t>
  </si>
  <si>
    <t>JOHN GILL ELEMENTARY</t>
  </si>
  <si>
    <t>JOHN GLENN MIDDLE SCHOOL OF INTERNATIONAL STUDIES</t>
  </si>
  <si>
    <t>JOHN GOMES ELEMENTARY</t>
  </si>
  <si>
    <t>JOHN GREEN ELEMENTARY</t>
  </si>
  <si>
    <t>JOHN H. EADER ELEMENTARY</t>
  </si>
  <si>
    <t>JOHN H. FRANCIS POLYTECHNIC</t>
  </si>
  <si>
    <t>JOHN H. GLENN HIGH</t>
  </si>
  <si>
    <t>JOHN H. LIECHTY MIDDLE</t>
  </si>
  <si>
    <t>JOHN H. NUFFER ELEMENTARY</t>
  </si>
  <si>
    <t>JOHN H. PITMAN HIGH</t>
  </si>
  <si>
    <t>JOHN H. STILL</t>
  </si>
  <si>
    <t>JOHN HOPE CONTINUATION</t>
  </si>
  <si>
    <t>JOHN J. CAIRNS CONTINUATION</t>
  </si>
  <si>
    <t>JOHN J. DOYLE ELEMENTARY</t>
  </si>
  <si>
    <t>JOHN J. MONTGOMERY ELEMENTARY</t>
  </si>
  <si>
    <t>JOHN J. PERSHING ELEMENTARY</t>
  </si>
  <si>
    <t>JOHN KELLEY ELEMENTARY</t>
  </si>
  <si>
    <t>JOHN L. GOLDEN ELEMENTARY</t>
  </si>
  <si>
    <t>JOHN L. PRUEITT ELEMENTARY</t>
  </si>
  <si>
    <t>JOHN M. HORNER JUNIOR HIGH</t>
  </si>
  <si>
    <t>JOHN MALCOM ELEMENTARY</t>
  </si>
  <si>
    <t>JOHN MARSHALL ELEMENTARY</t>
  </si>
  <si>
    <t>JOHN MARSHALL SENIOR HIGH</t>
  </si>
  <si>
    <t>JOHN MORSE THERAPEUTIC CENTER</t>
  </si>
  <si>
    <t>JOHN MUIR</t>
  </si>
  <si>
    <t>JOHN MUIR ELEMENTARY</t>
  </si>
  <si>
    <t>JOHN MUIR FUNDAMENTAL ELEMENTARY</t>
  </si>
  <si>
    <t>JOHN MUIR HIGH</t>
  </si>
  <si>
    <t>JOHN MUIR MIDDLE</t>
  </si>
  <si>
    <t>JOHN MURDY ELEMENTARY</t>
  </si>
  <si>
    <t>JOHN O. TYNES ELEMENTARY</t>
  </si>
  <si>
    <t>JOHN R. PETERSON ELEMENTARY</t>
  </si>
  <si>
    <t>JOHN R. WILLIAMS</t>
  </si>
  <si>
    <t>JOHN R. WOODEN HIGH</t>
  </si>
  <si>
    <t>JOHN REED PRIMARY</t>
  </si>
  <si>
    <t>JOHN REITH ELEMENTARY</t>
  </si>
  <si>
    <t>JOHN S. WASH ELEMENTARY</t>
  </si>
  <si>
    <t>JOHN SINNOTT ELEMENTARY</t>
  </si>
  <si>
    <t>JOHN STALLINGS ELEMENTARY</t>
  </si>
  <si>
    <t>JOHN STEINBECK ELEMENTARY</t>
  </si>
  <si>
    <t>JOHN SUTTER MIDDLE</t>
  </si>
  <si>
    <t>JOHN SWETT ELEMENTARY</t>
  </si>
  <si>
    <t>JOHN SWETT HIGH</t>
  </si>
  <si>
    <t>JOHN VIERRA HIGH</t>
  </si>
  <si>
    <t>JOHN W. MACK ELEMENTARY</t>
  </si>
  <si>
    <t>JOHN W. NORTH HIGH</t>
  </si>
  <si>
    <t>JOHNNIE COCHRAN JR. MIDDLE</t>
  </si>
  <si>
    <t>JOHNSON ELEMENTARY</t>
  </si>
  <si>
    <t>JOHNSON MIDDLE</t>
  </si>
  <si>
    <t>JOHNSON PARK ELEMENTARY</t>
  </si>
  <si>
    <t>JOHNSONDALE ELEMENTARY</t>
  </si>
  <si>
    <t>JOHNSTON COOPER ELEMENTARY</t>
  </si>
  <si>
    <t>JOHNSTONVILLE ELEMENTARY</t>
  </si>
  <si>
    <t>JOLI ANN LEICHTAG ELEMENTARY</t>
  </si>
  <si>
    <t>JONAS E. SALK ELEMENTARY</t>
  </si>
  <si>
    <t>JONAS SALK HIGH-TECH ACADEMY</t>
  </si>
  <si>
    <t>JONATA MIDDLE</t>
  </si>
  <si>
    <t>JONES ELEMENTARY</t>
  </si>
  <si>
    <t>JORDAN (JUNE) SCHOOL FOR EQUITY</t>
  </si>
  <si>
    <t>JORDAN ELEMENTARY</t>
  </si>
  <si>
    <t>JORDAN HIGH</t>
  </si>
  <si>
    <t>JORDAN SECONDARY LEARNING CENTER</t>
  </si>
  <si>
    <t>JOSE SEPULVEDA ELEMENTARY</t>
  </si>
  <si>
    <t>JOSEPH A. GASCON ELEMENTARY</t>
  </si>
  <si>
    <t>JOSEPH A. GREGORI HIGH</t>
  </si>
  <si>
    <t>JOSEPH ARNOLD ELEMENTARY</t>
  </si>
  <si>
    <t>JOSEPH AZEVADA ELEMENTARY</t>
  </si>
  <si>
    <t>JOSEPH BONNHEIM ELEMENTARY</t>
  </si>
  <si>
    <t>JOSEPH GEORGE MIDDLE</t>
  </si>
  <si>
    <t>JOSEPH H. WARDLAW ELEMENTARY</t>
  </si>
  <si>
    <t>JOSEPH KERR MIDDLE</t>
  </si>
  <si>
    <t>JOSEPH LE CONTE MIDDLE</t>
  </si>
  <si>
    <t>JOSEPH M. SIMAS</t>
  </si>
  <si>
    <t>JOSEPH POMEROY WIDNEY HIGH</t>
  </si>
  <si>
    <t>JOSEPH R. PERRY ELEMENTARY</t>
  </si>
  <si>
    <t>JOSEPH SIMS ELEMENTARY</t>
  </si>
  <si>
    <t>JOSEPH WELLER ELEMENTARY</t>
  </si>
  <si>
    <t>JOSEPH WIDMER JR. ELEMENTARY</t>
  </si>
  <si>
    <t>JOSEPHINE CHRYSLER ELEMENTARY</t>
  </si>
  <si>
    <t>JOSHUA CHADBOURNE ELEMENTARY</t>
  </si>
  <si>
    <t>JOSHUA CIRCLE ELEMENTARY</t>
  </si>
  <si>
    <t>JOSHUA COWELL ELEMENTARY</t>
  </si>
  <si>
    <t>JOSHUA ELEMENTARY</t>
  </si>
  <si>
    <t>JOSHUA HILLS ELEMENTARY</t>
  </si>
  <si>
    <t>JOSHUA TREE ELEMENTARY</t>
  </si>
  <si>
    <t>JOURNEY</t>
  </si>
  <si>
    <t>JOYNER ELEMENTARY</t>
  </si>
  <si>
    <t>JUAN BAUTISTA DE ANZA</t>
  </si>
  <si>
    <t>JUAN CABRILLO ELEMENTARY</t>
  </si>
  <si>
    <t>JUAN CABRILLO MIDDLE</t>
  </si>
  <si>
    <t>JUAN DE ANZA ELEMENTARY</t>
  </si>
  <si>
    <t>JUAN LAGUNAS SORIA ELEMENTARY</t>
  </si>
  <si>
    <t>JUANA BRIONES ELEMENTARY</t>
  </si>
  <si>
    <t>JUANAMARIA ELEMENTARY</t>
  </si>
  <si>
    <t>JUANITA BLAKELY JONES ELEMENTARY</t>
  </si>
  <si>
    <t>JUAREZ (BENITO) ELEMENTARY</t>
  </si>
  <si>
    <t>JUAREZ ELEMENTARY</t>
  </si>
  <si>
    <t>JUAREZ-LINCOLN ELEMENTARY</t>
  </si>
  <si>
    <t>JUDITH F. BACA ARTS ACADEMY</t>
  </si>
  <si>
    <t>JUDKINS MIDDLE</t>
  </si>
  <si>
    <t>JUDSON &amp; BROWN ELEMENTARY</t>
  </si>
  <si>
    <t>JULIA B. MORRISON ELEMENTARY</t>
  </si>
  <si>
    <t>JULIA C. LATHROP INTERMEDIATE</t>
  </si>
  <si>
    <t>JULIA MORGAN ELEMENTARY</t>
  </si>
  <si>
    <t>JULIAN CHARTER</t>
  </si>
  <si>
    <t>JULIAN ELEMENTARY</t>
  </si>
  <si>
    <t>JULIAN HIGH</t>
  </si>
  <si>
    <t>JULIAN JUNIOR HIGH</t>
  </si>
  <si>
    <t>JULIE KORENSTEIN ELEMENTARY</t>
  </si>
  <si>
    <t>JULIEN ELEMENTARY</t>
  </si>
  <si>
    <t>JULIEN HATHAWAY ELEMENTARY</t>
  </si>
  <si>
    <t>JULIET MORRIS ELEMENTARY</t>
  </si>
  <si>
    <t>JULIETTE LOW ELEMENTARY</t>
  </si>
  <si>
    <t>JULIUS CORSINI ELEMENTARY</t>
  </si>
  <si>
    <t>JUNCTION CITY ELEMENTARY</t>
  </si>
  <si>
    <t>JUNCTION ELEMENTARY</t>
  </si>
  <si>
    <t>JUNCTION INTERMEDIATE</t>
  </si>
  <si>
    <t>JUNCTION K-8</t>
  </si>
  <si>
    <t>JUNIPER</t>
  </si>
  <si>
    <t>JUNIPER ELEMENTARY</t>
  </si>
  <si>
    <t>JUNIPER INTERMEDIATE</t>
  </si>
  <si>
    <t>JUNIPER RIDGE ELEMENTARY</t>
  </si>
  <si>
    <t>JUNIPER RIDGE VIRTUAL ACADEMY CHARTER</t>
  </si>
  <si>
    <t>JUNIPERO SERRA ELEMENTARY</t>
  </si>
  <si>
    <t>JUNIPERO SERRA HIGH</t>
  </si>
  <si>
    <t>JURUPA HILLS HIGH</t>
  </si>
  <si>
    <t>JURUPA MIDDLE</t>
  </si>
  <si>
    <t>JURUPA UNIFIED SCHOOL DISTRICT PRE-K SCHOOL READIN</t>
  </si>
  <si>
    <t>JURUPA VALLEY HIGH</t>
  </si>
  <si>
    <t>JURUPA VISTA ELEMENTARY</t>
  </si>
  <si>
    <t>JUSTICE STREET ACADEMY CHARTER</t>
  </si>
  <si>
    <t>JUSTIN ELEMENTARY</t>
  </si>
  <si>
    <t>JUVENILE HALL (ENDEAVOR/VOYAGER SECONDARY)</t>
  </si>
  <si>
    <t>JUVENILE HALL-NIELSON</t>
  </si>
  <si>
    <t>JUVENILE HALL/COMMUNITY</t>
  </si>
  <si>
    <t>K. I. JONES ELEMENTARY</t>
  </si>
  <si>
    <t>KAISER ELEMENTARY</t>
  </si>
  <si>
    <t>KAMALA ELEMENTARY</t>
  </si>
  <si>
    <t>KAPLAN ACADEMY OF SOUTHERN CALIFORNIA</t>
  </si>
  <si>
    <t>KARL F. CLEMENS ELEMENTARY</t>
  </si>
  <si>
    <t>KASHIA ELEMENTARY</t>
  </si>
  <si>
    <t>KASTNER INTERMEDIATE</t>
  </si>
  <si>
    <t>KATELLA HIGH</t>
  </si>
  <si>
    <t>KATHERINE EDWARDS MIDDLE</t>
  </si>
  <si>
    <t>KATHERINE ELEMENTARY</t>
  </si>
  <si>
    <t>KATHERINE FINCHY ELEMENTARY</t>
  </si>
  <si>
    <t>KATHERINE L. ALBIANI MIDDLE</t>
  </si>
  <si>
    <t>KATHERINE R. SMITH ELEMENTARY</t>
  </si>
  <si>
    <t>KATHRYN HUGHES ELEMENTARY</t>
  </si>
  <si>
    <t>KATHY BINKS ELEMENTARY</t>
  </si>
  <si>
    <t>KATIE HOHSTADT ELEMENTARY</t>
  </si>
  <si>
    <t>KAVOD ELEMENTARY CHARTER</t>
  </si>
  <si>
    <t>KAWANA ELEMENTARY</t>
  </si>
  <si>
    <t>KAWEAH HIGH</t>
  </si>
  <si>
    <t>KC KIDS PRE-SCHOOL</t>
  </si>
  <si>
    <t>KEARNY CONSTRUCTION TECH</t>
  </si>
  <si>
    <t>KEARNY DIGITAL MEDIA &amp; DESIGN</t>
  </si>
  <si>
    <t>KEARNY INTERNATIONAL BUSINESS</t>
  </si>
  <si>
    <t>KEARNY SCT</t>
  </si>
  <si>
    <t>KEEGAN ACADEMY</t>
  </si>
  <si>
    <t>KEILLER LEADERSHIP ACADEMY</t>
  </si>
  <si>
    <t>KEITH B. BRIGHT HIGH (JUVENILE HALL)</t>
  </si>
  <si>
    <t>KEITH MCCARTHY ACADEMY</t>
  </si>
  <si>
    <t>KELLER ELEMENTARY</t>
  </si>
  <si>
    <t>KELLEY ELEMENTARY</t>
  </si>
  <si>
    <t>KELLOGG (KARL H.) ELEMENTARY</t>
  </si>
  <si>
    <t>KELLOGG ELEMENTARY</t>
  </si>
  <si>
    <t>KELLOGG POLYTECHNIC ELEMENTARY</t>
  </si>
  <si>
    <t>KELLY ELEMENTARY</t>
  </si>
  <si>
    <t>KELSEYVILLE COMMUNITY DAY</t>
  </si>
  <si>
    <t>KELSEYVILLE ELEMENTARY</t>
  </si>
  <si>
    <t>KELSEYVILLE ELEMENTARY COMMUNITY DAY</t>
  </si>
  <si>
    <t>KELSEYVILLE HIGH</t>
  </si>
  <si>
    <t>KELSO (WILLIAM H.) ELEMENTARY</t>
  </si>
  <si>
    <t>KEMPTON STREET ELEMENTARY</t>
  </si>
  <si>
    <t>KENDALL ELEMENTARY</t>
  </si>
  <si>
    <t>KENILWORTH JUNIOR HIGH</t>
  </si>
  <si>
    <t>KENMORE ELEMENTARY</t>
  </si>
  <si>
    <t>KENNEDY (JOHN F.) ELEMENTARY</t>
  </si>
  <si>
    <t>KENNEDY ELEMENTARY</t>
  </si>
  <si>
    <t>KENNEDY GARDENS</t>
  </si>
  <si>
    <t>KENNEDY HIGH</t>
  </si>
  <si>
    <t>KENNEDY MIDDLE</t>
  </si>
  <si>
    <t>KENSINGTON ELEMENTARY</t>
  </si>
  <si>
    <t>KENTER CANYON ELEMENTARY</t>
  </si>
  <si>
    <t>KENTWOOD ELEMENTARY</t>
  </si>
  <si>
    <t>KENWOOD ELEMENTARY</t>
  </si>
  <si>
    <t>KEPLER NEIGHBORHOOD</t>
  </si>
  <si>
    <t>KEPPEL ACADEMY</t>
  </si>
  <si>
    <t>KERMAN HIGH</t>
  </si>
  <si>
    <t>KERMAN MIDDLE</t>
  </si>
  <si>
    <t>KERMAN-FLOYD ELEMENTARY</t>
  </si>
  <si>
    <t>KERMIT KING ELEMENTARY</t>
  </si>
  <si>
    <t>KERMIT MCKENZIE JUNIOR HIGH</t>
  </si>
  <si>
    <t>KERN AVENUE ELEMENTARY</t>
  </si>
  <si>
    <t>KERN COUNTY COMMUNITY</t>
  </si>
  <si>
    <t>KERN COUNTY JUVENILE COURT</t>
  </si>
  <si>
    <t>KERN COUNTY ROP</t>
  </si>
  <si>
    <t>KERN COUNTY SPECIAL EDUCATION</t>
  </si>
  <si>
    <t>KERN HIGH ROC</t>
  </si>
  <si>
    <t>KERN VALLEY HIGH</t>
  </si>
  <si>
    <t>KERN WORKFORCE 2000 ACADEMY</t>
  </si>
  <si>
    <t>KERNVILLE ELEMENTARY</t>
  </si>
  <si>
    <t>KESTER AVENUE ELEMENTARY</t>
  </si>
  <si>
    <t>KETTERING ELEMENTARY</t>
  </si>
  <si>
    <t>KETTLEMAN CITY ELEMENTARY</t>
  </si>
  <si>
    <t>KEY (FRANCIS SCOTT)</t>
  </si>
  <si>
    <t>KEY (FRANCIS SCOTT) ELEMENTARY</t>
  </si>
  <si>
    <t>KEYES ELEMENTARY</t>
  </si>
  <si>
    <t>KEYES TO LEARNING CHARTER</t>
  </si>
  <si>
    <t>KID STREET LEARNING CENTER CHARTER</t>
  </si>
  <si>
    <t>KILLIAN ELEMENTARY</t>
  </si>
  <si>
    <t>KILLYBROOKE ELEMENTARY</t>
  </si>
  <si>
    <t>KILPATRICK VERNON CAMP</t>
  </si>
  <si>
    <t>KIMBALL</t>
  </si>
  <si>
    <t>KIMBALL ELEMENTARY</t>
  </si>
  <si>
    <t>KIMBARK ELEMENTARY</t>
  </si>
  <si>
    <t>KIMBERLY ELEMENTARY</t>
  </si>
  <si>
    <t>KIMBROUGH ELEMENTARY</t>
  </si>
  <si>
    <t>KING (MARTIN LUTHER) HIGH (CONTINUATION)</t>
  </si>
  <si>
    <t>KING (STARR) ELEMENTARY</t>
  </si>
  <si>
    <t>KING AVENUE ELEMENTARY</t>
  </si>
  <si>
    <t>KING CITY ARTS MAGNET</t>
  </si>
  <si>
    <t>KING CITY HIGH</t>
  </si>
  <si>
    <t>KING ELEMENTARY</t>
  </si>
  <si>
    <t>KING JR. (MARTIN LUTHER) ACADEMIC MIDDLE</t>
  </si>
  <si>
    <t>KING-CHAVEZ ACADEMY OF EXCELLENCE</t>
  </si>
  <si>
    <t>KING-CHAVEZ ARTS ACADEMY</t>
  </si>
  <si>
    <t>KING-CHAVEZ ATHLETICS ACADEMY</t>
  </si>
  <si>
    <t>KING-CHAVEZ COMMUNITY HIGH</t>
  </si>
  <si>
    <t>KING-CHAVEZ PREPARATORY ACADEMY</t>
  </si>
  <si>
    <t>KING-CHAVEZ PRIMARY ACADEMY</t>
  </si>
  <si>
    <t>KING/DREW MEDICAL MAGNET HIGH</t>
  </si>
  <si>
    <t>KINGS BEACH ELEMENTARY</t>
  </si>
  <si>
    <t>KINGS CANYON CONTINUATION</t>
  </si>
  <si>
    <t>KINGS CANYON MIDDLE</t>
  </si>
  <si>
    <t>KINGS CANYON UNIFIED SCHOOL DISTRICT WIDE PRESCHOO</t>
  </si>
  <si>
    <t>KINGS COUNTY COMMUNITY</t>
  </si>
  <si>
    <t>KINGS COUNTY ROP</t>
  </si>
  <si>
    <t>KINGS COUNTY SELPA PRESCHOOL</t>
  </si>
  <si>
    <t>KINGS COUNTY SPECIAL EDUCATION</t>
  </si>
  <si>
    <t>KINGS LAKE EDUCATION CENTER</t>
  </si>
  <si>
    <t>KINGS MOUNTAIN ELEMENTARY</t>
  </si>
  <si>
    <t>KINGS RIVER ELEMENTARY</t>
  </si>
  <si>
    <t>KINGS RIVER HIGH (CONTINUATION)</t>
  </si>
  <si>
    <t>KINGS RIVER-HARDWICK ELEMENTARY</t>
  </si>
  <si>
    <t>KINGSBURG COMMUNITY CHARTER EXTENSION</t>
  </si>
  <si>
    <t>KINGSBURG HIGH</t>
  </si>
  <si>
    <t>KINGSBURG INDEPENDENT STUDY HIGH</t>
  </si>
  <si>
    <t>KINGSBURY ELEMENTARY</t>
  </si>
  <si>
    <t>KINGSLEY ELEMENTARY</t>
  </si>
  <si>
    <t>KINGSTON ELEMENTARY</t>
  </si>
  <si>
    <t>KINGSWOOD ELEMENTARY</t>
  </si>
  <si>
    <t>KINNEY HIGH (CONTINUATION)</t>
  </si>
  <si>
    <t>KINOSHITA ELEMENTARY</t>
  </si>
  <si>
    <t>KIPP ACADEMY OF OPPORTUNITY</t>
  </si>
  <si>
    <t>KIPP ADELANTE PREPARATORY ACADEMY</t>
  </si>
  <si>
    <t>KIPP BAYVIEW ACADEMY</t>
  </si>
  <si>
    <t>KIPP BRIDGE CHARTER</t>
  </si>
  <si>
    <t>KIPP COMIENZA COMMUNITY PREP</t>
  </si>
  <si>
    <t>KIPP EMPOWER ACADEMY</t>
  </si>
  <si>
    <t>KIPP HEARTWOOD ACADEMY</t>
  </si>
  <si>
    <t>KIPP ILUMINAR ACADEMY</t>
  </si>
  <si>
    <t>KIPP KING COLLEGIATE HIGH</t>
  </si>
  <si>
    <t>KIPP LOS ANGELES COLLEGE PREPARATORY</t>
  </si>
  <si>
    <t>KIPP PHILOSOPHERS ACADEMY</t>
  </si>
  <si>
    <t>KIPP RAICES ACADEMY</t>
  </si>
  <si>
    <t>KIPP SAN FRANCISCO BAY ACADEMY</t>
  </si>
  <si>
    <t>KIPP SAN FRANCISCO COLLEGE PREPARATORY</t>
  </si>
  <si>
    <t>KIPP SAN JOSE COLLEGIATE</t>
  </si>
  <si>
    <t>KIPP SCHOLAR ACADEMY</t>
  </si>
  <si>
    <t>KIPP SOL ACADEMY</t>
  </si>
  <si>
    <t>KIPP SUMMIT ACADEMY</t>
  </si>
  <si>
    <t>KIRBY DOROTHY CAMP</t>
  </si>
  <si>
    <t>KIRK ELEMENTARY</t>
  </si>
  <si>
    <t>KIRKWOOD ELEMENTARY</t>
  </si>
  <si>
    <t>KIT CARSON ELEMENTARY</t>
  </si>
  <si>
    <t>KIT CARSON MIDDLE</t>
  </si>
  <si>
    <t>KITTRIDGE STREET ELEMENTARY</t>
  </si>
  <si>
    <t>KITTY HAWK</t>
  </si>
  <si>
    <t>KLAMATH RIVER EARLY COLLEGE OF THE REDWOODS</t>
  </si>
  <si>
    <t>KLAMATH RIVER ELEMENTARY</t>
  </si>
  <si>
    <t>KNEELAND ELEMENTARY</t>
  </si>
  <si>
    <t>KNIGHTS FERRY ELEMENTARY</t>
  </si>
  <si>
    <t>KNIGHTSEN ELEMENTARY</t>
  </si>
  <si>
    <t>KNOB HILL ELEMENTARY</t>
  </si>
  <si>
    <t>KNOLLS ELEMENTARY</t>
  </si>
  <si>
    <t>KNOLLWOOD PREPARATORY ACADEMY</t>
  </si>
  <si>
    <t>KNOWLEDGE ENLIGHTENS YOU (KEY) ACADEMY</t>
  </si>
  <si>
    <t>KNOX ELEMENTARY</t>
  </si>
  <si>
    <t>KNOX MIDDLE</t>
  </si>
  <si>
    <t>KOHL OPEN ELEMENTARY</t>
  </si>
  <si>
    <t>KOHLER ELEMENTARY</t>
  </si>
  <si>
    <t>KOLB MIDDLE</t>
  </si>
  <si>
    <t>KONOCTI PRESCHOOL</t>
  </si>
  <si>
    <t>KORNBLUM</t>
  </si>
  <si>
    <t>KRAEMER MIDDLE</t>
  </si>
  <si>
    <t>KRATT ELEMENTARY</t>
  </si>
  <si>
    <t>KRYSTAL SCHOOL OF SCIENCE MATH &amp; TECHNOLOGY</t>
  </si>
  <si>
    <t>KUMEYAAY ELEMENTARY</t>
  </si>
  <si>
    <t>KUNST (TOMMIE) JUNIOR HIGH</t>
  </si>
  <si>
    <t>KWIS ELEMENTARY</t>
  </si>
  <si>
    <t>KYNOCH ELEMENTARY</t>
  </si>
  <si>
    <t>L. P. COLLINS ELEMENTARY</t>
  </si>
  <si>
    <t>L. R. GREEN ELEMENTARY</t>
  </si>
  <si>
    <t>L.A. COUNTY HIGH SCHOOL FOR THE ARTS</t>
  </si>
  <si>
    <t>LA BALLONA ELEMENTARY</t>
  </si>
  <si>
    <t>LA CANADA ELEMENTARY</t>
  </si>
  <si>
    <t>LA CANADA HIGH</t>
  </si>
  <si>
    <t>LA COLIMA ELEMENTARY</t>
  </si>
  <si>
    <t>LA COLINA JUNIOR HIGH</t>
  </si>
  <si>
    <t>LA CONTENTA MIDDLE</t>
  </si>
  <si>
    <t>LA COSTA CANYON HIGH</t>
  </si>
  <si>
    <t>LA COSTA HEIGHTS ELEMENTARY</t>
  </si>
  <si>
    <t>LA COSTA MEADOWS ELEMENTARY</t>
  </si>
  <si>
    <t>LA CRESCENTA ELEMENTARY</t>
  </si>
  <si>
    <t>LA CUESTA CONTINUATION HIGH</t>
  </si>
  <si>
    <t>LA CUMBRE JUNIOR HIGH</t>
  </si>
  <si>
    <t>LA ENTRADA CONTINUATION HIGH</t>
  </si>
  <si>
    <t>LA ENTRADA HIGH</t>
  </si>
  <si>
    <t>LA ENTRADA MIDDLE</t>
  </si>
  <si>
    <t>LA ESCUELITA ELEMENTARY</t>
  </si>
  <si>
    <t>LA FAMILIA CONTINUATION HIGH</t>
  </si>
  <si>
    <t>LA FETRA ELEMENTARY</t>
  </si>
  <si>
    <t>LA GLORIA ELEMENTARY</t>
  </si>
  <si>
    <t>LA GRANADA ELEMENTARY</t>
  </si>
  <si>
    <t>LA GRANGE ELEMENTARY</t>
  </si>
  <si>
    <t>LA HABRA HIGH</t>
  </si>
  <si>
    <t>LA HONDA ELEMENTARY</t>
  </si>
  <si>
    <t>LA JOLLA ELEMENTARY</t>
  </si>
  <si>
    <t>LA JOLLA HIGH</t>
  </si>
  <si>
    <t>LA JOYA ELEMENTARY</t>
  </si>
  <si>
    <t>LA JOYA MIDDLE</t>
  </si>
  <si>
    <t>LA LOMA JUNIOR HIGH</t>
  </si>
  <si>
    <t>LA MADERA ELEMENTARY</t>
  </si>
  <si>
    <t>LA MARIPOSA</t>
  </si>
  <si>
    <t>LA MERCED ELEMENTARY</t>
  </si>
  <si>
    <t>LA MERCED INTERMEDIATE</t>
  </si>
  <si>
    <t>LA MESA DALE ELEMENTARY</t>
  </si>
  <si>
    <t>LA MESA ELEMENTARY</t>
  </si>
  <si>
    <t>LA MESA JUNIOR HIGH</t>
  </si>
  <si>
    <t>LA MESA MIDDLE</t>
  </si>
  <si>
    <t>LA MIRADA ELEMENTARY</t>
  </si>
  <si>
    <t>LA MIRADA HIGH</t>
  </si>
  <si>
    <t>LA PALOMA ELEMENTARY</t>
  </si>
  <si>
    <t>LA PALOMA HIGH (CONTINUATION)</t>
  </si>
  <si>
    <t>LA PATERA ELEMENTARY</t>
  </si>
  <si>
    <t>LA PAZ INTERMEDIATE</t>
  </si>
  <si>
    <t>LA PAZ MIDDLE</t>
  </si>
  <si>
    <t>LA PLUMA ELEMENTARY</t>
  </si>
  <si>
    <t>LA PRESA ELEMENTARY</t>
  </si>
  <si>
    <t>LA PRESA MIDDLE</t>
  </si>
  <si>
    <t>LA PRIMARIA ELEMENTARY</t>
  </si>
  <si>
    <t>LA PUENTE HIGH</t>
  </si>
  <si>
    <t>LA PUENTE VALLEY ROP</t>
  </si>
  <si>
    <t>LA QUINTA HIGH</t>
  </si>
  <si>
    <t>LA QUINTA MIDDLE</t>
  </si>
  <si>
    <t>LA ROSA ELEMENTARY</t>
  </si>
  <si>
    <t>LA SALLE AVENUE ELEMENTARY</t>
  </si>
  <si>
    <t>LA SERNA HIGH</t>
  </si>
  <si>
    <t>LA SIERRA HIGH</t>
  </si>
  <si>
    <t>LA SIERRA HIGH (ALTERNATIVE)</t>
  </si>
  <si>
    <t>LA TERCERA ELEMENTARY</t>
  </si>
  <si>
    <t>LA TIERRA EARLY CHILDHOOD CENTER</t>
  </si>
  <si>
    <t>LA TIJERA K-8 ACADEMY OF EXCELLENCE</t>
  </si>
  <si>
    <t>LA VERNE HEIGHTS ELEMENTARY</t>
  </si>
  <si>
    <t>LA VERNE SCIENCE AND TECHNOLOGY CHARTER</t>
  </si>
  <si>
    <t>LA VETA ELEMENTARY</t>
  </si>
  <si>
    <t>LA VIDA CHARTER</t>
  </si>
  <si>
    <t>LA VINA ELEMENTARY</t>
  </si>
  <si>
    <t>LA VINA MIDDLE</t>
  </si>
  <si>
    <t>LA VISTA CENTER</t>
  </si>
  <si>
    <t>LA VISTA HIGH (CONTINUATION)</t>
  </si>
  <si>
    <t>LADD LANE ELEMENTARY</t>
  </si>
  <si>
    <t>LADERA ELEMENTARY</t>
  </si>
  <si>
    <t>LADERA PALMA ELEMENTARY</t>
  </si>
  <si>
    <t>LADERA RANCH ELEMENTARY</t>
  </si>
  <si>
    <t>LADERA RANCH MIDDLE</t>
  </si>
  <si>
    <t>LADERA VISTA JUNIOR HIGH</t>
  </si>
  <si>
    <t>LAFAYETTE ELEMENTARY</t>
  </si>
  <si>
    <t>LAFAYETTE PARK PRIMARY CENTER</t>
  </si>
  <si>
    <t>LAGUNA BEACH HIGH</t>
  </si>
  <si>
    <t>LAGUNA CREEK HIGH</t>
  </si>
  <si>
    <t>LAGUNA ELEMENTARY</t>
  </si>
  <si>
    <t>LAGUNA HIGH</t>
  </si>
  <si>
    <t>LAGUNA HILLS HIGH</t>
  </si>
  <si>
    <t>LAGUNA MIDDLE</t>
  </si>
  <si>
    <t>LAGUNA NIGUEL ELEMENTARY</t>
  </si>
  <si>
    <t>LAGUNA NUEVA</t>
  </si>
  <si>
    <t>LAGUNA ROAD ELEMENTARY</t>
  </si>
  <si>
    <t>LAGUNA VISTA ELEMENTARY</t>
  </si>
  <si>
    <t>LAGUNITA ELEMENTARY</t>
  </si>
  <si>
    <t>LAGUNITAS ELEMENTARY</t>
  </si>
  <si>
    <t>LAIRON COLLEGE PREPATORY ACADEMY</t>
  </si>
  <si>
    <t>LAKE ARROWHEAD ELEMENTARY</t>
  </si>
  <si>
    <t>LAKE CANYON ELEMENTARY</t>
  </si>
  <si>
    <t>LAKE CENTER MIDDLE</t>
  </si>
  <si>
    <t>LAKE COUNTY ELEMENTARY COMMUNITY DAY</t>
  </si>
  <si>
    <t>LAKE COUNTY INTERNATIONAL CHARTER</t>
  </si>
  <si>
    <t>LAKE COUNTY MIDDLE SCHOOL COMMUNITY DAY</t>
  </si>
  <si>
    <t>LAKE COUNTY ROP</t>
  </si>
  <si>
    <t>LAKE DON PEDRO ELEMENTARY</t>
  </si>
  <si>
    <t>LAKE ELEMENTARY</t>
  </si>
  <si>
    <t>LAKE FOREST ELEMENTARY</t>
  </si>
  <si>
    <t>LAKE HILLS ELEMENTARY</t>
  </si>
  <si>
    <t>LAKE LOS ANGELES ELEMENTARY</t>
  </si>
  <si>
    <t>LAKE MARIE ELEMENTARY</t>
  </si>
  <si>
    <t>LAKE MATHEWS ELEMENTARY</t>
  </si>
  <si>
    <t>LAKE STREET PRIMARY</t>
  </si>
  <si>
    <t>LAKE TAHOE ENVIRONMENTAL SCIENCE MAGNET</t>
  </si>
  <si>
    <t>LAKE VIEW ELEMENTARY</t>
  </si>
  <si>
    <t>LAKELAND ELEMENTARY</t>
  </si>
  <si>
    <t>LAKELAND VILLAGE</t>
  </si>
  <si>
    <t>LAKEPORT ALTERNATIVE (HOME SCHOOL)</t>
  </si>
  <si>
    <t>LAKEPORT COMMUNITY DAY</t>
  </si>
  <si>
    <t>LAKEPORT ELEMENTARY</t>
  </si>
  <si>
    <t>LAKESHORE ALTERNATIVE ELEMENTARY</t>
  </si>
  <si>
    <t>LAKESIDE</t>
  </si>
  <si>
    <t>LAKESIDE COMMUNITY DAY</t>
  </si>
  <si>
    <t>LAKESIDE ELEMENTARY</t>
  </si>
  <si>
    <t>LAKESIDE FARMS ELEMENTARY</t>
  </si>
  <si>
    <t>LAKESIDE HIGH</t>
  </si>
  <si>
    <t>LAKESIDE MIDDLE</t>
  </si>
  <si>
    <t>LAKEVIEW ELEMENTARY</t>
  </si>
  <si>
    <t>LAKEVIEW JUNIOR HIGH</t>
  </si>
  <si>
    <t>LAKEVIEW MIDDLE</t>
  </si>
  <si>
    <t>LAKEWOOD COMMUNITY DAY</t>
  </si>
  <si>
    <t>LAKEWOOD ELEMENTARY</t>
  </si>
  <si>
    <t>LAKEWOOD HIGH</t>
  </si>
  <si>
    <t>LAMMERSVILLE ELEMENTARY</t>
  </si>
  <si>
    <t>LAMONT ELEMENTARY</t>
  </si>
  <si>
    <t>LAMPSON ELEMENTARY</t>
  </si>
  <si>
    <t>LANAI ROAD ELEMENTARY</t>
  </si>
  <si>
    <t>LANCASTER ALTERNATIVE AND VIRTUAL ACADEMIES</t>
  </si>
  <si>
    <t>LANCASTER HIGH</t>
  </si>
  <si>
    <t>LANDAU ELEMENTARY</t>
  </si>
  <si>
    <t>LANDERS ELEMENTARY</t>
  </si>
  <si>
    <t>LANDMARK ELEMENTARY</t>
  </si>
  <si>
    <t>LANDMARK MIDDLE</t>
  </si>
  <si>
    <t>LANE (WARREN) ELEMENTARY</t>
  </si>
  <si>
    <t>LANE ELEMENTARY</t>
  </si>
  <si>
    <t>LANEVIEW ELEMENTARY</t>
  </si>
  <si>
    <t>LANG RANCH</t>
  </si>
  <si>
    <t>LANGDON AVENUE ELEMENTARY</t>
  </si>
  <si>
    <t>LANGE (DOROTHEA) ELEMENTARY</t>
  </si>
  <si>
    <t>LANGUAGE ACADEMY</t>
  </si>
  <si>
    <t>LANKERSHIM ELEMENTARY</t>
  </si>
  <si>
    <t>LARCHMONT CHARTER</t>
  </si>
  <si>
    <t>LARCHMONT CHARTER-WEST HOLLYWOOD</t>
  </si>
  <si>
    <t>LARCHMONT ELEMENTARY</t>
  </si>
  <si>
    <t>LARK ELLEN ELEMENTARY</t>
  </si>
  <si>
    <t>LARSSON (STURE) HIGH (CONTINUATION)</t>
  </si>
  <si>
    <t>LAS AMERICAS CHILDREN CENTER</t>
  </si>
  <si>
    <t>LAS ANIMAS ELEMENTARY</t>
  </si>
  <si>
    <t>LAS COLINAS MIDDLE</t>
  </si>
  <si>
    <t>LAS FLORES ELEMENTARY</t>
  </si>
  <si>
    <t>LAS FLORES HIGH (ALTERNATIVE)</t>
  </si>
  <si>
    <t>LAS FLORES MIDDLE</t>
  </si>
  <si>
    <t>LAS JUNTAS ELEMENTARY</t>
  </si>
  <si>
    <t>LAS LOMAS ELEMENTARY</t>
  </si>
  <si>
    <t>LAS LOMAS HIGH</t>
  </si>
  <si>
    <t>LAS LOMITAS ELEMENTARY</t>
  </si>
  <si>
    <t>LAS PALMAS</t>
  </si>
  <si>
    <t>LAS PALMAS ELEMENTARY</t>
  </si>
  <si>
    <t>LAS PALMAS MIDDLE</t>
  </si>
  <si>
    <t>LAS PALMITAS ELEMENTARY</t>
  </si>
  <si>
    <t>LAS PLUMAS HIGH</t>
  </si>
  <si>
    <t>LAS POSAS ELEMENTARY</t>
  </si>
  <si>
    <t>LAS POSITAS ELEMENTARY</t>
  </si>
  <si>
    <t>LASD PRESCHOOL</t>
  </si>
  <si>
    <t>LASHON ACADEMY</t>
  </si>
  <si>
    <t>LASSALETTE</t>
  </si>
  <si>
    <t>LASSELLE ELEMENTARY</t>
  </si>
  <si>
    <t>LASSEN COMMUNITY DAY</t>
  </si>
  <si>
    <t>LASSEN COUNTY JUVENILE COURT</t>
  </si>
  <si>
    <t>LASSEN COUNTY OPPORTUNITY</t>
  </si>
  <si>
    <t>LASSEN COUNTY SPECIAL EDUCATION</t>
  </si>
  <si>
    <t>LASSEN ELEMENTARY</t>
  </si>
  <si>
    <t>LASSEN HIGH</t>
  </si>
  <si>
    <t>LASSEN ROP</t>
  </si>
  <si>
    <t>LASSEN VIEW COMMUNITY DAY</t>
  </si>
  <si>
    <t>LASSEN VIEW ELEMENTARY</t>
  </si>
  <si>
    <t>LATHROP ELEMENTARY</t>
  </si>
  <si>
    <t>LATHROP HIGH</t>
  </si>
  <si>
    <t>LATINO COLLEGE PREPARATORY ACADEMY</t>
  </si>
  <si>
    <t>LATON COMMUNITY DAY</t>
  </si>
  <si>
    <t>LATON ELEMENTARY</t>
  </si>
  <si>
    <t>LATON HIGH</t>
  </si>
  <si>
    <t>LATONA AVENUE ELEMENTARY</t>
  </si>
  <si>
    <t>LATROBE ELEMENTARY</t>
  </si>
  <si>
    <t>LAU (GORDON J.) ELEMENTARY</t>
  </si>
  <si>
    <t>LAUDERBACH (J. CALVIN) ELEMENTARY</t>
  </si>
  <si>
    <t>LAUNCH</t>
  </si>
  <si>
    <t>LAUNCH PRESCHOOL</t>
  </si>
  <si>
    <t>LAUREL CREEK ELEMENTARY</t>
  </si>
  <si>
    <t>LAUREL DELL ELEMENTARY</t>
  </si>
  <si>
    <t>LAUREL ELEMENTARY</t>
  </si>
  <si>
    <t>LAUREL HIGH (CONTINUATION)</t>
  </si>
  <si>
    <t>LAUREL RUFF CENTER</t>
  </si>
  <si>
    <t>LAUREL STREET ELEMENTARY</t>
  </si>
  <si>
    <t>LAUREL TREE CHARTER</t>
  </si>
  <si>
    <t>LAUREL WOOD ELEMENTARY</t>
  </si>
  <si>
    <t>LAURELGLEN ELEMENTARY</t>
  </si>
  <si>
    <t>LAURELWOOD ELEMENTARY</t>
  </si>
  <si>
    <t>LAVERNE ELEMENTARY PREPARATORY ACADEMY</t>
  </si>
  <si>
    <t>LAWLESS ELEMENTARY</t>
  </si>
  <si>
    <t>LAWNDALE HIGH</t>
  </si>
  <si>
    <t>LAWRENCE COOK MIDDLE</t>
  </si>
  <si>
    <t>LAWRENCE E. JONES MIDDLE</t>
  </si>
  <si>
    <t>LAWRENCE ELEMENTARY</t>
  </si>
  <si>
    <t>LAWRENCE T. MAGEE ELEMENTARY</t>
  </si>
  <si>
    <t>LAWTON ALTERNATIVE ELEMENTARY</t>
  </si>
  <si>
    <t>LAYTONVILLE COMMUNITY DAY</t>
  </si>
  <si>
    <t>LAYTONVILLE CONTINUATION HIGH</t>
  </si>
  <si>
    <t>LAYTONVILLE ELEMENTARY</t>
  </si>
  <si>
    <t>LAYTONVILLE HIGH</t>
  </si>
  <si>
    <t>LAZEAR CHARTER ACADEMY</t>
  </si>
  <si>
    <t>LAZEAR ELEMENTARY</t>
  </si>
  <si>
    <t>LE GRAND ELEMENTARY</t>
  </si>
  <si>
    <t>LE GRAND HIGH</t>
  </si>
  <si>
    <t>LEADERSHIP HIGH</t>
  </si>
  <si>
    <t>LEADERSHIP IN ENTERTAINMENT AND MEDIA ARTS (LEMA)</t>
  </si>
  <si>
    <t>LEADERSHIP PREPARATORY HIGH</t>
  </si>
  <si>
    <t>LEADERSHIP PUBLIC SCHOOLS - HAYWARD</t>
  </si>
  <si>
    <t>LEADERSHIP PUBLIC SCHOOLS - SAN JOSE</t>
  </si>
  <si>
    <t>LEADERSHIP PUBLIC SCHOOLS: RICHMOND</t>
  </si>
  <si>
    <t>LEAL (FRANK C.) ELEMENTARY</t>
  </si>
  <si>
    <t>LEAPWOOD AVENUE ELEMENTARY</t>
  </si>
  <si>
    <t>LEARNING CHOICE ACADEMY</t>
  </si>
  <si>
    <t>LEARNING COMMUNITY CHARTER</t>
  </si>
  <si>
    <t>LEARNING FOR LIFE CHARTER</t>
  </si>
  <si>
    <t>LEARNING POST HIGH (ALTERNATIVE)</t>
  </si>
  <si>
    <t>LEARNING TREE PRESCHOOL</t>
  </si>
  <si>
    <t>LEARNING WITHOUT LIMITS</t>
  </si>
  <si>
    <t>LEARNING WORKS</t>
  </si>
  <si>
    <t>LEATAATA FLOYD ELEMENTARY</t>
  </si>
  <si>
    <t>LECONTE ELEMENTARY</t>
  </si>
  <si>
    <t>LEDESMA (RITA) ELEMENTARY</t>
  </si>
  <si>
    <t>LEE ELEMENTARY</t>
  </si>
  <si>
    <t>LEE MATHSON MIDDLE</t>
  </si>
  <si>
    <t>LEE MIDDLE</t>
  </si>
  <si>
    <t>LEE RICHMOND ELEMENTARY</t>
  </si>
  <si>
    <t>LEE V. POLLARD HIGH</t>
  </si>
  <si>
    <t>LEE VINING COMMUNITY DAY</t>
  </si>
  <si>
    <t>LEE VINING ELEMENTARY</t>
  </si>
  <si>
    <t>LEE VINING HIGH</t>
  </si>
  <si>
    <t>LEFFINGWELL ELEMENTARY</t>
  </si>
  <si>
    <t>LEFFINGWELL HIGH (CONTINUATION)</t>
  </si>
  <si>
    <t>LEGACY CHARTER HIGH</t>
  </si>
  <si>
    <t>LEGGETT VALLEY ELEMENTARY</t>
  </si>
  <si>
    <t>LEGGETT VALLEY HIGH</t>
  </si>
  <si>
    <t>LEGORE ELEMENTARY</t>
  </si>
  <si>
    <t>LEHIGH ELEMENTARY</t>
  </si>
  <si>
    <t>LEIGH HIGH</t>
  </si>
  <si>
    <t>LELAND HIGH</t>
  </si>
  <si>
    <t>LELAND PLUS (CONTINUATION)</t>
  </si>
  <si>
    <t>LELAND STREET ELEMENTARY</t>
  </si>
  <si>
    <t>LEMAY STREET ELEMENTARY</t>
  </si>
  <si>
    <t>LEMON AVENUE ELEMENTARY</t>
  </si>
  <si>
    <t>LEMON CREST ELEMENTARY</t>
  </si>
  <si>
    <t>LEMON GROVE ACADEMY FOR THE SCIENCES AND HUMANITIE</t>
  </si>
  <si>
    <t>LEMONWOOD ELEMENTARY</t>
  </si>
  <si>
    <t>LEMOORE ELEMENTARY</t>
  </si>
  <si>
    <t>LEMOORE HIGH</t>
  </si>
  <si>
    <t>LEMOORE MIDDLE COLLEGE HIGH</t>
  </si>
  <si>
    <t>LEMOORE UNIVERSITY ELEMENTARY CHARTER</t>
  </si>
  <si>
    <t>LENICIA B. WEEMES ELEMENTARY</t>
  </si>
  <si>
    <t>LENNOX MATHEMATICS SCIENCE AND TECHNOLOGY ACADEMY</t>
  </si>
  <si>
    <t>LENNOX MIDDLE</t>
  </si>
  <si>
    <t>LENWOOD ELEMENTARY</t>
  </si>
  <si>
    <t>LEO B. HART ELEMENTARY</t>
  </si>
  <si>
    <t>LEO CARRILLO ELEMENTARY</t>
  </si>
  <si>
    <t>LEO G. PAULY ELEMENTARY</t>
  </si>
  <si>
    <t>LEO POLITI ELEMENTARY</t>
  </si>
  <si>
    <t>LEO R. CROCE ELEMENTARY</t>
  </si>
  <si>
    <t>LEON H. OLLIVIER MIDDLE</t>
  </si>
  <si>
    <t>LEONA H. COX COMMUNITY ELEMENTARY</t>
  </si>
  <si>
    <t>LEONA JACKSON</t>
  </si>
  <si>
    <t>LEONA VALLEY ELEMENTARY</t>
  </si>
  <si>
    <t>LEONARD G. WESTHOFF ELEMENTARY</t>
  </si>
  <si>
    <t>LEONARDO DA VINCI</t>
  </si>
  <si>
    <t>LEONARDO DA VINCI HEALTH SCIENCES CHARTER</t>
  </si>
  <si>
    <t>LEONARDO DAVINCI HIGH</t>
  </si>
  <si>
    <t>LEONORA FILLMORE ELEMENTARY</t>
  </si>
  <si>
    <t>LEONTINE GRACEY ELEMENTARY</t>
  </si>
  <si>
    <t>LEROY ANDERSON ELEMENTARY</t>
  </si>
  <si>
    <t>LEROY F. GREENE MIDDLE</t>
  </si>
  <si>
    <t>LEROY GREENE ACADEMY</t>
  </si>
  <si>
    <t>LEROY L. DOIG INTERMEDIATE</t>
  </si>
  <si>
    <t>LEROY NICHOLS ELEMENTARY</t>
  </si>
  <si>
    <t>LETHA RANEY INTERMEDIATE</t>
  </si>
  <si>
    <t>LEUZINGER HIGH</t>
  </si>
  <si>
    <t>LEVI H. DICKEY ELEMENTARY</t>
  </si>
  <si>
    <t>LEWIS ELEMENTARY</t>
  </si>
  <si>
    <t>LEWIS H. BRITTON MIDDLE</t>
  </si>
  <si>
    <t>LEWIS MIDDLE</t>
  </si>
  <si>
    <t>LEWIS OPPORTUNITY</t>
  </si>
  <si>
    <t>LEWISTON ELEMENTARY</t>
  </si>
  <si>
    <t>LEXINGTON AVENUE PRIMARY CENTER</t>
  </si>
  <si>
    <t>LEXINGTON ELEMENTARY</t>
  </si>
  <si>
    <t>LEXINGTON JUNIOR HIGH</t>
  </si>
  <si>
    <t>LIBBY ELEMENTARY</t>
  </si>
  <si>
    <t>LIBERTY BOULEVARD ELEMENTARY</t>
  </si>
  <si>
    <t>LIBERTY CHARTER</t>
  </si>
  <si>
    <t>LIBERTY ELEMENTARY</t>
  </si>
  <si>
    <t>LIBERTY HIGH</t>
  </si>
  <si>
    <t>LIBERTY HIGH (ALTERNATIVE)</t>
  </si>
  <si>
    <t>LIBERTY HIGH (CONTINUATION)</t>
  </si>
  <si>
    <t>LIBERTY MIDDLE</t>
  </si>
  <si>
    <t>LIBERTY PRIMARY</t>
  </si>
  <si>
    <t>LIBERTY RANCH HIGH</t>
  </si>
  <si>
    <t>LICHEN K-8</t>
  </si>
  <si>
    <t>LICK (JAMES) MIDDLE</t>
  </si>
  <si>
    <t>LIETZ ELEMENTARY</t>
  </si>
  <si>
    <t>LIFE ACADEMY</t>
  </si>
  <si>
    <t>LIFE LEARNING ACADEMY CHARTER</t>
  </si>
  <si>
    <t>LIFE SOURCE INTERNATIONAL CHARTER</t>
  </si>
  <si>
    <t>LIFELINE EDUCATION CHARTER</t>
  </si>
  <si>
    <t>LIGGETT STREET ELEMENTARY</t>
  </si>
  <si>
    <t>LIGHTHOUSE COMMUNITY CHARTER</t>
  </si>
  <si>
    <t>LIGHTHOUSE COMMUNITY CHARTER HIGH</t>
  </si>
  <si>
    <t>LIGHTHOUSE COMMUNITY DAY</t>
  </si>
  <si>
    <t>LILAC</t>
  </si>
  <si>
    <t>LILIENTHAL (CLAIRE) ELEMENTARY</t>
  </si>
  <si>
    <t>LILLIAN LARSEN ELEMENTARY</t>
  </si>
  <si>
    <t>LILLIAN STREET ELEMENTARY</t>
  </si>
  <si>
    <t>LIME STREET ELEMENTARY</t>
  </si>
  <si>
    <t>LIMERICK AVENUE ELEMENTARY</t>
  </si>
  <si>
    <t>LINCOLN (ABRAHAM) (ALTERNATIVE)</t>
  </si>
  <si>
    <t>LINCOLN (ABRAHAM) ELEMENTARY</t>
  </si>
  <si>
    <t>LINCOLN (ABRAHAM) HIGH</t>
  </si>
  <si>
    <t>LINCOLN ACRES</t>
  </si>
  <si>
    <t>LINCOLN ALTERNATIVE ELEMENTARY</t>
  </si>
  <si>
    <t>LINCOLN COMMUNITY DAY</t>
  </si>
  <si>
    <t>LINCOLN CROSSING ELEMENTARY</t>
  </si>
  <si>
    <t>LINCOLN ELEMENTARY</t>
  </si>
  <si>
    <t>LINCOLN HIGH</t>
  </si>
  <si>
    <t>LINCOLN HIGH (CONTINUATION)</t>
  </si>
  <si>
    <t>LINCOLN HIGH CONTINUATION</t>
  </si>
  <si>
    <t>LINCOLN JUNIOR HIGH</t>
  </si>
  <si>
    <t>LINCOLN MIDDLE</t>
  </si>
  <si>
    <t>LINCOLN PLUS HIGH</t>
  </si>
  <si>
    <t>LINCOLN STREET INDEPENDENT</t>
  </si>
  <si>
    <t>LINCREST ELEMENTARY</t>
  </si>
  <si>
    <t>LINDA ELEMENTARY</t>
  </si>
  <si>
    <t>LINDA ESPERANZA MARQUEZ HIGH A HNTNGTN PARK INST O</t>
  </si>
  <si>
    <t>LINDA ESPERANZA MARQUEZ HIGH B LIBRA ACADEMY</t>
  </si>
  <si>
    <t>LINDA ESPERANZA MARQUEZ HIGH C SCHOOL OF SOCIAL JU</t>
  </si>
  <si>
    <t>LINDA MAR EDUCATIONAL CENTER</t>
  </si>
  <si>
    <t>LINDA VERDE ELEMENTARY</t>
  </si>
  <si>
    <t>LINDA VISTA ELEMENTARY</t>
  </si>
  <si>
    <t>LINDBERGH ELEMENTARY</t>
  </si>
  <si>
    <t>LINDBERGH MIDDLE</t>
  </si>
  <si>
    <t>LINDBERGH/SCHWEITZER ELEMENTARY</t>
  </si>
  <si>
    <t>LINDEN COMMUNITY MIDDLE</t>
  </si>
  <si>
    <t>LINDEN ELEMENTARY</t>
  </si>
  <si>
    <t>LINDEN HIGH</t>
  </si>
  <si>
    <t>LINDEN UNIFIED COMMUNITY DAY</t>
  </si>
  <si>
    <t>LINDERO CANYON MIDDLE</t>
  </si>
  <si>
    <t>LINDHURST HIGH</t>
  </si>
  <si>
    <t>LINDO PARK ELEMENTARY</t>
  </si>
  <si>
    <t>LINDSAY COMMUNITY DAY</t>
  </si>
  <si>
    <t>LINDSAY SENIOR HIGH</t>
  </si>
  <si>
    <t>LINDSEY ACADEMY</t>
  </si>
  <si>
    <t>LINNS VALLEY-POSO FLAT ELEMENTARY</t>
  </si>
  <si>
    <t>LINSCOTT CHARTER</t>
  </si>
  <si>
    <t>LINTON T. SIMMONS ELEMENTARY</t>
  </si>
  <si>
    <t>LINVILLE COMMUNITY DAY</t>
  </si>
  <si>
    <t>LINWOOD E. HOWE ELEMENTARY</t>
  </si>
  <si>
    <t>LINWOOD ELEMENTARY</t>
  </si>
  <si>
    <t>LIPMAN MIDDLE</t>
  </si>
  <si>
    <t>LISA J. MAILS ELEMENTARY</t>
  </si>
  <si>
    <t>LITERACY FIRST CHARTER</t>
  </si>
  <si>
    <t>LITTLE CHICO CREEK ELEMENTARY</t>
  </si>
  <si>
    <t>LITTLE LAKE CHARTER</t>
  </si>
  <si>
    <t>LITTLE LAKE ELEMENTARY</t>
  </si>
  <si>
    <t>LITTLE MOUNTAIN ELEMENTARY</t>
  </si>
  <si>
    <t>LITTLE SHASTA ELEMENTARY</t>
  </si>
  <si>
    <t>LITTLEROCK HIGH</t>
  </si>
  <si>
    <t>LIVE OAK ALTERNATIVE</t>
  </si>
  <si>
    <t>LIVE OAK CHARTER</t>
  </si>
  <si>
    <t>LIVE OAK ELEMENTARY</t>
  </si>
  <si>
    <t>LIVE OAK HIGH</t>
  </si>
  <si>
    <t>LIVE OAK HIGH (CONTINUATION)</t>
  </si>
  <si>
    <t>LIVE OAK MIDDLE</t>
  </si>
  <si>
    <t>LIVERMORE HIGH</t>
  </si>
  <si>
    <t>LIVERMORE VALLEY CHARTER</t>
  </si>
  <si>
    <t>LIVERMORE VALLEY CHARTER PREPARATORY HIGH</t>
  </si>
  <si>
    <t>LIVINGSTON HIGH</t>
  </si>
  <si>
    <t>LIVINGSTON MIDDLE</t>
  </si>
  <si>
    <t>LIVINGSTON STEPPING STONES PRESCHOOL</t>
  </si>
  <si>
    <t>LLOYD G. JOHNSON JUNIOR HIGH</t>
  </si>
  <si>
    <t>LLOYD HANCE COMMUNITY</t>
  </si>
  <si>
    <t>LO-INYO ELEMENTARY</t>
  </si>
  <si>
    <t>LO-INYO ELEMENTARY COMMUNITY DAY</t>
  </si>
  <si>
    <t>LOARA ELEMENTARY</t>
  </si>
  <si>
    <t>LOARA HIGH</t>
  </si>
  <si>
    <t>LOCKEFORD ELEMENTARY</t>
  </si>
  <si>
    <t>LOCKHURST DRIVE CHARTER ELEMENTARY</t>
  </si>
  <si>
    <t>LOCKWOOD AVENUE ELEMENTARY</t>
  </si>
  <si>
    <t>LOCONOMA VALLEY HIGH</t>
  </si>
  <si>
    <t>LOCUST ELEMENTARY</t>
  </si>
  <si>
    <t>LODGE POLE ELEMENTARY (ALTERNATIVE)</t>
  </si>
  <si>
    <t>LODI HIGH</t>
  </si>
  <si>
    <t>LODI MIDDLE</t>
  </si>
  <si>
    <t>LOGAN K-8</t>
  </si>
  <si>
    <t>LOGAN STREET ELEMENTARY</t>
  </si>
  <si>
    <t>LOIS E. BORCHARDT ELEMENTARY</t>
  </si>
  <si>
    <t>LOLETA ELEMENTARY</t>
  </si>
  <si>
    <t>LOMA ALTA ELEMENTARY</t>
  </si>
  <si>
    <t>LOMA ELEMENTARY</t>
  </si>
  <si>
    <t>LOMA PORTAL ELEMENTARY</t>
  </si>
  <si>
    <t>LOMA PRIETA ELEMENTARY</t>
  </si>
  <si>
    <t>LOMA RICA ELEMENTARY</t>
  </si>
  <si>
    <t>LOMA VERDE ELEMENTARY</t>
  </si>
  <si>
    <t>LOMA VISTA</t>
  </si>
  <si>
    <t>LOMA VISTA CHARTER</t>
  </si>
  <si>
    <t>LOMA VISTA ELEMENTARY</t>
  </si>
  <si>
    <t>LOMA VISTA ENVIRONMENTAL SCIENCE ACADEMY</t>
  </si>
  <si>
    <t>LOMA VISTA IMMERSION ACADEMY</t>
  </si>
  <si>
    <t>LOMA VISTA MIDDLE</t>
  </si>
  <si>
    <t>LOMARENA ELEMENTARY</t>
  </si>
  <si>
    <t>LOMITA MATH/SCIENCE/TECHNOLOGY MAGNET</t>
  </si>
  <si>
    <t>LOMITA PARK ELEMENTARY</t>
  </si>
  <si>
    <t>LOMITAS ELEMENTARY</t>
  </si>
  <si>
    <t>LOMPOC HIGH</t>
  </si>
  <si>
    <t>LOMPOC VALLEY MIDDLE</t>
  </si>
  <si>
    <t>LONE HILL MIDDLE</t>
  </si>
  <si>
    <t>LONE PINE HIGH</t>
  </si>
  <si>
    <t>LONE STAR ELEMENTARY</t>
  </si>
  <si>
    <t>LONE TREE ELEMENTARY</t>
  </si>
  <si>
    <t>LONG BARN HIGH</t>
  </si>
  <si>
    <t>LONG BEACH UNIFIED SCHOOL DISTRICT ROP</t>
  </si>
  <si>
    <t>LONG VALLEY CHARTER</t>
  </si>
  <si>
    <t>LONGDEN ELEMENTARY</t>
  </si>
  <si>
    <t>LONGFELLOW</t>
  </si>
  <si>
    <t>LONGFELLOW (HENRY W.) ELEMENTARY</t>
  </si>
  <si>
    <t>LONGFELLOW ARTS AND TECHNOLOGY MIDDLE</t>
  </si>
  <si>
    <t>LONGFELLOW ELEMENTARY</t>
  </si>
  <si>
    <t>LONGFELLOW K-8</t>
  </si>
  <si>
    <t>LONGLEY WAY ELEMENTARY</t>
  </si>
  <si>
    <t>LONGWOOD ELEMENTARY</t>
  </si>
  <si>
    <t>LOOMIS BASIN CHARTER</t>
  </si>
  <si>
    <t>LOOMIS ELEMENTARY</t>
  </si>
  <si>
    <t>LOPEZ CONTINUATION HIGH</t>
  </si>
  <si>
    <t>LOPEZ ELEMENTARY</t>
  </si>
  <si>
    <t>LORBEER MIDDLE</t>
  </si>
  <si>
    <t>LOREN MILLER ELEMENTARY</t>
  </si>
  <si>
    <t>LORENA FALASCO ELEMENTARY</t>
  </si>
  <si>
    <t>LORENA STREET ELEMENTARY</t>
  </si>
  <si>
    <t>LORENZO MANOR ELEMENTARY</t>
  </si>
  <si>
    <t>LORETO STREET ELEMENTARY</t>
  </si>
  <si>
    <t>LORETTA LAMPTON ELEMENTARY</t>
  </si>
  <si>
    <t>LORIN A. EDEN ELEMENTARY</t>
  </si>
  <si>
    <t>LORIN GRISET ACADEMY</t>
  </si>
  <si>
    <t>LORNE STREET ELEMENTARY</t>
  </si>
  <si>
    <t>LOS ALAMITOS ELEMENTARY</t>
  </si>
  <si>
    <t>LOS ALAMITOS HIGH</t>
  </si>
  <si>
    <t>LOS ALISOS INTERMEDIATE</t>
  </si>
  <si>
    <t>LOS ALISOS MIDDLE</t>
  </si>
  <si>
    <t>LOS ALTOS ELEMENTARY</t>
  </si>
  <si>
    <t>LOS ALTOS HIGH</t>
  </si>
  <si>
    <t>LOS AMIGOS</t>
  </si>
  <si>
    <t>LOS AMIGOS ELEMENTARY</t>
  </si>
  <si>
    <t>LOS AMIGOS HIGH</t>
  </si>
  <si>
    <t>LOS ANGELES ACADEMY MIDDLE</t>
  </si>
  <si>
    <t>LOS ANGELES ACADEMY OF ARTS &amp; ENTERPRISE CHARTER</t>
  </si>
  <si>
    <t>LOS ANGELES BIG PICTURE HIGH</t>
  </si>
  <si>
    <t>LOS ANGELES CENTER FOR ENRICHED STUDIES</t>
  </si>
  <si>
    <t>LOS ANGELES COUNTY ONLINE HIGH</t>
  </si>
  <si>
    <t>LOS ANGELES COUNTY ROP</t>
  </si>
  <si>
    <t>LOS ANGELES COUNTY SPECIAL EDUCATION</t>
  </si>
  <si>
    <t>LOS ANGELES EDUCATION CORPS CHARTER</t>
  </si>
  <si>
    <t>LOS ANGELES ELEMENTARY</t>
  </si>
  <si>
    <t>LOS ANGELES INTERNATIONAL CHARTER HIGH</t>
  </si>
  <si>
    <t>LOS ANGELES LEADERSHIP ACADEMY</t>
  </si>
  <si>
    <t>LOS ANGELES LEADERSHIP PRIMARY ACADEMY</t>
  </si>
  <si>
    <t>LOS ANGELES RIVER AT SONIA SOTOMAYOR LEARNING ACAD</t>
  </si>
  <si>
    <t>LOS ANGELES SENIOR HIGH</t>
  </si>
  <si>
    <t>LOS ANGELES UNIFIED ALTERNATIVE EDUCATION</t>
  </si>
  <si>
    <t>LOS ANGELES UNIFIED SCHOOL DISTRICT ROCP</t>
  </si>
  <si>
    <t>LOS ARBOLES LITERACY AND TECHNOLOGY ACADEMY</t>
  </si>
  <si>
    <t>LOS ARBOLES MIDDLE</t>
  </si>
  <si>
    <t>LOS BANOS COMMUNITY DAY</t>
  </si>
  <si>
    <t>LOS BANOS ELEMENTARY</t>
  </si>
  <si>
    <t>LOS BANOS HIGH</t>
  </si>
  <si>
    <t>LOS BANOS JUNIOR HIGH</t>
  </si>
  <si>
    <t>LOS BANOS SPECIAL EDUCATION PRESCHOOL</t>
  </si>
  <si>
    <t>LOS BERROS ELEMENTARY</t>
  </si>
  <si>
    <t>LOS CERRITOS</t>
  </si>
  <si>
    <t>LOS CERRITOS ELEMENTARY</t>
  </si>
  <si>
    <t>LOS CERRITOS MIDDLE</t>
  </si>
  <si>
    <t>LOS CERROS MIDDLE</t>
  </si>
  <si>
    <t>LOS COCHES CREEK MIDDLE</t>
  </si>
  <si>
    <t>LOS COYOTES ELEMENTARY</t>
  </si>
  <si>
    <t>LOS COYOTES MIDDLE</t>
  </si>
  <si>
    <t>LOS FELIZ CHARTER SCHOOL FOR THE ARTS</t>
  </si>
  <si>
    <t>LOS FELIZ ELEMENTARY</t>
  </si>
  <si>
    <t>LOS GATOS HIGH</t>
  </si>
  <si>
    <t>LOS GATOS-SARATOGA JUHSD ADULT EDUCATION PROGRAM</t>
  </si>
  <si>
    <t>LOS MEDANOS ELEMENTARY</t>
  </si>
  <si>
    <t>LOS MOLINOS COMMUNITY DAY</t>
  </si>
  <si>
    <t>LOS MOLINOS ELEMENTARY</t>
  </si>
  <si>
    <t>LOS MOLINOS HIGH</t>
  </si>
  <si>
    <t>LOS NIETOS MIDDLE</t>
  </si>
  <si>
    <t>LOS OLIVOS ELEMENTARY</t>
  </si>
  <si>
    <t>LOS OSOS HIGH</t>
  </si>
  <si>
    <t>LOS OSOS MIDDLE</t>
  </si>
  <si>
    <t>LOS PADRES ELEMENTARY</t>
  </si>
  <si>
    <t>LOS PADRINOS JUVENILE HALL</t>
  </si>
  <si>
    <t>LOS PASEOS ELEMENTARY</t>
  </si>
  <si>
    <t>LOS PENASQUITOS ELEMENTARY</t>
  </si>
  <si>
    <t>LOS PERALES ELEMENTARY</t>
  </si>
  <si>
    <t>LOS PRIMEROS SCHOOL OF SCIENCES &amp; ARTS</t>
  </si>
  <si>
    <t>LOS RANCHOS ELEMENTARY</t>
  </si>
  <si>
    <t>LOS ROBLES ACADEMY</t>
  </si>
  <si>
    <t>LOS ROBLES ELEMENTARY</t>
  </si>
  <si>
    <t>LOS ROBLES MAGNET ACADEMY</t>
  </si>
  <si>
    <t>LOS TULES MIDDLE</t>
  </si>
  <si>
    <t>LOST HILLS ELEMENTARY</t>
  </si>
  <si>
    <t>LOU DANTZLER PREPARATORY CHARTER ELEMENTARY</t>
  </si>
  <si>
    <t>LOU DANTZLER PREPARATORY CHARTER HIGH</t>
  </si>
  <si>
    <t>LOU DANTZLER PREPARATORY CHARTER MIDDLE</t>
  </si>
  <si>
    <t>LOU HENRY HOOVER ELEMENTARY</t>
  </si>
  <si>
    <t>LOUIS A. BOHN ELEMENTARY</t>
  </si>
  <si>
    <t>LOUIS E. STOCKLMEIR ELEMENTARY</t>
  </si>
  <si>
    <t>LOUIS G. ZEYEN ELEMENTARY</t>
  </si>
  <si>
    <t>LOUIS J. VILLALOVOZ ELEMENTARY</t>
  </si>
  <si>
    <t>LOUIS LAKE INTERMEDIATE</t>
  </si>
  <si>
    <t>LOUIS MILANI ELEMENTARY</t>
  </si>
  <si>
    <t>LOUIS PASTEUR FUNDAMENTAL MIDDLE</t>
  </si>
  <si>
    <t>LOUIS VANDERMOLEN FUNDAMENTAL ELEMENTARY</t>
  </si>
  <si>
    <t>LOUISE FOUSSAT ELEMENTARY</t>
  </si>
  <si>
    <t>LOUISE SANDRINI ELEMENTARY</t>
  </si>
  <si>
    <t>LOUISE VAN METER ELEMENTARY</t>
  </si>
  <si>
    <t>LOUISIANA SCHNELL ELEMENTARY</t>
  </si>
  <si>
    <t>LOVELIA P. FLOURNOY ELEMENTARY</t>
  </si>
  <si>
    <t>LOVELL HIGH</t>
  </si>
  <si>
    <t>LOVONYA DEJEAN MIDDLE</t>
  </si>
  <si>
    <t>LOWELL ELEMENTARY</t>
  </si>
  <si>
    <t>LOWELL HIGH</t>
  </si>
  <si>
    <t>LOWER LAKE ELEMENTARY</t>
  </si>
  <si>
    <t>LOWER LAKE HIGH</t>
  </si>
  <si>
    <t>LOYAL BARKER ELEMENTARY</t>
  </si>
  <si>
    <t>LOYALTON ELEMENTARY</t>
  </si>
  <si>
    <t>LOYALTON HIGH</t>
  </si>
  <si>
    <t>LOYALTON MIDDLE</t>
  </si>
  <si>
    <t>LOYOLA ELEMENTARY</t>
  </si>
  <si>
    <t>LOYOLA VILLAGE ELEMENTARY</t>
  </si>
  <si>
    <t>LPS COLLEGE PARK</t>
  </si>
  <si>
    <t>LPS OAKLAND R &amp; D CAMPUS</t>
  </si>
  <si>
    <t>LRNG IN AN URBAN COMM WITH HIGH ACHIEVEMENT (L.U.C</t>
  </si>
  <si>
    <t>LU SUTTON ELEMENTARY</t>
  </si>
  <si>
    <t>LUCAS ELEMENTARY</t>
  </si>
  <si>
    <t>LUCERNE ELEMENTARY</t>
  </si>
  <si>
    <t>LUCERNE VALLEY COMMUNITY DAY</t>
  </si>
  <si>
    <t>LUCERNE VALLEY ELEMENTARY</t>
  </si>
  <si>
    <t>LUCERNE VALLEY HIGH</t>
  </si>
  <si>
    <t>LUCERNE VALLEY MIDDLE</t>
  </si>
  <si>
    <t>LUCILLE J. SMITH ELEMENTARY</t>
  </si>
  <si>
    <t>LUCILLE M. NIXON ELEMENTARY</t>
  </si>
  <si>
    <t>LUCILLE ROYBAL-ALLARD ELEMENTARY</t>
  </si>
  <si>
    <t>LUCILLE WHITEHEAD INTERMEDIATE</t>
  </si>
  <si>
    <t>LUDLOW PRESCHOOL</t>
  </si>
  <si>
    <t>LUGO ELEMENTARY</t>
  </si>
  <si>
    <t>LUGONIA ELEMENTARY</t>
  </si>
  <si>
    <t>LUIGI APREA ELEMENTARY</t>
  </si>
  <si>
    <t>LUISENO</t>
  </si>
  <si>
    <t>LUNADA BAY ELEMENTARY</t>
  </si>
  <si>
    <t>LUPIN HILL ELEMENTARY</t>
  </si>
  <si>
    <t>LUPINE HILLS ELEMENTARY</t>
  </si>
  <si>
    <t>LUTHER BURBANK ELEMENTARY</t>
  </si>
  <si>
    <t>LUTHER BURBANK HIGH</t>
  </si>
  <si>
    <t>LUTHER BURBANK MIDDLE</t>
  </si>
  <si>
    <t>LUTHER ELEMENTARY</t>
  </si>
  <si>
    <t>LYDIA JACKSON ELEMENTARY</t>
  </si>
  <si>
    <t>LYDIA ROMERO-CRUZ ELEMENTARY</t>
  </si>
  <si>
    <t>LYDIKSEN ELEMENTARY</t>
  </si>
  <si>
    <t>LYLE S. BRIGGS FUNDAMENTAL</t>
  </si>
  <si>
    <t>LYMAN GILMORE MIDDLE</t>
  </si>
  <si>
    <t>LYNBROOK HIGH</t>
  </si>
  <si>
    <t>LYNDALE ELEMENTARY</t>
  </si>
  <si>
    <t>LYNDON B. JOHNSON ELEMENTARY</t>
  </si>
  <si>
    <t>LYNHAVEN ELEMENTARY</t>
  </si>
  <si>
    <t>LYNWOOD COMMUNITY DAY</t>
  </si>
  <si>
    <t>LYNWOOD ELEMENTARY</t>
  </si>
  <si>
    <t>LYNWOOD HIGH</t>
  </si>
  <si>
    <t>LYNWOOD MIDDLE</t>
  </si>
  <si>
    <t>LYTLE CREEK ELEMENTARY</t>
  </si>
  <si>
    <t>M. H. STANLEY MIDDLE</t>
  </si>
  <si>
    <t>M. ROBERT ADKISON ELEMENTARY</t>
  </si>
  <si>
    <t>MAAC COMMUNITY CHARTER</t>
  </si>
  <si>
    <t>MABEL CARVER ELEMENTARY</t>
  </si>
  <si>
    <t>MABEL L. PENDLETON ELEMENTARY</t>
  </si>
  <si>
    <t>MABEL M. PAINE ELEMENTARY</t>
  </si>
  <si>
    <t>MABLE BARRON</t>
  </si>
  <si>
    <t>MACARTHUR ELEMENTARY</t>
  </si>
  <si>
    <t>MACARTHUR PARK ELEM SCH FOR THE VISUAL AND PERF AR</t>
  </si>
  <si>
    <t>MACGREGOR HIGH (CONTINUATION)</t>
  </si>
  <si>
    <t>MACHADO ELEMENTARY</t>
  </si>
  <si>
    <t>MACY ELEMENTARY</t>
  </si>
  <si>
    <t>MACY INTERMEDIATE</t>
  </si>
  <si>
    <t>MADERA COUNTY INDEPENDENT ACADEMY</t>
  </si>
  <si>
    <t>MADERA ELEMENTARY</t>
  </si>
  <si>
    <t>MADERA HIGH</t>
  </si>
  <si>
    <t>MADERA SOUTH HIGH</t>
  </si>
  <si>
    <t>MADISON (JAMES) ELEMENTARY</t>
  </si>
  <si>
    <t>MADISON AVENUE ELEMENTARY</t>
  </si>
  <si>
    <t>MADISON COMMUNITY HIGH</t>
  </si>
  <si>
    <t>MADISON ELEMENTARY</t>
  </si>
  <si>
    <t>MADISON HIGH</t>
  </si>
  <si>
    <t>MADISON MIDDLE</t>
  </si>
  <si>
    <t>MADISON PARK ACADEMY 6-12</t>
  </si>
  <si>
    <t>MADISON PARK ACADEMY TK-5</t>
  </si>
  <si>
    <t>MADRONA ELEMENTARY</t>
  </si>
  <si>
    <t>MADRONA MIDDLE</t>
  </si>
  <si>
    <t>MADRONE ELEMENTARY</t>
  </si>
  <si>
    <t>MADRONE HIGH CONTINUATION</t>
  </si>
  <si>
    <t>MAE HENSLEY JUNIOR HIGH</t>
  </si>
  <si>
    <t>MAEOLA E. BEITZEL ELEMENTARY</t>
  </si>
  <si>
    <t>MAGNOLIA AVENUE ELEMENTARY</t>
  </si>
  <si>
    <t>MAGNOLIA ELEMENTARY</t>
  </si>
  <si>
    <t>MAGNOLIA HIGH</t>
  </si>
  <si>
    <t>MAGNOLIA INDEPENDENT LEARNING CENTER</t>
  </si>
  <si>
    <t>MAGNOLIA INTERMEDIATE</t>
  </si>
  <si>
    <t>MAGNOLIA JUNIOR HIGH</t>
  </si>
  <si>
    <t>MAGNOLIA PARK</t>
  </si>
  <si>
    <t>MAGNOLIA SCIENCE ACADEMY</t>
  </si>
  <si>
    <t>MAGNOLIA SCIENCE ACADEMY 2</t>
  </si>
  <si>
    <t>MAGNOLIA SCIENCE ACADEMY 3</t>
  </si>
  <si>
    <t>MAGNOLIA SCIENCE ACADEMY 4</t>
  </si>
  <si>
    <t>MAGNOLIA SCIENCE ACADEMY 5</t>
  </si>
  <si>
    <t>MAGNOLIA SCIENCE ACADEMY 6</t>
  </si>
  <si>
    <t>MAGNOLIA SCIENCE ACADEMY 7</t>
  </si>
  <si>
    <t>MAGNOLIA SCIENCE ACADEMY BELL</t>
  </si>
  <si>
    <t>MAGNOLIA SCIENCE ACADEMY SAN DIEGO</t>
  </si>
  <si>
    <t>MAGNOLIA SCIENCE ACADEMY SAN DIEGO 2</t>
  </si>
  <si>
    <t>MAGNOLIA SCIENCE ACADEMY SANTA CLARA</t>
  </si>
  <si>
    <t>MAHLER (THERESA S.) CHILDREN CENTER</t>
  </si>
  <si>
    <t>MAHOGANY COMMUNITY DAY HIGH</t>
  </si>
  <si>
    <t>MAIDU ELEMENTARY</t>
  </si>
  <si>
    <t>MAIDU HIGH INDEPENDENT STUDY</t>
  </si>
  <si>
    <t>MAIN AVENUE ELEMENTARY</t>
  </si>
  <si>
    <t>MAIN STREET ELEMENTARY</t>
  </si>
  <si>
    <t>MAIN STREET MIDDLE</t>
  </si>
  <si>
    <t>MAINE PRAIRIE HIGH (CONTINUATION)</t>
  </si>
  <si>
    <t>MAINS ELEMENTARY</t>
  </si>
  <si>
    <t>MAJESTIC WAY ELEMENTARY</t>
  </si>
  <si>
    <t>MAJOR GENERAL RAYMOND MURRAY HIGH</t>
  </si>
  <si>
    <t>MAJOR LYNN MOKLER</t>
  </si>
  <si>
    <t>MAKING WAVES ACADEMY</t>
  </si>
  <si>
    <t>MALABAR STREET ELEMENTARY</t>
  </si>
  <si>
    <t>MALAGA ELEMENTARY</t>
  </si>
  <si>
    <t>MALCOLM X ACADEMY</t>
  </si>
  <si>
    <t>MALCOLM X ELEMENTARY</t>
  </si>
  <si>
    <t>MALIBU HIGH</t>
  </si>
  <si>
    <t>MALLOCH ELEMENTARY</t>
  </si>
  <si>
    <t>MAMIE L. NORTHCUTT ELEMENTARY</t>
  </si>
  <si>
    <t>MAMMOTH ELEMENTARY</t>
  </si>
  <si>
    <t>MAMMOTH HIGH</t>
  </si>
  <si>
    <t>MAMMOTH MIDDLE</t>
  </si>
  <si>
    <t>MANCHESTER AVENUE ELEMENTARY</t>
  </si>
  <si>
    <t>MANCHESTER ELEMENTARY</t>
  </si>
  <si>
    <t>MANCHESTER GATE</t>
  </si>
  <si>
    <t>MANDARIN LANGUAGE ACADEMY</t>
  </si>
  <si>
    <t>MANDELA HIGH</t>
  </si>
  <si>
    <t>MANGO ELEMENTARY</t>
  </si>
  <si>
    <t>MANHATTAN BEACH MIDDLE</t>
  </si>
  <si>
    <t>MANHATTAN BEACH PRESCHOOL</t>
  </si>
  <si>
    <t>MANHATTAN PLACE ELEMENTARY</t>
  </si>
  <si>
    <t>MANLIO SILVA ELEMENTARY</t>
  </si>
  <si>
    <t>MANN (HORACE) ELEMENTARY</t>
  </si>
  <si>
    <t>MANN ELEMENTARY</t>
  </si>
  <si>
    <t>MANN MIDDLE</t>
  </si>
  <si>
    <t>MANOR ELEMENTARY</t>
  </si>
  <si>
    <t>MANTECA COMMUNITY DAY (7-12)</t>
  </si>
  <si>
    <t>MANTECA COMMUNITY DAY (K-6)</t>
  </si>
  <si>
    <t>MANTECA HIGH</t>
  </si>
  <si>
    <t>MANTECA UNIFIED VOCATIONAL ACADEMY</t>
  </si>
  <si>
    <t>MANTON ELEMENTARY</t>
  </si>
  <si>
    <t>MANUAL ARTS SENIOR HIGH</t>
  </si>
  <si>
    <t>MANUEL A. SALINAS CREATIVE ARTS ELEMENTARY</t>
  </si>
  <si>
    <t>MANUEL DE VARGAS ELEMENTARY</t>
  </si>
  <si>
    <t>MANUEL ESQUEDA ELEMENTARY</t>
  </si>
  <si>
    <t>MANUEL F. CUNHA INTERMEDIATE</t>
  </si>
  <si>
    <t>MANUEL F. HERNANDEZ</t>
  </si>
  <si>
    <t>MANUEL L. REAL ELEMENTARY</t>
  </si>
  <si>
    <t>MANZANITA COMMUNITY</t>
  </si>
  <si>
    <t>MANZANITA COMMUNITY DAY</t>
  </si>
  <si>
    <t>MANZANITA ELEMENTARY</t>
  </si>
  <si>
    <t>MANZANITA MIDDLE</t>
  </si>
  <si>
    <t>MANZANITA PUBLIC CHARTER</t>
  </si>
  <si>
    <t>MANZANITA SEED</t>
  </si>
  <si>
    <t>MAPLE CREEK ELEMENTARY</t>
  </si>
  <si>
    <t>MAPLE ELEMENTARY</t>
  </si>
  <si>
    <t>MAPLE HIGH</t>
  </si>
  <si>
    <t>MAPLE HILL ELEMENTARY</t>
  </si>
  <si>
    <t>MAPLE PRIMARY CENTER</t>
  </si>
  <si>
    <t>MAR VISTA ACADEMY FOR PROBLEM BASED LEARNING</t>
  </si>
  <si>
    <t>MAR VISTA EARLY CHILDHOOD CENTER</t>
  </si>
  <si>
    <t>MAR VISTA ELEMENTARY</t>
  </si>
  <si>
    <t>MAR VISTA SENIOR HIGH</t>
  </si>
  <si>
    <t>MARBLEHEAD ELEMENTARY</t>
  </si>
  <si>
    <t>MARC HIGH</t>
  </si>
  <si>
    <t>MARCE BECERRA ACADEMY</t>
  </si>
  <si>
    <t>MARCH MIDDLE</t>
  </si>
  <si>
    <t>MARCH MOUNTAIN HIGH</t>
  </si>
  <si>
    <t>MARCH VALLEY</t>
  </si>
  <si>
    <t>MARCO ANTONIO FIREBAUGH HIGH</t>
  </si>
  <si>
    <t>MARCO FORSTER MIDDLE</t>
  </si>
  <si>
    <t>MARCUM-ILLINOIS UNION ELEMENTARY</t>
  </si>
  <si>
    <t>MARE ISLAND HEALTH AND FITNESS ACADEMY</t>
  </si>
  <si>
    <t>MARE ISLAND TECHNOLOGY ACADEMY</t>
  </si>
  <si>
    <t>MARENGO ELEMENTARY</t>
  </si>
  <si>
    <t>MARENGO RANCH ELEMENTARY</t>
  </si>
  <si>
    <t>MARGARET G. SCOTTEN ELEMENTARY</t>
  </si>
  <si>
    <t>MARGARET HEATH ELEMENTARY</t>
  </si>
  <si>
    <t>MARGARET HEDRICK ELEMENTARY</t>
  </si>
  <si>
    <t>MARGARET J. KEMP</t>
  </si>
  <si>
    <t>MARGARET KEATING ELEMENTARY</t>
  </si>
  <si>
    <t>MARGARET LANDELL ELEMENTARY</t>
  </si>
  <si>
    <t>MARGARET PAULINE BROWN ELEMENTARY</t>
  </si>
  <si>
    <t>MARGARET SHEEHY ELEMENTARY</t>
  </si>
  <si>
    <t>MARGARET WHITE ELEMENTARY</t>
  </si>
  <si>
    <t>MARGARITA MIDDLE</t>
  </si>
  <si>
    <t>MARGUERITA ELEMENTARY</t>
  </si>
  <si>
    <t>MARGUERITE HAHN ELEMENTARY</t>
  </si>
  <si>
    <t>MARGUERITE MONTGOMERY ELEMENTARY</t>
  </si>
  <si>
    <t>MARIA CARRILLO HIGH</t>
  </si>
  <si>
    <t>MARIA MONTESSORI CHARTER ACADEMY</t>
  </si>
  <si>
    <t>MARIAN A. PETERSON MIDDLE</t>
  </si>
  <si>
    <t>MARIAN BERGESON ELEMENTARY</t>
  </si>
  <si>
    <t>MARIANA ACADEMY</t>
  </si>
  <si>
    <t>MARIANNA AVENUE ELEMENTARY</t>
  </si>
  <si>
    <t>MARIANO CASTRO ELEMENTARY</t>
  </si>
  <si>
    <t>MARICOPA COMMUNITY DAY</t>
  </si>
  <si>
    <t>MARICOPA ELEMENTARY</t>
  </si>
  <si>
    <t>MARICOPA HIGH</t>
  </si>
  <si>
    <t>MARICOPA MIDDLE</t>
  </si>
  <si>
    <t>MARIE L. HARE HIGH</t>
  </si>
  <si>
    <t>MARIEMONT ELEMENTARY</t>
  </si>
  <si>
    <t>MARIGOLD ELEMENTARY</t>
  </si>
  <si>
    <t>MARIN COUNTY COMMUNITY</t>
  </si>
  <si>
    <t>MARIN COUNTY JUVENILE COURT</t>
  </si>
  <si>
    <t>MARIN COUNTY ROP</t>
  </si>
  <si>
    <t>MARIN COUNTY SPECIAL EDUCATION</t>
  </si>
  <si>
    <t>MARIN ELEMENTARY</t>
  </si>
  <si>
    <t>MARIN OAKS HIGH</t>
  </si>
  <si>
    <t>MARINA CHILDRENS CENTER</t>
  </si>
  <si>
    <t>MARINA DEL REY MIDDLE</t>
  </si>
  <si>
    <t>MARINA HIGH</t>
  </si>
  <si>
    <t>MARINA MIDDLE</t>
  </si>
  <si>
    <t>MARINA VILLAGE MIDDLE</t>
  </si>
  <si>
    <t>MARINA VISTA ELEMENTARY</t>
  </si>
  <si>
    <t>MARINA WEST ELEMENTARY</t>
  </si>
  <si>
    <t>MARINE VIEW MIDDLE</t>
  </si>
  <si>
    <t>MARINERS ELEMENTARY</t>
  </si>
  <si>
    <t>MARIO G. OLMOS ELEMENTARY</t>
  </si>
  <si>
    <t>MARIPOSA AVENUE ELEMENTARY</t>
  </si>
  <si>
    <t>MARIPOSA COUNTY HIGH</t>
  </si>
  <si>
    <t>MARIPOSA ELEMENTARY</t>
  </si>
  <si>
    <t>MARIPOSA MIDDLE</t>
  </si>
  <si>
    <t>MARIPOSA SCHOOL OF GLOBAL EDUCATION</t>
  </si>
  <si>
    <t>MARIPOSA-NABI PRIMARY CENTER</t>
  </si>
  <si>
    <t>MARJORIE H. TOBIAS ELEMENTARY</t>
  </si>
  <si>
    <t>MARJORIE VEEH ELEMENTARY</t>
  </si>
  <si>
    <t>MARK HOPKINS ELEMENTARY</t>
  </si>
  <si>
    <t>MARK KEPPEL</t>
  </si>
  <si>
    <t>MARK KEPPEL ELEMENTARY</t>
  </si>
  <si>
    <t>MARK KEPPEL HIGH</t>
  </si>
  <si>
    <t>MARK TWAIN COMMUNITY DAY</t>
  </si>
  <si>
    <t>MARK TWAIN ELEMENTARY</t>
  </si>
  <si>
    <t>MARK TWAIN JUNIOR HIGH</t>
  </si>
  <si>
    <t>MARK TWAIN MIDDLE</t>
  </si>
  <si>
    <t>MARK TWAIN SPECIAL CENTER</t>
  </si>
  <si>
    <t>MARK WEST CHARTER</t>
  </si>
  <si>
    <t>MARK WEST ELEMENTARY</t>
  </si>
  <si>
    <t>MARKHAM ELEMENTARY</t>
  </si>
  <si>
    <t>MARLTON</t>
  </si>
  <si>
    <t>MARQUEZ CHARTER</t>
  </si>
  <si>
    <t>MARSH (HARRY M.) JUNIOR HIGH</t>
  </si>
  <si>
    <t>MARSH CREEK ELEMENTARY</t>
  </si>
  <si>
    <t>MARSH ELEMENTARY</t>
  </si>
  <si>
    <t>MARSHALL (JOHN) ELEMENTARY</t>
  </si>
  <si>
    <t>MARSHALL (THURGOOD) ELEMENTARY</t>
  </si>
  <si>
    <t>MARSHALL (THURGOOD) HIGH</t>
  </si>
  <si>
    <t>MARSHALL ACADEMY OF THE ARTS</t>
  </si>
  <si>
    <t>MARSHALL ELEMENTARY</t>
  </si>
  <si>
    <t>MARSHALL FUNDAMENTAL</t>
  </si>
  <si>
    <t>MARSHALL LANE ELEMENTARY</t>
  </si>
  <si>
    <t>MARSHALL MIDDLE</t>
  </si>
  <si>
    <t>MARSHALL POMEROY ELEMENTARY</t>
  </si>
  <si>
    <t>MARSTON MIDDLE</t>
  </si>
  <si>
    <t>MARTHA BALDWIN ELEMENTARY</t>
  </si>
  <si>
    <t>MARTHA ESCUTIA PRIMARY CENTER</t>
  </si>
  <si>
    <t>MARTIN ELEMENTARY</t>
  </si>
  <si>
    <t>MARTIN LUTHER KING</t>
  </si>
  <si>
    <t>MARTIN LUTHER KING ELEMENTARY</t>
  </si>
  <si>
    <t>MARTIN LUTHER KING JR. ELEMENTARY</t>
  </si>
  <si>
    <t>MARTIN LUTHER KING JR. HIGH</t>
  </si>
  <si>
    <t>MARTIN LUTHER KING JR. JUNIOR HIGH</t>
  </si>
  <si>
    <t>MARTIN LUTHER KING JR. MIDDLE</t>
  </si>
  <si>
    <t>MARTIN LUTHER KING JR. TECHNOLOGY ACADEMY</t>
  </si>
  <si>
    <t>MARTIN LUTHER KING MIDDLE</t>
  </si>
  <si>
    <t>MARTIN LUTHER KING JR.</t>
  </si>
  <si>
    <t>MARTIN LUTHER KING JR. ACADEMY</t>
  </si>
  <si>
    <t>MARTIN MURPHY MIDDLE</t>
  </si>
  <si>
    <t>MARTIN R. HENINGER ELEMENTARY</t>
  </si>
  <si>
    <t>MARTIN VAN BUREN ELEMENTARY</t>
  </si>
  <si>
    <t>MARTINEZ EARLY INTERVENTION PRESCHOOL PROGRAM (MEI</t>
  </si>
  <si>
    <t>MARTINEZ JUNIOR HIGH</t>
  </si>
  <si>
    <t>MARVIN A. DUTCHER MIDDLE</t>
  </si>
  <si>
    <t>MARVIN ELEMENTARY</t>
  </si>
  <si>
    <t>MARVIN MARSHALL PRESCHOOL AND CHILDREN'S CENTER</t>
  </si>
  <si>
    <t>MARY ANN SANDERS ELEMENTARY</t>
  </si>
  <si>
    <t>MARY B. LEWIS ELEMENTARY</t>
  </si>
  <si>
    <t>MARY B. PERRY HIGH</t>
  </si>
  <si>
    <t>MARY BUREN ELEMENTARY</t>
  </si>
  <si>
    <t>MARY CASEY BLACK ELEMENTARY</t>
  </si>
  <si>
    <t>MARY CHAPA LITERACY AND TECHNOLOGY ACADEMY</t>
  </si>
  <si>
    <t>MARY COLLINS CHARTER SCHOOL AT CHERRY VALLEY</t>
  </si>
  <si>
    <t>MARY DETERDING ELEMENTARY</t>
  </si>
  <si>
    <t>MARY E. SILVEIRA ELEMENTARY</t>
  </si>
  <si>
    <t>MARY FARMAR ELEMENTARY</t>
  </si>
  <si>
    <t>MARY FAY PENDLETON ELEMENTARY</t>
  </si>
  <si>
    <t>MARY LOU DIETERICH ELEMENTARY</t>
  </si>
  <si>
    <t>MARY MCLEOD BETHUNE ELEMENTARY</t>
  </si>
  <si>
    <t>MARY MCLEOD BETHUNE MIDDLE</t>
  </si>
  <si>
    <t>MARY P. HENCK INTERMEDIATE</t>
  </si>
  <si>
    <t>MARY PEACOCK ELEMENTARY</t>
  </si>
  <si>
    <t>MARY TSUKAMOTO ELEMENTARY</t>
  </si>
  <si>
    <t>MARYLAND AVENUE ELEMENTARY</t>
  </si>
  <si>
    <t>MARYLAND ELEMENTARY</t>
  </si>
  <si>
    <t>MARYLIN AVENUE ELEMENTARY</t>
  </si>
  <si>
    <t>MARYSVILLE CHARTER ACADEMY FOR THE ARTS</t>
  </si>
  <si>
    <t>MARYSVILLE HIGH</t>
  </si>
  <si>
    <t>MASON ELEMENTARY</t>
  </si>
  <si>
    <t>MASUDA (KAZUO) MIDDLE</t>
  </si>
  <si>
    <t>MATH AND SCIENCE COLLEGE PREPARATORY</t>
  </si>
  <si>
    <t>MATH SCIENCE &amp; TECHNOLOGY MAGNET ACADEMY AT ROOS</t>
  </si>
  <si>
    <t>MATHER HEIGHTS ELEMENTARY</t>
  </si>
  <si>
    <t>MATHER YOUTH ACADEMY</t>
  </si>
  <si>
    <t>MATHEW J BRLETIC ELEMENTARY</t>
  </si>
  <si>
    <t>MATILIJA JUNIOR HIGH</t>
  </si>
  <si>
    <t>MATSUYAMA ELEMENTARY</t>
  </si>
  <si>
    <t>MATT GARCIA LEARNING CENTER</t>
  </si>
  <si>
    <t>MATTHEW GAGE MIDDLE</t>
  </si>
  <si>
    <t>MATTHEW TURNER ELEMENTARY</t>
  </si>
  <si>
    <t>MATTIE LOU MAXWELL ELEMENTARY</t>
  </si>
  <si>
    <t>MATTIE WASHBURN ELEMENTARY</t>
  </si>
  <si>
    <t>MATTOLE ELEMENTARY</t>
  </si>
  <si>
    <t>MATTOLE TRIPLE JUNCTION HIGH</t>
  </si>
  <si>
    <t>MATTOLE VALLEY CHARTER (#159)</t>
  </si>
  <si>
    <t>MAUDE B. DAVIS ELEMENTARY</t>
  </si>
  <si>
    <t>MAURICE SENDAK ELEMENTARY</t>
  </si>
  <si>
    <t>MAXINE HONG KINGSTON ELEMENTARY</t>
  </si>
  <si>
    <t>MAXSON ELEMENTARY</t>
  </si>
  <si>
    <t>MAXWELL ELEMENTARY</t>
  </si>
  <si>
    <t>MAXWELL HIGH</t>
  </si>
  <si>
    <t>MAXWELL PARK INTERNATIONAL ACADEMY</t>
  </si>
  <si>
    <t>MAY GRISHAM ELEMENTARY</t>
  </si>
  <si>
    <t>MAY RANCH ELEMENTARY</t>
  </si>
  <si>
    <t>MAYA LIN</t>
  </si>
  <si>
    <t>MAYALL STREET ELEMENTARY</t>
  </si>
  <si>
    <t>MAYBERRY STREET ELEMENTARY</t>
  </si>
  <si>
    <t>MAYFAIR ELEMENTARY</t>
  </si>
  <si>
    <t>MAYFAIR HIGH</t>
  </si>
  <si>
    <t>MAYFLOWER ELEMENTARY</t>
  </si>
  <si>
    <t>MAYO ELEMENTARY</t>
  </si>
  <si>
    <t>MAYWOOD ACADEMY HIGH</t>
  </si>
  <si>
    <t>MAYWOOD ELEMENTARY</t>
  </si>
  <si>
    <t>MAYWOOD MIDDLE</t>
  </si>
  <si>
    <t>MAZE MIDDLE</t>
  </si>
  <si>
    <t>MCCABE ELEMENTARY</t>
  </si>
  <si>
    <t>MCCAFFREY MIDDLE</t>
  </si>
  <si>
    <t>MCCARDLE ELEMENTARY</t>
  </si>
  <si>
    <t>MCCARTHY CENTER/COURT/COMMUNITY</t>
  </si>
  <si>
    <t>MCCLELLAN HIGH (CONTINUATION)</t>
  </si>
  <si>
    <t>MCCLOUD ELEMENTARY</t>
  </si>
  <si>
    <t>MCCLOUD HIGH</t>
  </si>
  <si>
    <t>MCCLYMONDS HIGH</t>
  </si>
  <si>
    <t>MCCOPPIN (FRANK) ELEMENTARY</t>
  </si>
  <si>
    <t>MCCORD ELEMENTARY</t>
  </si>
  <si>
    <t>MCDOWELL ELEMENTARY</t>
  </si>
  <si>
    <t>MCFADDEN INTERMEDIATE</t>
  </si>
  <si>
    <t>MCFARLAND HIGH</t>
  </si>
  <si>
    <t>MCFARLAND INDEPENDENT</t>
  </si>
  <si>
    <t>MCFARLAND MIDDLE</t>
  </si>
  <si>
    <t>MCGILL SCHOOL OF SUCCESS</t>
  </si>
  <si>
    <t>MCKEE MIDDLE</t>
  </si>
  <si>
    <t>MCKEVETT ELEMENTARY</t>
  </si>
  <si>
    <t>MCKINLEY</t>
  </si>
  <si>
    <t>MCKINLEY AVENUE ELEMENTARY</t>
  </si>
  <si>
    <t>MCKINLEY ELEMENTARY</t>
  </si>
  <si>
    <t>MCKINLEY INSTITUTE OF TECHNOLOGY</t>
  </si>
  <si>
    <t>MCKINLEYVILLE HIGH</t>
  </si>
  <si>
    <t>MCKINLEYVILLE MIDDLE</t>
  </si>
  <si>
    <t>MCKINNA ELEMENTARY</t>
  </si>
  <si>
    <t>MCKINNON</t>
  </si>
  <si>
    <t>MCKITTRICK ELEMENTARY</t>
  </si>
  <si>
    <t>MCLANE HIGH</t>
  </si>
  <si>
    <t>MCLAREN (JOHN) CHILDREN CENTERS</t>
  </si>
  <si>
    <t>MCMANUS (JOHN A.) ELEMENTARY</t>
  </si>
  <si>
    <t>MCMILLIN (CORKY) ELEMENTARY</t>
  </si>
  <si>
    <t>MCNAIR CAMP</t>
  </si>
  <si>
    <t>MCNEAR ELEMENTARY</t>
  </si>
  <si>
    <t>MCPHERSON ELEMENTARY</t>
  </si>
  <si>
    <t>MCPHERSON MAGNET</t>
  </si>
  <si>
    <t>MCSWAIN ELEMENTARY</t>
  </si>
  <si>
    <t>MCSWEENY ELEMENTARY</t>
  </si>
  <si>
    <t>MEAD VALLEY ELEMENTARY</t>
  </si>
  <si>
    <t>MEADOW CREEK ELEMENTARY</t>
  </si>
  <si>
    <t>MEADOW ELEMENTARY</t>
  </si>
  <si>
    <t>MEADOW GREEN ELEMENTARY</t>
  </si>
  <si>
    <t>MEADOW HEIGHTS ELEMENTARY</t>
  </si>
  <si>
    <t>MEADOW HOMES ELEMENTARY</t>
  </si>
  <si>
    <t>MEADOW LANE ELEMENTARY</t>
  </si>
  <si>
    <t>MEADOW PARK</t>
  </si>
  <si>
    <t>MEADOW VIEW</t>
  </si>
  <si>
    <t>MEADOW VIEW ELEMENTARY</t>
  </si>
  <si>
    <t>MEADOWBROOK COMMUNITY DAY</t>
  </si>
  <si>
    <t>MEADOWBROOK MIDDLE</t>
  </si>
  <si>
    <t>MEADOWLARK ELEMENTARY</t>
  </si>
  <si>
    <t>MEADOWS ARTS AND TECHNOLOGY ELEMENTARY</t>
  </si>
  <si>
    <t>MEADOWS AVENUE ELEMENTARY</t>
  </si>
  <si>
    <t>MEADOWS ELEMENTARY</t>
  </si>
  <si>
    <t>MEAIRS ELEMENTARY</t>
  </si>
  <si>
    <t>MECCA ELEMENTARY</t>
  </si>
  <si>
    <t>MEDEA CREEK MIDDLE</t>
  </si>
  <si>
    <t>MEDIA COLLEGE PREPARATORY</t>
  </si>
  <si>
    <t>MEGAN COPE ELEMENTARY</t>
  </si>
  <si>
    <t>MEINERS OAKS ELEMENTARY</t>
  </si>
  <si>
    <t>MELBOURNE (ELLA P.) ELEMENTARY</t>
  </si>
  <si>
    <t>MELINDA HEIGHTS ELEMENTARY</t>
  </si>
  <si>
    <t>MELROSE AVENUE ELEMENTARY</t>
  </si>
  <si>
    <t>MELROSE ELEMENTARY</t>
  </si>
  <si>
    <t>MELROSE LEADERSHIP ACADEMY</t>
  </si>
  <si>
    <t>MELVILLE S. JACOBSON ELEMENTARY</t>
  </si>
  <si>
    <t>MELVIN AVENUE ELEMENTARY</t>
  </si>
  <si>
    <t>MEMORIAL SCHOLARS &amp; ATHLETES</t>
  </si>
  <si>
    <t>MENDENHALL WILLIAM CAMP</t>
  </si>
  <si>
    <t>MENDOCINO ALTERNATIVE</t>
  </si>
  <si>
    <t>MENDOCINO COUNTY COMMUNITY</t>
  </si>
  <si>
    <t>MENDOCINO COUNTY ROP</t>
  </si>
  <si>
    <t>MENDOCINO HIGH</t>
  </si>
  <si>
    <t>MENDOCINO K-8</t>
  </si>
  <si>
    <t>MENDOCINO SUNRISE HIGH</t>
  </si>
  <si>
    <t>MENDOTA COMMUNITY DAY</t>
  </si>
  <si>
    <t>MENDOTA CONTINUATION HIGH</t>
  </si>
  <si>
    <t>MENDOTA HIGH</t>
  </si>
  <si>
    <t>MENDOTA JUNIOR HIGH</t>
  </si>
  <si>
    <t>MENDOZA ELEMENTARY</t>
  </si>
  <si>
    <t>MENIFEE PRESCHOOL</t>
  </si>
  <si>
    <t>MENIFEE VALLEY MIDDLE</t>
  </si>
  <si>
    <t>MENLO AVENUE ELEMENTARY</t>
  </si>
  <si>
    <t>MENLO-ATHERTON HIGH</t>
  </si>
  <si>
    <t>MENTONE ELEMENTARY</t>
  </si>
  <si>
    <t>MERCED CITY SCHOOL DISTRICT COMMUNITY DAY</t>
  </si>
  <si>
    <t>MERCED COUNTY JUVENILE HALL/COMMUNITY</t>
  </si>
  <si>
    <t>MERCED COUNTY ROP</t>
  </si>
  <si>
    <t>MERCED COUNTY SPECIAL EDUCATION</t>
  </si>
  <si>
    <t>MERCED ELEMENTARY</t>
  </si>
  <si>
    <t>MERCED HIGH</t>
  </si>
  <si>
    <t>MERCED SCHOLARS CHARTER</t>
  </si>
  <si>
    <t>MERCEY SPRINGS ELEMENTARY</t>
  </si>
  <si>
    <t>MERIDIAN ELEMENTARY</t>
  </si>
  <si>
    <t>MERLE L. FULLER ELEMENTARY</t>
  </si>
  <si>
    <t>MERLINDA ELEMENTARY</t>
  </si>
  <si>
    <t>MERQUIN ELEMENTARY</t>
  </si>
  <si>
    <t>MERRILL F. WEST HIGH</t>
  </si>
  <si>
    <t>MERRITT TRACE ELEMENTARY</t>
  </si>
  <si>
    <t>MERTON E. HILL ELEMENTARY</t>
  </si>
  <si>
    <t>MERWIN ELEMENTARY</t>
  </si>
  <si>
    <t>MESA ELEMENTARY</t>
  </si>
  <si>
    <t>MESA GRANDE ELEMENTARY</t>
  </si>
  <si>
    <t>MESA HIGH</t>
  </si>
  <si>
    <t>MESA INTERMEDIATE</t>
  </si>
  <si>
    <t>MESA LINDA MIDDLE</t>
  </si>
  <si>
    <t>MESA MIDDLE</t>
  </si>
  <si>
    <t>MESA REGION COURT</t>
  </si>
  <si>
    <t>MESA ROBLES</t>
  </si>
  <si>
    <t>MESA VERDE ELEMENTARY</t>
  </si>
  <si>
    <t>MESA VERDE HIGH</t>
  </si>
  <si>
    <t>MESA VERDE MIDDLE</t>
  </si>
  <si>
    <t>MESA VIEW ELEMENTARY</t>
  </si>
  <si>
    <t>MESA VIEW MIDDLE</t>
  </si>
  <si>
    <t>MESQUITE CONTINUATION HIGH</t>
  </si>
  <si>
    <t>MESQUITE ELEMENTARY</t>
  </si>
  <si>
    <t>MESQUITE TRAILS ELEMENTARY</t>
  </si>
  <si>
    <t>METRO CENTRAL REGION COMMUNITY</t>
  </si>
  <si>
    <t>METRO CHARTER</t>
  </si>
  <si>
    <t>METRO EAST REGION COMMUNITY</t>
  </si>
  <si>
    <t>METRO REGION COMMUNITY</t>
  </si>
  <si>
    <t>METRO REGION COURT</t>
  </si>
  <si>
    <t>METRO SOUTH REGION COMMUNITY</t>
  </si>
  <si>
    <t>METROPOLITAN ARTS &amp; TECHNOLOGY HIGH</t>
  </si>
  <si>
    <t>METROPOLITAN CONTINUATION</t>
  </si>
  <si>
    <t>METWEST HIGH</t>
  </si>
  <si>
    <t>MEYLER STREET ELEMENTARY</t>
  </si>
  <si>
    <t>MICHAEL D'ARCY ELEMENTARY</t>
  </si>
  <si>
    <t>MICHAEL G. WICKMAN ELEMENTARY</t>
  </si>
  <si>
    <t>MICHAEL J. CASTORI ELEMENTARY</t>
  </si>
  <si>
    <t>MICHELLE OBAMA ELEMENTARY</t>
  </si>
  <si>
    <t>MICHELTORENA STREET ELEMENTARY</t>
  </si>
  <si>
    <t>MID VALLEY HIGH (CONTINUATION)</t>
  </si>
  <si>
    <t>MID-CITY'S PRESCOTT SCHOOL OF ENRICHED SCIENCES</t>
  </si>
  <si>
    <t>MIDDLE COLLEGE HIGH</t>
  </si>
  <si>
    <t>MIDDLE GRADES COMMUNITY DAY</t>
  </si>
  <si>
    <t>MIDDLETON PRIMARY CENTER</t>
  </si>
  <si>
    <t>MIDDLETON STREET ELEMENTARY</t>
  </si>
  <si>
    <t>MIDDLETOWN COMMUNITY DAY</t>
  </si>
  <si>
    <t>MIDDLETOWN ELEMENTARY COMMUNITY DAY</t>
  </si>
  <si>
    <t>MIDDLETOWN HIGH</t>
  </si>
  <si>
    <t>MIDDLETOWN MIDDLE</t>
  </si>
  <si>
    <t>MIDLAND ELEMENTARY</t>
  </si>
  <si>
    <t>MIDROSE HIGH</t>
  </si>
  <si>
    <t>MIDTOWN COMMUNITY</t>
  </si>
  <si>
    <t>MIDWAY ELEMENTARY</t>
  </si>
  <si>
    <t>MIGUEL HIDALGO ELEMENTARY</t>
  </si>
  <si>
    <t>MIGUEL LEONIS CONTINUATION</t>
  </si>
  <si>
    <t>MIGUELITO ELEMENTARY</t>
  </si>
  <si>
    <t>MILDRED B. JANSON ELEMENTARY</t>
  </si>
  <si>
    <t>MILES AVENUE ELEMENTARY</t>
  </si>
  <si>
    <t>MILES P. RICHMOND</t>
  </si>
  <si>
    <t>MILES W. CULWELL COMMUNITY DAY</t>
  </si>
  <si>
    <t>MILESTONES COOPERATIVE CHARTER</t>
  </si>
  <si>
    <t>MILK (HARVEY) CIVIL RIGHTS ELEMENTARY</t>
  </si>
  <si>
    <t>MILL ELEMENTARY</t>
  </si>
  <si>
    <t>MILL STREET ELEMENTARY</t>
  </si>
  <si>
    <t>MILL VALLEY MIDDLE</t>
  </si>
  <si>
    <t>MILLARD MCCOLLAM ELEMENTARY</t>
  </si>
  <si>
    <t>MILLBROOK ELEMENTARY</t>
  </si>
  <si>
    <t>MILLENNIAL TECH MIDDLE</t>
  </si>
  <si>
    <t>MILLENNIUM CHARTER</t>
  </si>
  <si>
    <t>MILLENNIUM CHARTER HIGH</t>
  </si>
  <si>
    <t>MILLENNIUM HIGH ALTERNATIVE</t>
  </si>
  <si>
    <t>MILLER (ISAAC) ELEMENTARY</t>
  </si>
  <si>
    <t>MILLER CREEK MIDDLE</t>
  </si>
  <si>
    <t>MILLER ELEMENTARY</t>
  </si>
  <si>
    <t>MILLER'S HILL</t>
  </si>
  <si>
    <t>MILLER FRED C. CAMP</t>
  </si>
  <si>
    <t>MILLIKAN HIGH</t>
  </si>
  <si>
    <t>MILLIKIN ELEMENTARY</t>
  </si>
  <si>
    <t>MILLS HIGH</t>
  </si>
  <si>
    <t>MILLS MIDDLE</t>
  </si>
  <si>
    <t>MILLSWOOD MIDDLE</t>
  </si>
  <si>
    <t>MILLVIEW ELEMENTARY</t>
  </si>
  <si>
    <t>MILLVILLE ELEMENTARY</t>
  </si>
  <si>
    <t>MILOR CONTINUATION HIGH</t>
  </si>
  <si>
    <t>MILPITAS COMMUNITY DAY</t>
  </si>
  <si>
    <t>MILPITAS HIGH</t>
  </si>
  <si>
    <t>MINARETS CHARTER HIGH</t>
  </si>
  <si>
    <t>MINARETS HIGH</t>
  </si>
  <si>
    <t>MINER (GEORGE) ELEMENTARY</t>
  </si>
  <si>
    <t>MINERAL ELEMENTARY</t>
  </si>
  <si>
    <t>MINERAL KING ELEMENTARY</t>
  </si>
  <si>
    <t>MINNIE CANNON ELEMENTARY</t>
  </si>
  <si>
    <t>MINT CANYON COMMUNITY ELEMENTARY</t>
  </si>
  <si>
    <t>MINTIE WHITE ELEMENTARY</t>
  </si>
  <si>
    <t>MIRA CATALINA ELEMENTARY</t>
  </si>
  <si>
    <t>MIRA COSTA HIGH</t>
  </si>
  <si>
    <t>MIRA LOMA HIGH</t>
  </si>
  <si>
    <t>MIRA LOMA MIDDLE</t>
  </si>
  <si>
    <t>MIRA MESA HIGH</t>
  </si>
  <si>
    <t>MIRA MONTE ELEMENTARY</t>
  </si>
  <si>
    <t>MIRA MONTE HIGH</t>
  </si>
  <si>
    <t>MIRA MONTE HIGH (ALTERNATIVE)</t>
  </si>
  <si>
    <t>MIRA VISTA ELEMENTARY</t>
  </si>
  <si>
    <t>MIRALESTE INTERMEDIATE</t>
  </si>
  <si>
    <t>MIRALESTE KINDERGARTEN</t>
  </si>
  <si>
    <t>MIRALOMA ELEMENTARY</t>
  </si>
  <si>
    <t>MIRAMAR RANCH ELEMENTARY</t>
  </si>
  <si>
    <t>MIRAMONTE ELEMENTARY</t>
  </si>
  <si>
    <t>MIRAMONTE HIGH</t>
  </si>
  <si>
    <t>MIRUS SECONDARY</t>
  </si>
  <si>
    <t>MISSION AVENUE OPEN ELEMENTARY</t>
  </si>
  <si>
    <t>MISSION BAY HIGH</t>
  </si>
  <si>
    <t>MISSION BELL ELEMENTARY</t>
  </si>
  <si>
    <t>MISSION COMMUNITY DAY</t>
  </si>
  <si>
    <t>MISSION CONTINUATION</t>
  </si>
  <si>
    <t>MISSION CREST ELEMENTARY</t>
  </si>
  <si>
    <t>MISSION EDUCATION CENTER</t>
  </si>
  <si>
    <t>MISSION ELEMENTARY</t>
  </si>
  <si>
    <t>MISSION ESTANCIA ELEMENTARY</t>
  </si>
  <si>
    <t>MISSION HIGH</t>
  </si>
  <si>
    <t>MISSION HILL MIDDLE</t>
  </si>
  <si>
    <t>MISSION HILLS HIGH</t>
  </si>
  <si>
    <t>MISSION MEADOWS ELEMENTARY</t>
  </si>
  <si>
    <t>MISSION MIDDLE</t>
  </si>
  <si>
    <t>MISSION OAK HIGH</t>
  </si>
  <si>
    <t>MISSION PARK ELEMENTARY</t>
  </si>
  <si>
    <t>MISSION PREPARATORY</t>
  </si>
  <si>
    <t>MISSION SAN JOSE ELEMENTARY</t>
  </si>
  <si>
    <t>MISSION SAN JOSE HIGH</t>
  </si>
  <si>
    <t>MISSION TRAILS ROP</t>
  </si>
  <si>
    <t>MISSION VALLEY</t>
  </si>
  <si>
    <t>MISSION VALLEY ELEMENTARY</t>
  </si>
  <si>
    <t>MISSION VALLEY ROCP</t>
  </si>
  <si>
    <t>MISSION VIEJO HIGH</t>
  </si>
  <si>
    <t>MISSION VIEW PUBLIC</t>
  </si>
  <si>
    <t>MISSION VISTA HIGH</t>
  </si>
  <si>
    <t>MISTLETOE ELEMENTARY</t>
  </si>
  <si>
    <t>MIT ACADEMY</t>
  </si>
  <si>
    <t>MITCHELL COMMUNITY ELEMENTARY</t>
  </si>
  <si>
    <t>MITCHELL ELEMENTARY</t>
  </si>
  <si>
    <t>MITCHELL INTERMEDIATE</t>
  </si>
  <si>
    <t>MIWOK VALLEY LANGUAGE ACADEMY CHARTER</t>
  </si>
  <si>
    <t>MOCCASIN COMMUNITY DAY</t>
  </si>
  <si>
    <t>MODESTO HIGH</t>
  </si>
  <si>
    <t>MODESTO VIRTUAL ACADEMY</t>
  </si>
  <si>
    <t>MODOC COUNTY COMMUNITY - ALTURAS</t>
  </si>
  <si>
    <t>MODOC COUNTY COMMUNITY - TULELAKE</t>
  </si>
  <si>
    <t>MODOC COUNTY JUVENILE COURT</t>
  </si>
  <si>
    <t>MODOC COUNTY ROP</t>
  </si>
  <si>
    <t>MODOC COUNTY SPECIAL EDUCATION</t>
  </si>
  <si>
    <t>MODOC HIGH</t>
  </si>
  <si>
    <t>MODOC MIDDLE</t>
  </si>
  <si>
    <t>MOFFETT ELEMENTARY</t>
  </si>
  <si>
    <t>MOIOLA (FRED) ELEMENTARY</t>
  </si>
  <si>
    <t>MOJAVE ELEMENTARY</t>
  </si>
  <si>
    <t>MOJAVE HIGH</t>
  </si>
  <si>
    <t>MOJAVE JR./SR. HIGH</t>
  </si>
  <si>
    <t>MOJAVE RIVER ACADEMY</t>
  </si>
  <si>
    <t>MOJAVE VISTA ELEMENTARY</t>
  </si>
  <si>
    <t>MOKELUMNE HIGH (CONTINUATION)</t>
  </si>
  <si>
    <t>MOKELUMNE HILL ELEMENTARY</t>
  </si>
  <si>
    <t>MOLLY S. BAKMAN ELEMENTARY</t>
  </si>
  <si>
    <t>MONACHE HIGH</t>
  </si>
  <si>
    <t>MONARCH</t>
  </si>
  <si>
    <t>MONARCH GROVE ELEMENTARY</t>
  </si>
  <si>
    <t>MONARCH LEARNING CENTER</t>
  </si>
  <si>
    <t>MONETA CONTINUATION</t>
  </si>
  <si>
    <t>MONO COUNTY OPPORTUNITY</t>
  </si>
  <si>
    <t>MONO COUNTY ROP</t>
  </si>
  <si>
    <t>MONROE (ALBERT F.) MIDDLE</t>
  </si>
  <si>
    <t>MONROE ELEMENTARY</t>
  </si>
  <si>
    <t>MONROE HIGH (CONTINUATION)</t>
  </si>
  <si>
    <t>MONROE K-8</t>
  </si>
  <si>
    <t>MONROE MIDDLE</t>
  </si>
  <si>
    <t>MONROVIA HIGH</t>
  </si>
  <si>
    <t>MONSENOR OSCAR ROMERO CHARTER MIDDLE</t>
  </si>
  <si>
    <t>MONSON-SULTANA ELEMENTARY</t>
  </si>
  <si>
    <t>MONTA LOMA ELEMENTARY</t>
  </si>
  <si>
    <t>MONTA VISTA HIGH</t>
  </si>
  <si>
    <t>MONTAGUE CHARTER ACADEMY</t>
  </si>
  <si>
    <t>MONTAGUE COMMUNITY DAY</t>
  </si>
  <si>
    <t>MONTAGUE ELEMENTARY</t>
  </si>
  <si>
    <t>MONTAIR ELEMENTARY</t>
  </si>
  <si>
    <t>MONTALVIN MANOR ELEMENTARY</t>
  </si>
  <si>
    <t>MONTALVO ELEMENTARY</t>
  </si>
  <si>
    <t>MONTARA AVENUE ELEMENTARY</t>
  </si>
  <si>
    <t>MONTARA ELEMENTARY</t>
  </si>
  <si>
    <t>MONTCLAIR ELEMENTARY</t>
  </si>
  <si>
    <t>MONTCLAIR HIGH</t>
  </si>
  <si>
    <t>MONTCLAIRE ELEMENTARY</t>
  </si>
  <si>
    <t>MONTE GARDENS ELEMENTARY</t>
  </si>
  <si>
    <t>MONTE RIO ELEMENTARY</t>
  </si>
  <si>
    <t>MONTE VERDE ELEMENTARY</t>
  </si>
  <si>
    <t>MONTE VISTA</t>
  </si>
  <si>
    <t>MONTE VISTA ELEMENTARY</t>
  </si>
  <si>
    <t>MONTE VISTA HIGH</t>
  </si>
  <si>
    <t>MONTE VISTA MIDDLE</t>
  </si>
  <si>
    <t>MONTE VISTA STREET ELEMENTARY</t>
  </si>
  <si>
    <t>MONTEBELLO COMMUNITY DAY</t>
  </si>
  <si>
    <t>MONTEBELLO GARDENS ELEMENTARY</t>
  </si>
  <si>
    <t>MONTEBELLO HIGH</t>
  </si>
  <si>
    <t>MONTEBELLO INTERMEDIATE</t>
  </si>
  <si>
    <t>MONTEBELLO PARK ELEMENTARY</t>
  </si>
  <si>
    <t>MONTECITO HIGH (CONTINUATION)</t>
  </si>
  <si>
    <t>MONTECITO UNION</t>
  </si>
  <si>
    <t>MONTEMALAGA ELEMENTARY</t>
  </si>
  <si>
    <t>MONTERA ELEMENTARY</t>
  </si>
  <si>
    <t>MONTERA MIDDLE</t>
  </si>
  <si>
    <t>MONTEREY BAY CHARTER</t>
  </si>
  <si>
    <t>MONTEREY CONTINUATION</t>
  </si>
  <si>
    <t>MONTEREY COUNTY HOME CHARTER</t>
  </si>
  <si>
    <t>MONTEREY COUNTY SPECIAL EDUCATION</t>
  </si>
  <si>
    <t>MONTEREY ELEMENTARY</t>
  </si>
  <si>
    <t>MONTEREY HEIGHTS ELEMENTARY</t>
  </si>
  <si>
    <t>MONTEREY HIGH</t>
  </si>
  <si>
    <t>MONTEREY HIGH (CONTINUATION)</t>
  </si>
  <si>
    <t>MONTEREY HIGHLANDS ELEMENTARY</t>
  </si>
  <si>
    <t>MONTEREY HILLS ELEMENTARY</t>
  </si>
  <si>
    <t>MONTEREY PARK ELEMENTARY</t>
  </si>
  <si>
    <t>MONTEREY PENINSULA UNIFIED SCHOOL DISTRICT COMMUNI</t>
  </si>
  <si>
    <t>MONTEREY PENINSULA USD COMM DAY MIDDLE</t>
  </si>
  <si>
    <t>MONTEREY RIDGE ELEMENTARY</t>
  </si>
  <si>
    <t>MONTEREY ROAD ELEMENTARY</t>
  </si>
  <si>
    <t>MONTEREY TRAIL HIGH</t>
  </si>
  <si>
    <t>MONTEREY VISTA ELEMENTARY</t>
  </si>
  <si>
    <t>MONTEVIDEO ELEMENTARY</t>
  </si>
  <si>
    <t>MONTEZUMA ELEMENTARY</t>
  </si>
  <si>
    <t>MONTGOMERY (JOHN J.) ELEMENTARY</t>
  </si>
  <si>
    <t>MONTGOMERY CREEK ELEMENTARY</t>
  </si>
  <si>
    <t>MONTGOMERY ELEMENTARY</t>
  </si>
  <si>
    <t>MONTGOMERY HIGH</t>
  </si>
  <si>
    <t>MONTGOMERY MIDDLE</t>
  </si>
  <si>
    <t>MONTGOMERY SENIOR HIGH</t>
  </si>
  <si>
    <t>MONTICELLO ELEMENTARY</t>
  </si>
  <si>
    <t>MONTVUE ELEMENTARY</t>
  </si>
  <si>
    <t>MONUMENT ALTERNATIVE/CONTINUATION</t>
  </si>
  <si>
    <t>MONUMENT MIDDLE</t>
  </si>
  <si>
    <t>MOORE MIDDLE</t>
  </si>
  <si>
    <t>MOORPARK HIGH</t>
  </si>
  <si>
    <t>MORADA MIDDLE</t>
  </si>
  <si>
    <t>MORELAND MIDDLE</t>
  </si>
  <si>
    <t>MORELLO PARK ELEMENTARY</t>
  </si>
  <si>
    <t>MORENO ELEMENTARY</t>
  </si>
  <si>
    <t>MORENO HIGH (CONTINUATION)</t>
  </si>
  <si>
    <t>MORENO VALLEY COMMUNITY LEARNING CENTER</t>
  </si>
  <si>
    <t>MORENO VALLEY HIGH</t>
  </si>
  <si>
    <t>MOREY AVENUE EARLY CHILDHOOD DEVELOPMENT</t>
  </si>
  <si>
    <t>MORGAN ELEMENTARY</t>
  </si>
  <si>
    <t>MORGAN JR./SR. HIGH</t>
  </si>
  <si>
    <t>MORGAN/KINCAID PREPARATORY SCHOOL OF INTEGRATED ST</t>
  </si>
  <si>
    <t>MORNING CREEK ELEMENTARY</t>
  </si>
  <si>
    <t>MORNINGSIDE</t>
  </si>
  <si>
    <t>MORNINGSIDE ELEMENTARY</t>
  </si>
  <si>
    <t>MORNINGSIDE HIGH</t>
  </si>
  <si>
    <t>MORONGO VALLEY ELEMENTARY</t>
  </si>
  <si>
    <t>MORRICE SCHAEFER CHARTER</t>
  </si>
  <si>
    <t>MORRILL MIDDLE</t>
  </si>
  <si>
    <t>MORRIS E. DAILEY CHARTER ELEMENTARY</t>
  </si>
  <si>
    <t>MORRIS ELEMENTARY</t>
  </si>
  <si>
    <t>MORRIS K. HAMASAKI ELEMENTARY</t>
  </si>
  <si>
    <t>MORRO BAY HIGH</t>
  </si>
  <si>
    <t>MORSE AVENUE ELEMENTARY</t>
  </si>
  <si>
    <t>MORSE HIGH</t>
  </si>
  <si>
    <t>MOSAICA ONLINE ACADEMY OF SOUTHERN CALIFORNIA</t>
  </si>
  <si>
    <t>MOSCONE (GEORGE R.) ELEMENTARY</t>
  </si>
  <si>
    <t>MOSSDALE ELEMENTARY</t>
  </si>
  <si>
    <t>MOULTON ELEMENTARY</t>
  </si>
  <si>
    <t>MOUND ELEMENTARY</t>
  </si>
  <si>
    <t>MOUNT MIGUEL HIGH</t>
  </si>
  <si>
    <t>MOUNT PLEASANT HIGH</t>
  </si>
  <si>
    <t>MOUNT TORO HIGH</t>
  </si>
  <si>
    <t>MOUNTAIN AVENUE ELEMENTARY</t>
  </si>
  <si>
    <t>MOUNTAIN CREEK MIDDLE</t>
  </si>
  <si>
    <t>MOUNTAIN ELEMENTARY</t>
  </si>
  <si>
    <t>MOUNTAIN EMPIRE HIGH</t>
  </si>
  <si>
    <t>MOUNTAIN EMPIRE SPECIAL EDUCATION PRESCHOOL</t>
  </si>
  <si>
    <t>MOUNTAIN HEIGHTS ACADEMY</t>
  </si>
  <si>
    <t>MOUNTAIN HIGH</t>
  </si>
  <si>
    <t>MOUNTAIN HOME CHARTER (ALTERNATIVE)</t>
  </si>
  <si>
    <t>MOUNTAIN HOUSE ELEMENTARY</t>
  </si>
  <si>
    <t>MOUNTAIN LAKES HIGH</t>
  </si>
  <si>
    <t>MOUNTAIN MEADOW HIGH</t>
  </si>
  <si>
    <t>MOUNTAIN MEADOWS ELEMENTARY</t>
  </si>
  <si>
    <t>MOUNTAIN OAKS</t>
  </si>
  <si>
    <t>MOUNTAIN OAKS HIGH</t>
  </si>
  <si>
    <t>MOUNTAIN PARK</t>
  </si>
  <si>
    <t>MOUNTAIN PEAK CHARTER</t>
  </si>
  <si>
    <t>MOUNTAIN REGION COURT</t>
  </si>
  <si>
    <t>MOUNTAIN SHADOWS MIDDLE</t>
  </si>
  <si>
    <t>MOUNTAIN VALLEY COMMUNITY DAY</t>
  </si>
  <si>
    <t>MOUNTAIN VIEW (ALTERNATIVE)</t>
  </si>
  <si>
    <t>MOUNTAIN VIEW ELEMENTARY</t>
  </si>
  <si>
    <t>MOUNTAIN VIEW HIGH</t>
  </si>
  <si>
    <t>MOUNTAIN VIEW HIGH (CONTINUATION)</t>
  </si>
  <si>
    <t>MOUNTAIN VIEW LEARNING ACADEMY</t>
  </si>
  <si>
    <t>MOUNTAIN VIEW MIDDLE</t>
  </si>
  <si>
    <t>MOUNTAIN VIEW MONTESSORI CHARTER</t>
  </si>
  <si>
    <t>MOUNTAIN VISTA</t>
  </si>
  <si>
    <t>MOUNTAIN VISTA EDUCATIONAL CENTER</t>
  </si>
  <si>
    <t>MOUNTAIN VISTA ELEMENTARY</t>
  </si>
  <si>
    <t>MOUNTAIN VISTA MIDDLE</t>
  </si>
  <si>
    <t>MOUNTAINVIEW ELEMENTARY</t>
  </si>
  <si>
    <t>MT. BALDY JOINT ELEMENTARY</t>
  </si>
  <si>
    <t>MT. BURNEY SPECIAL EDUCATION CENTER</t>
  </si>
  <si>
    <t>MT. CARMEL HIGH</t>
  </si>
  <si>
    <t>MT. DIABLO ELEMENTARY</t>
  </si>
  <si>
    <t>MT. DIABLO HIGH</t>
  </si>
  <si>
    <t>MT. EDEN HIGH</t>
  </si>
  <si>
    <t>MT. EVEREST ACADEMY</t>
  </si>
  <si>
    <t>MT. GEORGE INTERNATIONAL</t>
  </si>
  <si>
    <t>MT. GLEASON MIDDLE</t>
  </si>
  <si>
    <t>MT. LASSEN CHARTER</t>
  </si>
  <si>
    <t>MT. LASSIC HIGH (CONTINUATION)</t>
  </si>
  <si>
    <t>MT. LUKENS CONTINUATION</t>
  </si>
  <si>
    <t>MT. MADONNA HIGH</t>
  </si>
  <si>
    <t>MT. MCKINLEY</t>
  </si>
  <si>
    <t>MT. OLIVE INNOVATION AND TECHNOLOGY HIGH</t>
  </si>
  <si>
    <t>MT. PLEASANT ELEMENTARY</t>
  </si>
  <si>
    <t>MT. SAN JACINTO HIGH</t>
  </si>
  <si>
    <t>MT. SHASTA ELEMENTARY</t>
  </si>
  <si>
    <t>MT. SHASTA HIGH</t>
  </si>
  <si>
    <t>MT. TALLAC HIGH</t>
  </si>
  <si>
    <t>MT. VERNON ELEMENTARY</t>
  </si>
  <si>
    <t>MT. WASHINGTON ELEMENTARY</t>
  </si>
  <si>
    <t>MT. WHITNEY HIGH</t>
  </si>
  <si>
    <t>MT. WOODSON ELEMENTARY</t>
  </si>
  <si>
    <t>MUELLER CHARTER (ROBERT L.)</t>
  </si>
  <si>
    <t>MUIR (JOHN) ELEMENTARY</t>
  </si>
  <si>
    <t>MUIR CHARTER</t>
  </si>
  <si>
    <t>MUIR ELEMENTARY</t>
  </si>
  <si>
    <t>MUIR K-8</t>
  </si>
  <si>
    <t>MUIRLANDS MIDDLE</t>
  </si>
  <si>
    <t>MULBERRY ELEMENTARY</t>
  </si>
  <si>
    <t>MULCAHY MIDDLE</t>
  </si>
  <si>
    <t>MULTICULTURAL LEARNING CENTER</t>
  </si>
  <si>
    <t>MULTNOMAH STREET ELEMENTARY</t>
  </si>
  <si>
    <t>MUNSEY ELEMENTARY</t>
  </si>
  <si>
    <t>MUNZ JOHN CAMP</t>
  </si>
  <si>
    <t>MUPU ELEMENTARY</t>
  </si>
  <si>
    <t>MURCHISON STREET ELEMENTARY</t>
  </si>
  <si>
    <t>MURDOCK ELEMENTARY</t>
  </si>
  <si>
    <t>MURDOCK-PORTAL ELEMENTARY</t>
  </si>
  <si>
    <t>MURPHY ELEMENTARY</t>
  </si>
  <si>
    <t>MURPHY RANCH ELEMENTARY</t>
  </si>
  <si>
    <t>MURRAY ELEMENTARY</t>
  </si>
  <si>
    <t>MURRAY MANOR ELEMENTARY</t>
  </si>
  <si>
    <t>MURRAY MIDDLE</t>
  </si>
  <si>
    <t>MURRIETA ELEMENTARY</t>
  </si>
  <si>
    <t>MURRIETA MESA HIGH</t>
  </si>
  <si>
    <t>MURRIETA VALLEY HIGH</t>
  </si>
  <si>
    <t>MURWOOD ELEMENTARY</t>
  </si>
  <si>
    <t>MUSCATEL MIDDLE</t>
  </si>
  <si>
    <t>MUSCOY ELEMENTARY</t>
  </si>
  <si>
    <t>MUSEUM</t>
  </si>
  <si>
    <t>MVWSD HOME &amp; HOSPITAL</t>
  </si>
  <si>
    <t>MYERS ELEMENTARY</t>
  </si>
  <si>
    <t>MYFORD ELEMENTARY</t>
  </si>
  <si>
    <t>MYRA A. NOBLE ELEMENTARY</t>
  </si>
  <si>
    <t>MYRA LINN ELEMENTARY</t>
  </si>
  <si>
    <t>MYRON D. WITTER ELEMENTARY</t>
  </si>
  <si>
    <t>MYRTLE AVENUE ELEMENTARY</t>
  </si>
  <si>
    <t>N.A. CHADERJIAN HIGH</t>
  </si>
  <si>
    <t>N.E.W. ACADEMY CANOGA PARK</t>
  </si>
  <si>
    <t>N.E.W. ACADEMY OF SCIENCE AND ARTS</t>
  </si>
  <si>
    <t>NANCY CORY ELEMENTARY</t>
  </si>
  <si>
    <t>NANCY R. KORDYAK ELEMENTARY</t>
  </si>
  <si>
    <t>NAPA COUNTY COMMUNITY</t>
  </si>
  <si>
    <t>NAPA COUNTY JUVENILE HALL/COURT</t>
  </si>
  <si>
    <t>NAPA COUNTY OPPORTUNITY</t>
  </si>
  <si>
    <t>NAPA COUNTY ROP</t>
  </si>
  <si>
    <t>NAPA HIGH</t>
  </si>
  <si>
    <t>NAPA JUNCTION ELEMENTARY</t>
  </si>
  <si>
    <t>NAPA PRESCHOOL PROGRAM</t>
  </si>
  <si>
    <t>NAPA STREET ELEMENTARY</t>
  </si>
  <si>
    <t>NAPA VALLEY INDEPENDENT STUDIES</t>
  </si>
  <si>
    <t>NAPA VALLEY LANGUAGE ACADEMY</t>
  </si>
  <si>
    <t>NAPLES ELEMENTARY</t>
  </si>
  <si>
    <t>NARANCA ELEMENTARY</t>
  </si>
  <si>
    <t>NATHANIEL NARBONNE SENIOR HIGH</t>
  </si>
  <si>
    <t>NATIONAL CITY MIDDLE</t>
  </si>
  <si>
    <t>NATIONAL UNIVERSITY ACADEMY</t>
  </si>
  <si>
    <t>NATIONAL UNIVERSITY ACADEMY - ORANGE CENTER</t>
  </si>
  <si>
    <t>NATIONAL UNIVERSITY ACADEMY ARMONA</t>
  </si>
  <si>
    <t>NATIVIDAD ELEMENTARY</t>
  </si>
  <si>
    <t>NATOMA STATION ELEMENTARY</t>
  </si>
  <si>
    <t>NATOMAS CHARTER</t>
  </si>
  <si>
    <t>NATOMAS HIGH</t>
  </si>
  <si>
    <t>NATOMAS MIDDLE</t>
  </si>
  <si>
    <t>NATOMAS PACIFIC PATHWAYS PREP</t>
  </si>
  <si>
    <t>NATOMAS PACIFIC PATHWAYS PREP MIDDLE</t>
  </si>
  <si>
    <t>NATOMAS PARK ELEMENTARY</t>
  </si>
  <si>
    <t>NATURAL HIGH (CONTINUATION)</t>
  </si>
  <si>
    <t>NAVELENCIA MIDDLE</t>
  </si>
  <si>
    <t>NAVIGATOR ELEMENTARY</t>
  </si>
  <si>
    <t>NEA COMMUNITY LEARNING CENTER</t>
  </si>
  <si>
    <t>NEAL DOW ELEMENTARY</t>
  </si>
  <si>
    <t>NEEDLES HIGH</t>
  </si>
  <si>
    <t>NEEDLES MIDDLE</t>
  </si>
  <si>
    <t>NEIL A. ARMSTRONG ELEMENTARY</t>
  </si>
  <si>
    <t>NEIL CUMMINS ELEMENTARY</t>
  </si>
  <si>
    <t>NEIL HAFLEY ELEMENTARY</t>
  </si>
  <si>
    <t>NELDA MUNDY ELEMENTARY</t>
  </si>
  <si>
    <t>NELL DAWSON ELEMENTARY</t>
  </si>
  <si>
    <t>NELLIE N. COFFMAN MIDDLE</t>
  </si>
  <si>
    <t>NELSON AVENUE MIDDLE</t>
  </si>
  <si>
    <t>NELSON ELEMENTARY</t>
  </si>
  <si>
    <t>NELSON S. DILWORTH ELEMENTARY</t>
  </si>
  <si>
    <t>NESBIT ELEMENTARY</t>
  </si>
  <si>
    <t>NESTLE AVENUE CHARTER</t>
  </si>
  <si>
    <t>NESTOR LANGUAGE ACADEMY CHARTER</t>
  </si>
  <si>
    <t>NETTIE L. WAITE MIDDLE</t>
  </si>
  <si>
    <t>NEVADA ADULT</t>
  </si>
  <si>
    <t>NEVADA AVENUE ELEMENTARY</t>
  </si>
  <si>
    <t>NEVADA CITY CHARTER</t>
  </si>
  <si>
    <t>NEVADA CITY PRESCHOOL</t>
  </si>
  <si>
    <t>NEVADA CITY SCHOOL OF THE ARTS</t>
  </si>
  <si>
    <t>NEVADA COUNTY ACADEMY OF LEARNING</t>
  </si>
  <si>
    <t>NEVADA COUNTY SPECIAL EDUCATION</t>
  </si>
  <si>
    <t>NEVADA UNION HIGH</t>
  </si>
  <si>
    <t>NEVIN AVENUE ELEMENTARY</t>
  </si>
  <si>
    <t>NEW BEGINNINGS ACADEMY</t>
  </si>
  <si>
    <t>NEW BRIGHTON MIDDLE</t>
  </si>
  <si>
    <t>NEW CITY</t>
  </si>
  <si>
    <t>NEW DAY ACADEMY</t>
  </si>
  <si>
    <t>NEW DAY CHARTER</t>
  </si>
  <si>
    <t>NEW DESIGNS CHARTER</t>
  </si>
  <si>
    <t>NEW DESIGNS CHARTER SCHOOL-WATTS</t>
  </si>
  <si>
    <t>NEW HAVEN COMMUNITY DAY</t>
  </si>
  <si>
    <t>NEW HAVEN ELEMENTARY</t>
  </si>
  <si>
    <t>NEW HEIGHTS CHARTER</t>
  </si>
  <si>
    <t>NEW HIGHLAND ACADEMY</t>
  </si>
  <si>
    <t>NEW HOPE ELEMENTARY</t>
  </si>
  <si>
    <t>NEW HORIZON HIGH</t>
  </si>
  <si>
    <t>NEW HORIZONS</t>
  </si>
  <si>
    <t>NEW JERUSALEM</t>
  </si>
  <si>
    <t>NEW JERUSALEM ELEMENTARY</t>
  </si>
  <si>
    <t>NEW LEXINGTON ELEMENTARY</t>
  </si>
  <si>
    <t>NEW LOS ANGELES CHARTER</t>
  </si>
  <si>
    <t>NEW MILLENNIUM INSTITUTE OF EDUCATION CHARTER</t>
  </si>
  <si>
    <t>NEW MILLENNIUM SECONDARY</t>
  </si>
  <si>
    <t>NEW REPUBLIC ELEMENTARY</t>
  </si>
  <si>
    <t>NEW RIVER ELEMENTARY</t>
  </si>
  <si>
    <t>NEW SCHOOL COMMUNITY DAY</t>
  </si>
  <si>
    <t>NEW SPIRIT CHARTER ACADEMY</t>
  </si>
  <si>
    <t>NEW TECHNOLOGY HIGH</t>
  </si>
  <si>
    <t>NEW TEMPLE</t>
  </si>
  <si>
    <t>NEW TRADITIONS ELEMENTARY</t>
  </si>
  <si>
    <t>NEW VALLEY CONTINUATION HIGH</t>
  </si>
  <si>
    <t>NEW VILLAGE GIRLS ACADEMY</t>
  </si>
  <si>
    <t>NEW VISION HIGH</t>
  </si>
  <si>
    <t>NEW VISION MIDDLE</t>
  </si>
  <si>
    <t>NEW VISTA MIDDLE</t>
  </si>
  <si>
    <t>NEW WEST CHARTER</t>
  </si>
  <si>
    <t>NEWARK JUNIOR HIGH</t>
  </si>
  <si>
    <t>NEWARK MEMORIAL HIGH</t>
  </si>
  <si>
    <t>NEWBERRY SPRINGS ELEMENTARY</t>
  </si>
  <si>
    <t>NEWBURY PARK HIGH</t>
  </si>
  <si>
    <t>NEWCASTLE CHARTER</t>
  </si>
  <si>
    <t>NEWCASTLE ELEMENTARY</t>
  </si>
  <si>
    <t>NEWCASTLE VIRTUAL LEARNING ACADEMY</t>
  </si>
  <si>
    <t>NEWCOMB ACADEMY</t>
  </si>
  <si>
    <t>NEWELL ELEMENTARY</t>
  </si>
  <si>
    <t>NEWHALL ELEMENTARY</t>
  </si>
  <si>
    <t>NEWHART MIDDLE</t>
  </si>
  <si>
    <t>NEWHOPE ELEMENTARY</t>
  </si>
  <si>
    <t>NEWLAND (WILLIAM T.) ELEMENTARY</t>
  </si>
  <si>
    <t>NEWMAN ELEMENTARY</t>
  </si>
  <si>
    <t>NEWMAN-CROWS LANDING INDEPENDENT STUDY</t>
  </si>
  <si>
    <t>NEWMARK ELEMENTARY</t>
  </si>
  <si>
    <t>NEWPORT COAST ELEMENTARY</t>
  </si>
  <si>
    <t>NEWPORT ELEMENTARY</t>
  </si>
  <si>
    <t>NEWPORT HARBOR HIGH</t>
  </si>
  <si>
    <t>NEWPORT HEIGHTS ELEMENTARY</t>
  </si>
  <si>
    <t>NEWTON MIDDLE</t>
  </si>
  <si>
    <t>NEXUS ACADEMY</t>
  </si>
  <si>
    <t>NICASIO</t>
  </si>
  <si>
    <t>NICHOLAS ELEMENTARY</t>
  </si>
  <si>
    <t>NICHOLS ELEMENTARY</t>
  </si>
  <si>
    <t>NICOLAS JUNIOR HIGH</t>
  </si>
  <si>
    <t>NICOLAS VALLEY ELEMENTARY</t>
  </si>
  <si>
    <t>NICOLAYSEN COMMUNITY DAY</t>
  </si>
  <si>
    <t>NICOLET MIDDLE</t>
  </si>
  <si>
    <t>NIDORF BARRY J. JUVENILE HALL</t>
  </si>
  <si>
    <t>NIEMES (JOHN H.) ELEMENTARY</t>
  </si>
  <si>
    <t>NIGHTINGALE CHARTER</t>
  </si>
  <si>
    <t>NIGUEL HILLS MIDDLE</t>
  </si>
  <si>
    <t>NILE GARDEN ELEMENTARY</t>
  </si>
  <si>
    <t>NILES ELEMENTARY</t>
  </si>
  <si>
    <t>NINETY-FIFTH STREET ELEMENTARY</t>
  </si>
  <si>
    <t>NINETY-NINTH STREET ELEMENTARY</t>
  </si>
  <si>
    <t>NINETY-SECOND STREET ELEMENTARY</t>
  </si>
  <si>
    <t>NINETY-SIXTH STREET ELEMENTARY</t>
  </si>
  <si>
    <t>NINETY-THIRD STREET ELEMENTARY</t>
  </si>
  <si>
    <t>NIPOMO ELEMENTARY</t>
  </si>
  <si>
    <t>NIPOMO HIGH</t>
  </si>
  <si>
    <t>NISHIMOTO ELEMENTARY</t>
  </si>
  <si>
    <t>NIXON (PATRICIA) ELEMENTARY</t>
  </si>
  <si>
    <t>NOBLE AVENUE ELEMENTARY</t>
  </si>
  <si>
    <t>NOBLE ELEMENTARY</t>
  </si>
  <si>
    <t>NODDIN ELEMENTARY</t>
  </si>
  <si>
    <t>NOGALES HIGH</t>
  </si>
  <si>
    <t>NOHL CANYON ELEMENTARY</t>
  </si>
  <si>
    <t>NOKOMIS ELEMENTARY</t>
  </si>
  <si>
    <t>NON-RIS PRESCHOOL CMS</t>
  </si>
  <si>
    <t>NORA STERRY ELEMENTARY</t>
  </si>
  <si>
    <t>NORALTO ELEMENTARY</t>
  </si>
  <si>
    <t>NORCO ELEMENTARY</t>
  </si>
  <si>
    <t>NORCO HIGH</t>
  </si>
  <si>
    <t>NORCO INTERMEDIATE</t>
  </si>
  <si>
    <t>NORCO VISTA HIGH</t>
  </si>
  <si>
    <t>NORD COUNTRY</t>
  </si>
  <si>
    <t>NORDHOFF HIGH</t>
  </si>
  <si>
    <t>NORDSTROM ELEMENTARY</t>
  </si>
  <si>
    <t>NORIEGA CHILDREN CENTER</t>
  </si>
  <si>
    <t>NORMA COOMBS ALTERNATIVE</t>
  </si>
  <si>
    <t>NORMAL HEIGHTS ELEMENTARY</t>
  </si>
  <si>
    <t>NORMAN G. AMBROSINI ELEMENTARY</t>
  </si>
  <si>
    <t>NORMAN L. SULLIVAN MIDDLE</t>
  </si>
  <si>
    <t>NORMAN LIDDELL ELEMENTARY</t>
  </si>
  <si>
    <t>NORMAN N. GLICK MIDDLE</t>
  </si>
  <si>
    <t>NORMAN R. BREKKE ELEMENTARY</t>
  </si>
  <si>
    <t>NORMANDIE AVENUE ELEMENTARY</t>
  </si>
  <si>
    <t>NORMONT ELEMENTARY</t>
  </si>
  <si>
    <t>NORRIS ELEMENTARY</t>
  </si>
  <si>
    <t>NORRIS MIDDLE</t>
  </si>
  <si>
    <t>NORSEMAN ELEMENTARY</t>
  </si>
  <si>
    <t>NORTE VISTA HIGH</t>
  </si>
  <si>
    <t>NORTH AREA COMMUNITY</t>
  </si>
  <si>
    <t>NORTH AVENUE ELEMENTARY</t>
  </si>
  <si>
    <t>NORTH BEARDSLEY ELEMENTARY</t>
  </si>
  <si>
    <t>NORTH BROADWAY ELEMENTARY</t>
  </si>
  <si>
    <t>NORTH CAMPUS CONTINUATION</t>
  </si>
  <si>
    <t>NORTH COAST ALTERNATIVE HIGH</t>
  </si>
  <si>
    <t>NORTH COASTAL CONSORTIUM SCHOOLS</t>
  </si>
  <si>
    <t>NORTH COMMUNITY</t>
  </si>
  <si>
    <t>NORTH COTTONWOOD</t>
  </si>
  <si>
    <t>NORTH COUNTRY ELEMENTARY</t>
  </si>
  <si>
    <t>NORTH COUNTY REGIONAL OCCUPATIONAL PROGRAM</t>
  </si>
  <si>
    <t>NORTH COUNTY TRADE TECH HIGH</t>
  </si>
  <si>
    <t>NORTH COW CREEK ELEMENTARY</t>
  </si>
  <si>
    <t>NORTH DAVIS ELEMENTARY</t>
  </si>
  <si>
    <t>NORTH ELEMENTARY</t>
  </si>
  <si>
    <t>NORTH FORK DIGITAL MIDDLE</t>
  </si>
  <si>
    <t>NORTH FORK ELEMENTARY</t>
  </si>
  <si>
    <t>NORTH HIGH</t>
  </si>
  <si>
    <t>NORTH HILLSBOROUGH</t>
  </si>
  <si>
    <t>NORTH HOLLYWOOD SENIOR HIGH</t>
  </si>
  <si>
    <t>NORTH KERN VOCATIONAL TRAINING CENTER</t>
  </si>
  <si>
    <t>NORTH MARYSVILLE CONTINUATION HIGH</t>
  </si>
  <si>
    <t>NORTH MONTEREY COUNTY CENTER FOR INDEPENDENT STUDY</t>
  </si>
  <si>
    <t>NORTH MONTEREY COUNTY HIGH</t>
  </si>
  <si>
    <t>NORTH MONTEREY COUNTY MIDDLE</t>
  </si>
  <si>
    <t>NORTH MOUNTAIN MIDDLE</t>
  </si>
  <si>
    <t>NORTH OAKLAND COMMUNITY CHARTER</t>
  </si>
  <si>
    <t>NORTH ORANGE COUNTY ROP</t>
  </si>
  <si>
    <t>NORTH PARK CONTINUATION HIGH</t>
  </si>
  <si>
    <t>NORTH PARK ELEMENTARY</t>
  </si>
  <si>
    <t>NORTH PARK MIDDLE</t>
  </si>
  <si>
    <t>NORTH POINT ACADEMY</t>
  </si>
  <si>
    <t>NORTH RANCHITO ELEMENTARY</t>
  </si>
  <si>
    <t>NORTH REGION COMMUNITY</t>
  </si>
  <si>
    <t>NORTH REGION COMMUNITY SCHOOL OF GREATER ESCONDIDO</t>
  </si>
  <si>
    <t>NORTH REGION COMMUNITY SCHOOL OF GREATER OCEANSIDE</t>
  </si>
  <si>
    <t>NORTH REGION COMMUNITY SCHOOL OF GREATER SAN MARCO</t>
  </si>
  <si>
    <t>NORTH REGION COURT</t>
  </si>
  <si>
    <t>NORTH RIDGE ELEMENTARY</t>
  </si>
  <si>
    <t>NORTH SALINAS HIGH</t>
  </si>
  <si>
    <t>NORTH SHORE ELEMENTARY</t>
  </si>
  <si>
    <t>NORTH SHOREVIEW MONTESSORI ELEMENTARY</t>
  </si>
  <si>
    <t>NORTH STAR ACADEMY</t>
  </si>
  <si>
    <t>NORTH STAR ACADEMY OF INDEPENDENT LEARNING &amp; FINE</t>
  </si>
  <si>
    <t>NORTH STAR INDEPENDENT STUDY</t>
  </si>
  <si>
    <t>NORTH STATE INDEPENDENCE HIGH</t>
  </si>
  <si>
    <t>NORTH TAHOE</t>
  </si>
  <si>
    <t>NORTH TAHOE HIGH</t>
  </si>
  <si>
    <t>NORTH TAMARIND ELEMENTARY</t>
  </si>
  <si>
    <t>NORTH TERRACE ELEMENTARY</t>
  </si>
  <si>
    <t>NORTH VALLEY HIGH</t>
  </si>
  <si>
    <t>NORTH VALLEY HIGH (CONTINUATION)</t>
  </si>
  <si>
    <t>NORTH VALLEY MILITARY INSTITUTE COLLEGE PREPARATOR</t>
  </si>
  <si>
    <t>NORTH VERDEMONT ELEMENTARY</t>
  </si>
  <si>
    <t>NORTH WOODS DISCOVERY</t>
  </si>
  <si>
    <t>NORTHAM ELEMENTARY</t>
  </si>
  <si>
    <t>NORTHCOAST PREPARATORY AND PERFORMING ARTS ACADEMY</t>
  </si>
  <si>
    <t>NORTHERN HUMBOLDT COMMUNITY DAY</t>
  </si>
  <si>
    <t>NORTHGATE HIGH</t>
  </si>
  <si>
    <t>NORTHLAKE HILLS ELEMENTARY</t>
  </si>
  <si>
    <t>NORTHMEAD ELEMENTARY</t>
  </si>
  <si>
    <t>NORTHMONT ELEMENTARY</t>
  </si>
  <si>
    <t>NORTHRIDGE ACADEMY HIGH</t>
  </si>
  <si>
    <t>NORTHRIDGE ELEMENTARY</t>
  </si>
  <si>
    <t>NORTHRIDGE MIDDLE</t>
  </si>
  <si>
    <t>NORTHSIDE ELEMENTARY</t>
  </si>
  <si>
    <t>NORTHVIEW HIGH</t>
  </si>
  <si>
    <t>NORTHVIEW INTERMEDIATE</t>
  </si>
  <si>
    <t>NORTHWEST PREP CHARTER</t>
  </si>
  <si>
    <t>NORTHWOOD ELEMENTARY</t>
  </si>
  <si>
    <t>NORTHWOOD HIGH</t>
  </si>
  <si>
    <t>NORTON SPACE AND AERONAUTICS ACADEMY</t>
  </si>
  <si>
    <t>NORWALK HIGH</t>
  </si>
  <si>
    <t>NORWOOD CREEK ELEMENTARY</t>
  </si>
  <si>
    <t>NORWOOD JUNIOR HIGH</t>
  </si>
  <si>
    <t>NORWOOD STREET ELEMENTARY</t>
  </si>
  <si>
    <t>NOVA ACADEMY</t>
  </si>
  <si>
    <t>NOVA ACADEMY - COACHELLA</t>
  </si>
  <si>
    <t>NOVA COMMUNITY DAY</t>
  </si>
  <si>
    <t>NOVA EDUCATION CENTER</t>
  </si>
  <si>
    <t>NOVA OPPORTUNITY</t>
  </si>
  <si>
    <t>NOVATO CHARTER</t>
  </si>
  <si>
    <t>NOVATO EARLY INTERVENTION</t>
  </si>
  <si>
    <t>NOVATO HIGH</t>
  </si>
  <si>
    <t>NOYO HIGH (CONTINUATION)</t>
  </si>
  <si>
    <t>NU TECH HIGH</t>
  </si>
  <si>
    <t>NUBIA LEADERSHIP ACADEMY</t>
  </si>
  <si>
    <t>NUESTRO ELEMENTARY</t>
  </si>
  <si>
    <t>NUEVA CONTINUATION HIGH</t>
  </si>
  <si>
    <t>NUEVA VISTA</t>
  </si>
  <si>
    <t>NUEVA VISTA CONTINUATION HIGH</t>
  </si>
  <si>
    <t>NUEVA VISTA ELEMENTARY</t>
  </si>
  <si>
    <t>NUEVA VISTA HIGH</t>
  </si>
  <si>
    <t>NUEVA VISTA HIGH (CONTINUATION)</t>
  </si>
  <si>
    <t>NUEVA VISTA LANGUAGE ACADEMY</t>
  </si>
  <si>
    <t>NUEVO SOL CHARTER</t>
  </si>
  <si>
    <t>NUVIEW BRIDGE EARLY COLLEGE HIGH</t>
  </si>
  <si>
    <t>NUVIEW ELEMENTARY</t>
  </si>
  <si>
    <t>NYE ELEMENTARY</t>
  </si>
  <si>
    <t>NYSTROM ELEMENTARY</t>
  </si>
  <si>
    <t>O'CONNELL (JOHN) HIGH</t>
  </si>
  <si>
    <t>O'HARA PARK MIDDLE</t>
  </si>
  <si>
    <t>O'MELVENY ELEMENTARY</t>
  </si>
  <si>
    <t>O'NEALS DIGITAL MIDDLE</t>
  </si>
  <si>
    <t>O. B. WHALEY ELEMENTARY</t>
  </si>
  <si>
    <t>O. J. ACTIS JUNIOR HIGH</t>
  </si>
  <si>
    <t>O. N. HIRSCH ELEMENTARY</t>
  </si>
  <si>
    <t>O. S. HUBBARD ELEMENTARY</t>
  </si>
  <si>
    <t>O. W. ERLEWINE ELEMENTARY</t>
  </si>
  <si>
    <t>OAK AVENUE ELEMENTARY</t>
  </si>
  <si>
    <t>OAK AVENUE INTERMEDIATE</t>
  </si>
  <si>
    <t>OAK CHAN ELEMENTARY</t>
  </si>
  <si>
    <t>OAK CREEK ELEMENTARY</t>
  </si>
  <si>
    <t>OAK CREEK INTERMEDIATE</t>
  </si>
  <si>
    <t>OAK CREST MIDDLE</t>
  </si>
  <si>
    <t>OAK GLEN HIGH</t>
  </si>
  <si>
    <t>OAK GROVE ELEMENTARY</t>
  </si>
  <si>
    <t>OAK GROVE ELEMENTARY/WILLOWSIDE MIDDLE</t>
  </si>
  <si>
    <t>OAK GROVE HIGH</t>
  </si>
  <si>
    <t>OAK GROVE MIDDLE</t>
  </si>
  <si>
    <t>OAK HILL ELEMENTARY</t>
  </si>
  <si>
    <t>OAK HILLS ELEMENTARY</t>
  </si>
  <si>
    <t>OAK HILLS HIGH</t>
  </si>
  <si>
    <t>OAK KNOLL ALTERNATIVE</t>
  </si>
  <si>
    <t>OAK KNOLL ELEMENTARY</t>
  </si>
  <si>
    <t>OAK MANOR ELEMENTARY</t>
  </si>
  <si>
    <t>OAK MEADOW COMMUNITY DAY</t>
  </si>
  <si>
    <t>OAK MEADOW ELEMENTARY</t>
  </si>
  <si>
    <t>OAK MEADOWS ELEMENTARY</t>
  </si>
  <si>
    <t>OAK MESA ELEMENTARY</t>
  </si>
  <si>
    <t>OAK MIDDLE</t>
  </si>
  <si>
    <t>OAK PARK ELEMENTARY</t>
  </si>
  <si>
    <t>OAK PARK HIGH</t>
  </si>
  <si>
    <t>OAK PARK INDEPENDENT</t>
  </si>
  <si>
    <t>OAK PARK NEIGHBORHOOD LEARNING</t>
  </si>
  <si>
    <t>OAK PARK PREPARATORY ACADEMY</t>
  </si>
  <si>
    <t>OAK RIDGE ELEMENTARY</t>
  </si>
  <si>
    <t>OAK RIDGE HIGH</t>
  </si>
  <si>
    <t>OAK RUN ELEMENTARY</t>
  </si>
  <si>
    <t>OAK STREET ELEMENTARY</t>
  </si>
  <si>
    <t>OAK TREE</t>
  </si>
  <si>
    <t>OAK TREE COMMUNITY DAY</t>
  </si>
  <si>
    <t>OAK VALLEY ELEMENTARY</t>
  </si>
  <si>
    <t>OAK VALLEY MIDDLE</t>
  </si>
  <si>
    <t>OAK VIEW ELEMENTARY</t>
  </si>
  <si>
    <t>OAK VIEW HIGH</t>
  </si>
  <si>
    <t>OAK VIEW HIGH SCHOOL &amp; EDUCATION CENTER</t>
  </si>
  <si>
    <t>OAKBROOK ELEMENTARY</t>
  </si>
  <si>
    <t>OAKDALE</t>
  </si>
  <si>
    <t>OAKDALE CHARTER HIGH</t>
  </si>
  <si>
    <t>OAKDALE ELEMENTARY</t>
  </si>
  <si>
    <t>OAKDALE HEIGHTS ELEMENTARY</t>
  </si>
  <si>
    <t>OAKDALE HIGH</t>
  </si>
  <si>
    <t>OAKDALE JUNIOR HIGH</t>
  </si>
  <si>
    <t>OAKENDELL COMMUNITY</t>
  </si>
  <si>
    <t>OAKHILLS ELEMENTARY</t>
  </si>
  <si>
    <t>OAKHURST ELEMENTARY</t>
  </si>
  <si>
    <t>OAKLAND AVIATION HIGH</t>
  </si>
  <si>
    <t>OAKLAND CHARTER ACADEMY</t>
  </si>
  <si>
    <t>OAKLAND CHARTER HIGH</t>
  </si>
  <si>
    <t>OAKLAND COMMUNITY DAY MIDDLE</t>
  </si>
  <si>
    <t>OAKLAND HIGH</t>
  </si>
  <si>
    <t>OAKLAND INTERNATIONAL HIGH</t>
  </si>
  <si>
    <t>OAKLAND MILITARY INSTITUTE COLLEGE PREPARATORY AC</t>
  </si>
  <si>
    <t>OAKLAND SCHOOL FOR THE ARTS</t>
  </si>
  <si>
    <t>OAKLAND TECHNICAL HIGH</t>
  </si>
  <si>
    <t>OAKLAND UNITY HIGH</t>
  </si>
  <si>
    <t>OAKLEY (CALVIN C.) ELEMENTARY</t>
  </si>
  <si>
    <t>OAKLEY ELEMENTARY</t>
  </si>
  <si>
    <t>OAKMONT ELEMENTARY</t>
  </si>
  <si>
    <t>OAKMONT HIGH</t>
  </si>
  <si>
    <t>OAKS MIDDLE</t>
  </si>
  <si>
    <t>OAKVIEW COMMUNITY ELEMENTARY</t>
  </si>
  <si>
    <t>OAKVIEW HIGH (ALTERNATIVE)</t>
  </si>
  <si>
    <t>OAKWOOD ELEMENTARY</t>
  </si>
  <si>
    <t>OASIS CHARTER PUBLIC</t>
  </si>
  <si>
    <t>OASIS COMMUNITY</t>
  </si>
  <si>
    <t>OASIS COMMUNITY DAY</t>
  </si>
  <si>
    <t>OASIS CONTINUATION HIGH</t>
  </si>
  <si>
    <t>OASIS ELEMENTARY</t>
  </si>
  <si>
    <t>OASIS HIGH (ALTERNATIVE)</t>
  </si>
  <si>
    <t>OCALA MIDDLE</t>
  </si>
  <si>
    <t>OCCS:CHEP/PCHS</t>
  </si>
  <si>
    <t>OCEAN AIR</t>
  </si>
  <si>
    <t>OCEAN BEACH ELEMENTARY</t>
  </si>
  <si>
    <t>OCEAN CHARTER</t>
  </si>
  <si>
    <t>OCEAN GROVE CHARTER</t>
  </si>
  <si>
    <t>OCEAN KNOLL ELEMENTARY</t>
  </si>
  <si>
    <t>OCEAN SHORE ELEMENTARY</t>
  </si>
  <si>
    <t>OCEAN SHORES HIGH (CONTINUATION)</t>
  </si>
  <si>
    <t>OCEAN VIEW EARLY EDUCATION</t>
  </si>
  <si>
    <t>OCEAN VIEW ELEMENTARY</t>
  </si>
  <si>
    <t>OCEAN VIEW HIGH</t>
  </si>
  <si>
    <t>OCEAN VIEW HILLS</t>
  </si>
  <si>
    <t>OCEAN VIEW JUNIOR HIGH</t>
  </si>
  <si>
    <t>OCEANA HIGH</t>
  </si>
  <si>
    <t>OCEANO ELEMENTARY</t>
  </si>
  <si>
    <t>OCEANSIDE HIGH</t>
  </si>
  <si>
    <t>OCIA A. PETERS ELEMENTARY</t>
  </si>
  <si>
    <t>OCOTILLO ELEMENTARY</t>
  </si>
  <si>
    <t>OCSA</t>
  </si>
  <si>
    <t>ODYSSEY CHARTER</t>
  </si>
  <si>
    <t>ODYSSEY CONTINUATION</t>
  </si>
  <si>
    <t>OEHL ELEMENTARY</t>
  </si>
  <si>
    <t>OFF CAMPUS LEARNING CENTER</t>
  </si>
  <si>
    <t>OHLONE ELEMENTARY</t>
  </si>
  <si>
    <t>OJAI ADULT</t>
  </si>
  <si>
    <t>OKA (ISOJIRO) ELEMENTARY</t>
  </si>
  <si>
    <t>OLD ADOBE ELEMENTARY CHARTER</t>
  </si>
  <si>
    <t>OLD MILL ELEMENTARY</t>
  </si>
  <si>
    <t>OLD ORCHARD ELEMENTARY</t>
  </si>
  <si>
    <t>OLD RIVER ELEMENTARY</t>
  </si>
  <si>
    <t>OLD TOWN ACADEMY K-8 CHARTER</t>
  </si>
  <si>
    <t>OLEANDER ELEMENTARY</t>
  </si>
  <si>
    <t>OLGA L. REED ELEMENTARY</t>
  </si>
  <si>
    <t>OLINDA ELEMENTARY</t>
  </si>
  <si>
    <t>OLITA ELEMENTARY</t>
  </si>
  <si>
    <t>OLIVE DRIVE ELEMENTARY</t>
  </si>
  <si>
    <t>OLIVE ELEMENTARY</t>
  </si>
  <si>
    <t>OLIVE GROVE</t>
  </si>
  <si>
    <t>OLIVE GROVE ELEMENTARY</t>
  </si>
  <si>
    <t>OLIVE MIDDLE</t>
  </si>
  <si>
    <t>OLIVE PEIRCE MIDDLE</t>
  </si>
  <si>
    <t>OLIVE STREET ELEMENTARY</t>
  </si>
  <si>
    <t>OLIVE VIEW ELEMENTARY</t>
  </si>
  <si>
    <t>OLIVE VISTA MIDDLE</t>
  </si>
  <si>
    <t>OLIVEHURST ELEMENTARY</t>
  </si>
  <si>
    <t>OLIVEIRA ELEMENTARY</t>
  </si>
  <si>
    <t>OLIVELANDS ELEMENTARY</t>
  </si>
  <si>
    <t>OLIVENHAIN PIONEER ELEMENTARY</t>
  </si>
  <si>
    <t>OLIVER WENDELL HOLMES JUNIOR HIGH</t>
  </si>
  <si>
    <t>OLIVER WENDELL HOLMES MIDDLE</t>
  </si>
  <si>
    <t>OLIVET ELEMENTARY CHARTER</t>
  </si>
  <si>
    <t>OLIVEWOOD</t>
  </si>
  <si>
    <t>OLIVEWOOD ELEMENTARY</t>
  </si>
  <si>
    <t>OLYMPIAN HIGH</t>
  </si>
  <si>
    <t>OLYMPIC CONTINUATION HIGH</t>
  </si>
  <si>
    <t>OLYMPIC HIGH (CONTINUATION)</t>
  </si>
  <si>
    <t>OLYMPIC PRIMARY CENTER</t>
  </si>
  <si>
    <t>OLYMPIC VIEW ELEMENTARY</t>
  </si>
  <si>
    <t>OLYMPUS JUNIOR HIGH</t>
  </si>
  <si>
    <t>ONAGA ELEMENTARY</t>
  </si>
  <si>
    <t>ONE HUNDRED EIGHTEENTH STREET</t>
  </si>
  <si>
    <t>ONE HUNDRED EIGHTY-SIXTH STREET ELEMENTARY</t>
  </si>
  <si>
    <t>ONE HUNDRED FIFTY-SIXTH STREET ELEMENTARY</t>
  </si>
  <si>
    <t>ONE HUNDRED FIFTY-THIRD STREET</t>
  </si>
  <si>
    <t>ONE HUNDRED NINTH STREET ELEMENTARY</t>
  </si>
  <si>
    <t>ONE HUNDRED SEVENTH STREET ELEMENTARY</t>
  </si>
  <si>
    <t>ONE HUNDRED SIXTEENTH STREET ELEMENTARY</t>
  </si>
  <si>
    <t>ONE HUNDRED THIRTY-FIFTH STREET ELEMENTARY</t>
  </si>
  <si>
    <t>ONE HUNDRED TWELFTH STREET ELEMENTARY</t>
  </si>
  <si>
    <t>ONE HUNDRED TWENTY-SECOND STREET ELEMENTARY</t>
  </si>
  <si>
    <t>ONE.CHARTER</t>
  </si>
  <si>
    <t>ONEONTA ELEMENTARY</t>
  </si>
  <si>
    <t>ONIZUKA CAMP</t>
  </si>
  <si>
    <t>ONTARIO HIGH</t>
  </si>
  <si>
    <t>ONTIVEROS (JUAN PACIFICO) ELEMENTARY</t>
  </si>
  <si>
    <t>OPAL CLIFFS</t>
  </si>
  <si>
    <t>OPAL ROBINSON ELEMENTARY</t>
  </si>
  <si>
    <t>OPEN ALTERNATIVE</t>
  </si>
  <si>
    <t>OPEN CHARTER MAGNET</t>
  </si>
  <si>
    <t>OPHIR ELEMENTARY</t>
  </si>
  <si>
    <t>OPPORTUNITIES FOR LEARNING - BALDWIN PARK</t>
  </si>
  <si>
    <t>OPPORTUNITIES FOR LEARNING - BALDWIN PARK II</t>
  </si>
  <si>
    <t>OPPORTUNITIES FOR LEARNING - CAPISTRANO</t>
  </si>
  <si>
    <t>OPPORTUNITIES FOR LEARNING - FRESNO</t>
  </si>
  <si>
    <t>OPPORTUNITIES FOR LEARNING - HERMOSA BEACH</t>
  </si>
  <si>
    <t>OPPORTUNITIES FOR LEARNING - SANTA CLARITA</t>
  </si>
  <si>
    <t>OPPORTUNITIES UNLIMITED CHARTER HIGH</t>
  </si>
  <si>
    <t>OPPORTUNITY</t>
  </si>
  <si>
    <t>OPPORTUNITY PROGRAM</t>
  </si>
  <si>
    <t>OPTIMIST CHARTER</t>
  </si>
  <si>
    <t>OPTIONS FOR YOUTH - UPLAND</t>
  </si>
  <si>
    <t>OPTIONS FOR YOUTH SAN GABRIEL</t>
  </si>
  <si>
    <t>OPTIONS FOR YOUTH-BURBANK CHARTER</t>
  </si>
  <si>
    <t>OPTIONS FOR YOUTH-HERMOSA BEACH INC.</t>
  </si>
  <si>
    <t>OPTIONS FOR YOUTH-SAN BERNARDINO</t>
  </si>
  <si>
    <t>OPTIONS FOR YOUTH-SAN JUAN</t>
  </si>
  <si>
    <t>OPTIONS FOR YOUTH-VICTORVILLE CHARTER</t>
  </si>
  <si>
    <t>OPTIONS SECONDARY</t>
  </si>
  <si>
    <t>ORANGE CENTER ELEMENTARY</t>
  </si>
  <si>
    <t>ORANGE COUNTY CONSERVATION CORPS CHARTER</t>
  </si>
  <si>
    <t>ORANGE COUNTY EDUCATIONAL ARTS ACADEMY</t>
  </si>
  <si>
    <t>ORANGE COUNTY SPECIAL EDUCATION</t>
  </si>
  <si>
    <t>ORANGE COVE HIGH</t>
  </si>
  <si>
    <t>ORANGE ELEMENTARY</t>
  </si>
  <si>
    <t>ORANGE GLEN ELEMENTARY</t>
  </si>
  <si>
    <t>ORANGE GLEN HIGH</t>
  </si>
  <si>
    <t>ORANGE GROVE ELEMENTARY</t>
  </si>
  <si>
    <t>ORANGE GROVE HIGH</t>
  </si>
  <si>
    <t>ORANGE GROVE MIDDLE</t>
  </si>
  <si>
    <t>ORANGE HIGH</t>
  </si>
  <si>
    <t>ORANGE UNIFIED PRE-K SDC</t>
  </si>
  <si>
    <t>ORANGETHORPE ELEMENTARY</t>
  </si>
  <si>
    <t>ORANGEVALE OPEN K-8</t>
  </si>
  <si>
    <t>ORANGEVIEW JUNIOR HIGH</t>
  </si>
  <si>
    <t>ORANGEWOOD ELEMENTARY</t>
  </si>
  <si>
    <t>ORANGEWOOD HIGH (CONTINUATION)</t>
  </si>
  <si>
    <t>ORCHARD ACADEMIES 2B</t>
  </si>
  <si>
    <t>ORCHARD ACADEMIES 2C</t>
  </si>
  <si>
    <t>ORCHARD DALE ELEMENTARY</t>
  </si>
  <si>
    <t>ORCHARD ELEMENTARY</t>
  </si>
  <si>
    <t>ORCHARD HILLS</t>
  </si>
  <si>
    <t>ORCHARD PARK</t>
  </si>
  <si>
    <t>ORCHARD VIEW</t>
  </si>
  <si>
    <t>ORCUTT ACADEMY CHARTER</t>
  </si>
  <si>
    <t>ORCUTT JUNIOR HIGH</t>
  </si>
  <si>
    <t>ORD TERRACE ELEMENTARY</t>
  </si>
  <si>
    <t>ORESTIMBA HIGH</t>
  </si>
  <si>
    <t>ORICK ELEMENTARY</t>
  </si>
  <si>
    <t>ORINDA INTERMEDIATE</t>
  </si>
  <si>
    <t>ORION ALTERNATIVE</t>
  </si>
  <si>
    <t>ORLAND COMMUNITY DAY</t>
  </si>
  <si>
    <t>ORLAND ELEMENTARY COMMUNITY DAY</t>
  </si>
  <si>
    <t>ORLAND HIGH</t>
  </si>
  <si>
    <t>ORLEANS ELEMENTARY</t>
  </si>
  <si>
    <t>ORMONDALE ELEMENTARY</t>
  </si>
  <si>
    <t>ORO GRANDE ELEMENTARY</t>
  </si>
  <si>
    <t>OROSI HIGH</t>
  </si>
  <si>
    <t>OROVILLE HIGH</t>
  </si>
  <si>
    <t>OROVILLE HIGH COMMUNITY DAY</t>
  </si>
  <si>
    <t>ORR CREEK</t>
  </si>
  <si>
    <t>ORTEGA (JOSE) ELEMENTARY</t>
  </si>
  <si>
    <t>ORTEGA ELEMENTARY</t>
  </si>
  <si>
    <t>ORTEGA HIGH</t>
  </si>
  <si>
    <t>ORTHOPAEDIC HOSPITAL</t>
  </si>
  <si>
    <t>ORVILLE WRIGHT ELEMENTARY</t>
  </si>
  <si>
    <t>ORVILLE WRIGHT ENGINEERING AND DESIGN MAGNET</t>
  </si>
  <si>
    <t>OSBORN TWO-WAY IMMERSION ACADEMY</t>
  </si>
  <si>
    <t>OSBURN BURKE MIDDLE</t>
  </si>
  <si>
    <t>OSCAR DE LA HOYA ANIMO CHARTER HIGH</t>
  </si>
  <si>
    <t>OSCAR F. LOYA ELEMENTARY</t>
  </si>
  <si>
    <t>OSCEOLA STREET ELEMENTARY</t>
  </si>
  <si>
    <t>OSO GRANDE ELEMENTARY</t>
  </si>
  <si>
    <t>OSPREY LEARNING CENTER</t>
  </si>
  <si>
    <t>OSPREY LEARNING CENTER (ALTERNATIVE)</t>
  </si>
  <si>
    <t>OSTER ELEMENTARY</t>
  </si>
  <si>
    <t>OTAY ELEMENTARY</t>
  </si>
  <si>
    <t>OTAY RANCH SENIOR HIGH</t>
  </si>
  <si>
    <t>OTTER CREEK ELEMENTARY</t>
  </si>
  <si>
    <t>OTTOMON WAY ELEMENTARY</t>
  </si>
  <si>
    <t>OUR COMMUNITY CHARTER</t>
  </si>
  <si>
    <t>OUSD COMMUNITY DAY</t>
  </si>
  <si>
    <t>OUSD HOME SCH</t>
  </si>
  <si>
    <t>OUTSIDE CREEK ELEMENTARY</t>
  </si>
  <si>
    <t>OVERLAND AVENUE ELEMENTARY</t>
  </si>
  <si>
    <t>OWENS VALLEY ELEMENTARY</t>
  </si>
  <si>
    <t>OWENS VALLEY HIGH</t>
  </si>
  <si>
    <t>OWENSMOUTH CONTINUATION</t>
  </si>
  <si>
    <t>OXFORD ACADEMY</t>
  </si>
  <si>
    <t>OXFORD ELEMENTARY</t>
  </si>
  <si>
    <t>OXFORD PREPARATORY ACADEMY - CHINO VALLEY</t>
  </si>
  <si>
    <t>OXFORD PREPARATORY ACADEMY - SOUTH ORANGE COUNTY</t>
  </si>
  <si>
    <t>OXNARD HIGH</t>
  </si>
  <si>
    <t>OXNARD STREET ELEMENTARY</t>
  </si>
  <si>
    <t>P. A. WALSH ELEMENTARY</t>
  </si>
  <si>
    <t>P. W. ENGVALL ELEMENTARY</t>
  </si>
  <si>
    <t>PACHAPPA ELEMENTARY</t>
  </si>
  <si>
    <t>PACHECO COMMUNITY DAY</t>
  </si>
  <si>
    <t>PACHECO ELEMENTARY</t>
  </si>
  <si>
    <t>PACHECO HIGH</t>
  </si>
  <si>
    <t>PACIFIC AMERICAN ACADEMY</t>
  </si>
  <si>
    <t>PACIFIC AVENUE - EARLY BIRD PRESCHOOL</t>
  </si>
  <si>
    <t>PACIFIC AVENUE ELEMENTARY</t>
  </si>
  <si>
    <t>PACIFIC BEACH ELEMENTARY</t>
  </si>
  <si>
    <t>PACIFIC BEACH HIGH</t>
  </si>
  <si>
    <t>PACIFIC BEACH MIDDLE</t>
  </si>
  <si>
    <t>PACIFIC BOULEVARD</t>
  </si>
  <si>
    <t>PACIFIC CAREER AND TECHNOLOGY HIGH</t>
  </si>
  <si>
    <t>PACIFIC COAST CHARTER</t>
  </si>
  <si>
    <t>PACIFIC COAST HIGH (CONTINUATION)</t>
  </si>
  <si>
    <t>PACIFIC COLLEGIATE CHARTER</t>
  </si>
  <si>
    <t>PACIFIC COMMUNITY CHARTER</t>
  </si>
  <si>
    <t>PACIFIC DRIVE ELEMENTARY</t>
  </si>
  <si>
    <t>PACIFIC ELEMENTARY</t>
  </si>
  <si>
    <t>PACIFIC GROVE HIGH</t>
  </si>
  <si>
    <t>PACIFIC GROVE MIDDLE</t>
  </si>
  <si>
    <t>PACIFIC HIGH</t>
  </si>
  <si>
    <t>PACIFIC LAW ACADEMY</t>
  </si>
  <si>
    <t>PACIFIC LODGE RESIDENTIAL EDUCATION CENTER</t>
  </si>
  <si>
    <t>PACIFIC RIM ELEMENTARY</t>
  </si>
  <si>
    <t>PACIFIC TECHNOLOGY SCHOOL ORANGEVALE</t>
  </si>
  <si>
    <t>PACIFIC TECHNOLOGY SCHOOL SANTA ANA</t>
  </si>
  <si>
    <t>PACIFIC UNION ELEMENTARY</t>
  </si>
  <si>
    <t>PACIFIC VALLEY (K-12)</t>
  </si>
  <si>
    <t>PACIFIC VIEW CHARTER</t>
  </si>
  <si>
    <t>PACIFICA HIGH</t>
  </si>
  <si>
    <t>PACKARD CHILDREN'S HOSPITAL/STANFORD</t>
  </si>
  <si>
    <t>PACOIMA CHARTER ELEMENTARY</t>
  </si>
  <si>
    <t>PACOIMA MIDDLE</t>
  </si>
  <si>
    <t>PADDISON ELEMENTARY</t>
  </si>
  <si>
    <t>PAGEVILLE COMMUNITY DAY</t>
  </si>
  <si>
    <t>PAINTED HILLS MIDDLE</t>
  </si>
  <si>
    <t>PAINTED ROCK ELEMENTARY</t>
  </si>
  <si>
    <t>PAIUTE CREEK COMMUNITY DAY</t>
  </si>
  <si>
    <t>PAJARO MIDDLE</t>
  </si>
  <si>
    <t>PAJARO VALLEY HIGH</t>
  </si>
  <si>
    <t>PALERMO</t>
  </si>
  <si>
    <t>PALERMO SPECIAL EDUCATION PRESCHOOL</t>
  </si>
  <si>
    <t>PALERMO UNION COMMUNITY DAY (5-8)</t>
  </si>
  <si>
    <t>PALERMO UNION COMMUNITY DAY (K-7)</t>
  </si>
  <si>
    <t>PALISADE GLACIER HIGH (CONTINUATION)</t>
  </si>
  <si>
    <t>PALISADES CHARTER ELEMENTARY</t>
  </si>
  <si>
    <t>PALISADES CHARTER HIGH</t>
  </si>
  <si>
    <t>PALISADES ELEMENTARY</t>
  </si>
  <si>
    <t>PALISADES HIGH (CONTINUATION)</t>
  </si>
  <si>
    <t>PALM ACADEMY FOR LEARNING</t>
  </si>
  <si>
    <t>PALM AVENUE ELEMENTARY</t>
  </si>
  <si>
    <t>PALM CANYON</t>
  </si>
  <si>
    <t>PALM CANYON CONTINUATION HIGH</t>
  </si>
  <si>
    <t>PALM CREST ELEMENTARY</t>
  </si>
  <si>
    <t>PALM DESERT CHARTER MIDDLE</t>
  </si>
  <si>
    <t>PALM DESERT HIGH</t>
  </si>
  <si>
    <t>PALM ELEMENTARY</t>
  </si>
  <si>
    <t>PALM LANE ELEMENTARY</t>
  </si>
  <si>
    <t>PALM MIDDLE</t>
  </si>
  <si>
    <t>PALM SPRINGS HIGH</t>
  </si>
  <si>
    <t>PALM TREE ELEMENTARY</t>
  </si>
  <si>
    <t>PALM VIEW ELEMENTARY</t>
  </si>
  <si>
    <t>PALM VISTA ELEMENTARY</t>
  </si>
  <si>
    <t>PALMA CEIA ELEMENTARY</t>
  </si>
  <si>
    <t>PALMDALE AEROSPACE ACADEMY</t>
  </si>
  <si>
    <t>PALMDALE HIGH</t>
  </si>
  <si>
    <t>PALMDALE LEARNING PLAZA</t>
  </si>
  <si>
    <t>PALMER WAY</t>
  </si>
  <si>
    <t>PALMETTO ELEMENTARY</t>
  </si>
  <si>
    <t>PALMITER SPECIAL EDUCATION</t>
  </si>
  <si>
    <t>PALMQUIST ELEMENTARY</t>
  </si>
  <si>
    <t>PALMS ELEMENTARY</t>
  </si>
  <si>
    <t>PALMS MIDDLE</t>
  </si>
  <si>
    <t>PALMYRA ELEMENTARY</t>
  </si>
  <si>
    <t>PALO ALTO HIGH</t>
  </si>
  <si>
    <t>PALO VERDE ELEMENTARY</t>
  </si>
  <si>
    <t>PALO VERDE HIGH</t>
  </si>
  <si>
    <t>PALO VERDE VALLEY COMMUNITY DAY</t>
  </si>
  <si>
    <t>PALOMA ELEMENTARY</t>
  </si>
  <si>
    <t>PALOMA VALLEY HIGH</t>
  </si>
  <si>
    <t>PALOMAR ELEMENTARY</t>
  </si>
  <si>
    <t>PALOMAR HIGH</t>
  </si>
  <si>
    <t>PALOMAR HIGH INDEPENDENT STUDY</t>
  </si>
  <si>
    <t>PALOMARES ACADEMY OF HEALTH SCIENCE</t>
  </si>
  <si>
    <t>PALOMARES ELEMENTARY</t>
  </si>
  <si>
    <t>PALOS VERDE CONTINUATION</t>
  </si>
  <si>
    <t>PALOS VERDES HIGH</t>
  </si>
  <si>
    <t>PALOS VERDES INTERMEDIATE</t>
  </si>
  <si>
    <t>PALOS VERDES PENINSULA HIGH</t>
  </si>
  <si>
    <t>PANAMA ELEMENTARY</t>
  </si>
  <si>
    <t>PANOCHE ELEMENTARY</t>
  </si>
  <si>
    <t>PANORAMA CITY ELEMENTARY</t>
  </si>
  <si>
    <t>PANORAMA ELEMENTARY</t>
  </si>
  <si>
    <t>PANORAMA HIGH</t>
  </si>
  <si>
    <t>PANTERA ELEMENTARY</t>
  </si>
  <si>
    <t>PARA LOS NINOS - EVELYN THURMAN GRATTS PRIMARY</t>
  </si>
  <si>
    <t>PARA LOS NINOS CHARTER</t>
  </si>
  <si>
    <t>PARA LOS NINOS MIDDLE</t>
  </si>
  <si>
    <t>PARADISE ADULT</t>
  </si>
  <si>
    <t>PARADISE CANYON ELEMENTARY</t>
  </si>
  <si>
    <t>PARADISE CHARTER</t>
  </si>
  <si>
    <t>PARADISE CHARTER MIDDLE</t>
  </si>
  <si>
    <t>PARADISE ELEARNING ACADEMY</t>
  </si>
  <si>
    <t>PARADISE ELEMENTARY</t>
  </si>
  <si>
    <t>PARADISE HILLS ELEMENTARY</t>
  </si>
  <si>
    <t>PARADISE INTERMEDIATE</t>
  </si>
  <si>
    <t>PARADISE SENIOR HIGH</t>
  </si>
  <si>
    <t>PARADISE VALLEY/MACHADO ELEMENTARY</t>
  </si>
  <si>
    <t>PARAGON COLLEGIATE ACADEMY</t>
  </si>
  <si>
    <t>PARAGON/AVALON INDEPENDENT STUDY</t>
  </si>
  <si>
    <t>PARAMOUNT ACADEMY</t>
  </si>
  <si>
    <t>PARAMOUNT ALTERNATIVE EDUCATION CENTER</t>
  </si>
  <si>
    <t>PARAMOUNT ELEMENTARY</t>
  </si>
  <si>
    <t>PARAMOUNT HIGH</t>
  </si>
  <si>
    <t>PARAMOUNT PARK MIDDLE</t>
  </si>
  <si>
    <t>PARAMOUNT UNIFIED COMMUNITY DAY</t>
  </si>
  <si>
    <t>PARENT (FRANK D.) ELEMENTARY</t>
  </si>
  <si>
    <t>PARK AVENUE ELEMENTARY</t>
  </si>
  <si>
    <t>PARK DALE LANE ELEMENTARY</t>
  </si>
  <si>
    <t>PARK ELEMENTARY</t>
  </si>
  <si>
    <t>PARK HILL ELEMENTARY</t>
  </si>
  <si>
    <t>PARK MIDDLE</t>
  </si>
  <si>
    <t>PARK OAKS ELEMENTARY</t>
  </si>
  <si>
    <t>PARK SIDE ELEMENTARY</t>
  </si>
  <si>
    <t>PARK VIEW ELEMENTARY</t>
  </si>
  <si>
    <t>PARK VIEW MIDDLE</t>
  </si>
  <si>
    <t>PARK VILLAGE ELEMENTARY</t>
  </si>
  <si>
    <t>PARK WEST HIGH (CONTINUATION)</t>
  </si>
  <si>
    <t>PARK WESTERN PLACE ELEMENTARY</t>
  </si>
  <si>
    <t>PARKER (JEAN) ELEMENTARY</t>
  </si>
  <si>
    <t>PARKER DAM ELEMENTARY</t>
  </si>
  <si>
    <t>PARKER ELEMENTARY</t>
  </si>
  <si>
    <t>PARKER WHITNEY ELEMENTARY</t>
  </si>
  <si>
    <t>PARKFIELD ELEMENTARY</t>
  </si>
  <si>
    <t>PARKLANE ELEMENTARY</t>
  </si>
  <si>
    <t>PARKMEAD ELEMENTARY</t>
  </si>
  <si>
    <t>PARKMONT ELEMENTARY</t>
  </si>
  <si>
    <t>PARKRIDGE ELEMENTARY</t>
  </si>
  <si>
    <t>PARKS (ROSA) ELEMENTARY</t>
  </si>
  <si>
    <t>PARKSIDE ELEMENTARY</t>
  </si>
  <si>
    <t>PARKSIDE INTERMEDIATE</t>
  </si>
  <si>
    <t>PARKVIEW</t>
  </si>
  <si>
    <t>PARKVIEW ELEMENTARY</t>
  </si>
  <si>
    <t>PARKVIEW MIDDLE</t>
  </si>
  <si>
    <t>PARKWAY ELEMENTARY</t>
  </si>
  <si>
    <t>PARKWAY HEIGHTS MIDDLE</t>
  </si>
  <si>
    <t>PARKWAY MIDDLE</t>
  </si>
  <si>
    <t>PARKWOOD ELEMENTARY</t>
  </si>
  <si>
    <t>PARLIER HIGH</t>
  </si>
  <si>
    <t>PARLIER JUNIOR HIGH</t>
  </si>
  <si>
    <t>PARMELEE AVENUE ELEMENTARY</t>
  </si>
  <si>
    <t>PARRAS (NICK G.) MIDDLE</t>
  </si>
  <si>
    <t>PARSONS JUNIOR HIGH</t>
  </si>
  <si>
    <t>PARTHENIA STREET ELEMENTARY</t>
  </si>
  <si>
    <t>PARTNERSHIPS FOR STUDENT-CENTERED LEARNING</t>
  </si>
  <si>
    <t>PASADENA AVENUE ELEMENTARY</t>
  </si>
  <si>
    <t>PASADENA HIGH</t>
  </si>
  <si>
    <t>PASADENA ROSEBUD ACADEMY</t>
  </si>
  <si>
    <t>PASADENA ROSEBUD ACADEMY MIDDLE</t>
  </si>
  <si>
    <t>PASEO DEL REY FUNDAMENTAL</t>
  </si>
  <si>
    <t>PASO ROBLES HIGH</t>
  </si>
  <si>
    <t>PASO ROBLES INDEPENDENT STUDY CENTER</t>
  </si>
  <si>
    <t>PAT BUTLER ELEMENTARY</t>
  </si>
  <si>
    <t>PATHWAY COMMUNITY DAY</t>
  </si>
  <si>
    <t>PATHWAY ELEMENTARY COMMUNITY DAY</t>
  </si>
  <si>
    <t>PATHWAY INDEPENDENT STUDY</t>
  </si>
  <si>
    <t>PATHWAYS CHARTER</t>
  </si>
  <si>
    <t>PATHWAYS COMMUNITY</t>
  </si>
  <si>
    <t>PATHWAYS COMMUNITY DAY</t>
  </si>
  <si>
    <t>PATHWAYS TO COLLEGE</t>
  </si>
  <si>
    <t>PATRICIA BEATTY ELEMENTARY</t>
  </si>
  <si>
    <t>PATRICK HENRY MIDDLE</t>
  </si>
  <si>
    <t>PATRIOT ELEMENTARY</t>
  </si>
  <si>
    <t>PATRIOT HIGH</t>
  </si>
  <si>
    <t>PATTERSON ELEMENTARY</t>
  </si>
  <si>
    <t>PATTERSON HIGH</t>
  </si>
  <si>
    <t>PATTERSON ROAD ELEMENTARY</t>
  </si>
  <si>
    <t>PATTON ELEMENTARY</t>
  </si>
  <si>
    <t>PATWIN ELEMENTARY</t>
  </si>
  <si>
    <t>PAUBA VALLEY ELEMENTARY</t>
  </si>
  <si>
    <t>PAUL ECKE-CENTRAL ELEMENTARY</t>
  </si>
  <si>
    <t>PAUL REVERE MIDDLE</t>
  </si>
  <si>
    <t>PAUL ROGERS ELEMENTARY</t>
  </si>
  <si>
    <t>PAULARINO ELEMENTARY</t>
  </si>
  <si>
    <t>PAULDING MIDDLE</t>
  </si>
  <si>
    <t>PAUMA ELEMENTARY</t>
  </si>
  <si>
    <t>PAYNE (BEULAH) ELEMENTARY</t>
  </si>
  <si>
    <t>PEABODY (GEORGE) ELEMENTARY</t>
  </si>
  <si>
    <t>PEABODY CHARTER</t>
  </si>
  <si>
    <t>PEACH HILL ACADEMY</t>
  </si>
  <si>
    <t>PEACHLAND AVENUE ELEMENTARY</t>
  </si>
  <si>
    <t>PEARBLOSSOM ELEMENTARY</t>
  </si>
  <si>
    <t>PEARL ZANKER ELEMENTARY</t>
  </si>
  <si>
    <t>PEDLEY ELEMENTARY</t>
  </si>
  <si>
    <t>PEEP - DE'GROOT - PREPARE</t>
  </si>
  <si>
    <t>PEGASUS HIGH</t>
  </si>
  <si>
    <t>PEGGY HELLER ELEMENTARY</t>
  </si>
  <si>
    <t>PENINSULA HIGH</t>
  </si>
  <si>
    <t>PENINSULA HIGH (CONTINUATION)</t>
  </si>
  <si>
    <t>PENINSULA UNION ELEMENTARY</t>
  </si>
  <si>
    <t>PENN ELEMENTARY</t>
  </si>
  <si>
    <t>PENNGROVE ELEMENTARY</t>
  </si>
  <si>
    <t>PENRYN ELEMENTARY</t>
  </si>
  <si>
    <t>PEPPER DRIVE ELEMENTARY</t>
  </si>
  <si>
    <t>PEPPER TREE ELEMENTARY</t>
  </si>
  <si>
    <t>PERALTA ELEMENTARY</t>
  </si>
  <si>
    <t>PERDEW ELEMENTARY</t>
  </si>
  <si>
    <t>PERES ELEMENTARY</t>
  </si>
  <si>
    <t>PERFORMANCE LEARNING CENTER - CDS</t>
  </si>
  <si>
    <t>PERFORMING ARTS COMMUNITY AT DIEGO RIVERA LEARNING</t>
  </si>
  <si>
    <t>PERKINS K-8</t>
  </si>
  <si>
    <t>PERRIS ELEMENTARY</t>
  </si>
  <si>
    <t>PERRIS HIGH</t>
  </si>
  <si>
    <t>PERRIS LAKE HIGH (CONTINUATION)</t>
  </si>
  <si>
    <t>PERRY ELEMENTARY</t>
  </si>
  <si>
    <t>PERSHING CONTINUATION HIGH</t>
  </si>
  <si>
    <t>PERSHING ELEMENTARY</t>
  </si>
  <si>
    <t>PERSHING MIDDLE</t>
  </si>
  <si>
    <t>PESCADERO CONTINUATION HIGH</t>
  </si>
  <si>
    <t>PESCADERO ELEMENTARY AND MIDDLE</t>
  </si>
  <si>
    <t>PESCADERO HIGH</t>
  </si>
  <si>
    <t>PETALUMA HIGH</t>
  </si>
  <si>
    <t>PETALUMA JUNIOR HIGH</t>
  </si>
  <si>
    <t>PETER BURNETT ELEMENTARY</t>
  </si>
  <si>
    <t>PETER BURNETT MIDDLE</t>
  </si>
  <si>
    <t>PETER J. SHIELDS ELEMENTARY</t>
  </si>
  <si>
    <t>PETER JOHANSEN HIGH</t>
  </si>
  <si>
    <t>PETER MARSHALL ELEMENTARY</t>
  </si>
  <si>
    <t>PETER PENDLETON ELEMENTARY</t>
  </si>
  <si>
    <t>PETERS CANYON ELEMENTARY</t>
  </si>
  <si>
    <t>PETERSEN ALTERNATIVE CENTER FOR EDUCATION</t>
  </si>
  <si>
    <t>PHELAN ELEMENTARY</t>
  </si>
  <si>
    <t>PHIL D. SWING ELEMENTARY</t>
  </si>
  <si>
    <t>PHILADELPHIA ELEMENTARY</t>
  </si>
  <si>
    <t>PHILIP J. REILLY ELEMENTARY/SPECIAL EDUCATION</t>
  </si>
  <si>
    <t>PHILIP MAGRUDER MIDDLE</t>
  </si>
  <si>
    <t>PHILLIP M. STOKOE ELEMENTARY</t>
  </si>
  <si>
    <t>PHILLIPS ELEMENTARY</t>
  </si>
  <si>
    <t>PHINEAS BANNING SENIOR HIGH</t>
  </si>
  <si>
    <t>PHOEBE A. HEARST ELEMENTARY</t>
  </si>
  <si>
    <t>PHOEBE APPERSON HEARST ELEMENTARY</t>
  </si>
  <si>
    <t>PHOENIX ACADEMY</t>
  </si>
  <si>
    <t>PHOENIX ACADEMY RESIDENTIAL EDUCATION CENTER</t>
  </si>
  <si>
    <t>PHOENIX COMMUNITY DAY</t>
  </si>
  <si>
    <t>PHOENIX CONTINUATION</t>
  </si>
  <si>
    <t>PHOENIX ELEMENTARY ACADEMY COMMUNITY DAY</t>
  </si>
  <si>
    <t>PHOENIX HIGH</t>
  </si>
  <si>
    <t>PHOENIX HIGH (CONTINUATION)</t>
  </si>
  <si>
    <t>PHOENIX HIGH COMMUNITY DAY</t>
  </si>
  <si>
    <t>PHOENIX HIGH II</t>
  </si>
  <si>
    <t>PHOENIX HIGH SCHOOL</t>
  </si>
  <si>
    <t>PHOENIX PROGRAM</t>
  </si>
  <si>
    <t>PHOENIX SECONDARY</t>
  </si>
  <si>
    <t>PICARD COMMUNITY DAY ELEMENTARY</t>
  </si>
  <si>
    <t>PICO CANYON ELEMENTARY</t>
  </si>
  <si>
    <t>PIEDMONT AVENUE ELEMENTARY</t>
  </si>
  <si>
    <t>PIEDMONT HIGH</t>
  </si>
  <si>
    <t>PIEDMONT HILLS HIGH</t>
  </si>
  <si>
    <t>PIEDMONT MIDDLE</t>
  </si>
  <si>
    <t>PIEDMONT PRESCHOOL</t>
  </si>
  <si>
    <t>PIERCE ELEMENTARY</t>
  </si>
  <si>
    <t>PIERCE HIGH</t>
  </si>
  <si>
    <t>PIERPONT ELEMENTARY</t>
  </si>
  <si>
    <t>PILARCITOS ALTERNATIVE HIGH (CONTINUATION)</t>
  </si>
  <si>
    <t>PINACATE MIDDLE</t>
  </si>
  <si>
    <t>PINE CREST ELEMENTARY</t>
  </si>
  <si>
    <t>PINE ELEMENTARY</t>
  </si>
  <si>
    <t>PINE GROVE ELEMENTARY</t>
  </si>
  <si>
    <t>PINE GROVE ELEMENTARY STEM MAGNET</t>
  </si>
  <si>
    <t>PINE GROVE YOUTH CONSERVATION CAMP</t>
  </si>
  <si>
    <t>PINE HILL ELEMENTARY</t>
  </si>
  <si>
    <t>PINE HOLLOW MIDDLE</t>
  </si>
  <si>
    <t>PINE MOUNTAIN LEARNING CENTER</t>
  </si>
  <si>
    <t>PINE RIDGE</t>
  </si>
  <si>
    <t>PINE RIDGE ELEMENTARY</t>
  </si>
  <si>
    <t>PINE STREET ELEMENTARY</t>
  </si>
  <si>
    <t>PINE VALLEY ELEMENTARY</t>
  </si>
  <si>
    <t>PINE VALLEY MIDDLE</t>
  </si>
  <si>
    <t>PINECREST ELEMENTARY</t>
  </si>
  <si>
    <t>PINEDALE ELEMENTARY</t>
  </si>
  <si>
    <t>PINER HIGH</t>
  </si>
  <si>
    <t>PINER-OLIVET CHARTER</t>
  </si>
  <si>
    <t>PINETREE COMMUNITY ELEMENTARY</t>
  </si>
  <si>
    <t>PINEWOOD AVENUE ELEMENTARY</t>
  </si>
  <si>
    <t>PINEWOOD ELEMENTARY</t>
  </si>
  <si>
    <t>PINKHAM ELEMENTARY</t>
  </si>
  <si>
    <t>PINNACLES HIGH</t>
  </si>
  <si>
    <t>PINOLE MIDDLE</t>
  </si>
  <si>
    <t>PINOLE VALLEY HIGH</t>
  </si>
  <si>
    <t>PINON HILLS ELEMENTARY</t>
  </si>
  <si>
    <t>PINON MESA MIDDLE</t>
  </si>
  <si>
    <t>PIO PICO ELEMENTARY</t>
  </si>
  <si>
    <t>PIO PICO MIDDLE</t>
  </si>
  <si>
    <t>PIONEER</t>
  </si>
  <si>
    <t>PIONEER COMMUNITY DAY</t>
  </si>
  <si>
    <t>PIONEER CONTINUATION HIGH</t>
  </si>
  <si>
    <t>PIONEER DRIVE ELEMENTARY</t>
  </si>
  <si>
    <t>PIONEER ELEMENTARY</t>
  </si>
  <si>
    <t>PIONEER HEADSTART</t>
  </si>
  <si>
    <t>PIONEER HIGH</t>
  </si>
  <si>
    <t>PIONEER HIGH (CONTINUATION)</t>
  </si>
  <si>
    <t>PIONEER JUNIOR HIGH</t>
  </si>
  <si>
    <t>PIONEER MIDDLE</t>
  </si>
  <si>
    <t>PIONEER PLUS (CONTINUATION)</t>
  </si>
  <si>
    <t>PIONEER TECHNICAL CENTER</t>
  </si>
  <si>
    <t>PIONEER VALLEY HIGH</t>
  </si>
  <si>
    <t>PIRU ELEMENTARY</t>
  </si>
  <si>
    <t>PITTMAN CHARTER</t>
  </si>
  <si>
    <t>PITTSBURG SENIOR HIGH</t>
  </si>
  <si>
    <t>PIUTE MIDDLE</t>
  </si>
  <si>
    <t>PIUTE MOUNTAIN ELEMENTARY</t>
  </si>
  <si>
    <t>PIVOT CHARTER SCHOOL - SAN DIEGO</t>
  </si>
  <si>
    <t>PIVOT CHARTER SCHOOL NORTH VALLEY</t>
  </si>
  <si>
    <t>PIVOT CHARTER SCHOOL RIVERSIDE COUNTY</t>
  </si>
  <si>
    <t>PIVOT ONLINE CHARTER - CHICO</t>
  </si>
  <si>
    <t>PIVOT ONLINE CHARTER - NORTH BAY</t>
  </si>
  <si>
    <t>PIXLEY ELEMENTARY</t>
  </si>
  <si>
    <t>PIXLEY MIDDLE</t>
  </si>
  <si>
    <t>PLACER COUNTY COMMUNITY SCHOOLS</t>
  </si>
  <si>
    <t>PLACER COUNTY COURT SCHOOLS</t>
  </si>
  <si>
    <t>PLACER COUNTY PATHWAYS CHARTER</t>
  </si>
  <si>
    <t>PLACER COUNTY SPECIAL EDUCATION</t>
  </si>
  <si>
    <t>PLACER ELEMENTARY</t>
  </si>
  <si>
    <t>PLACER HIGH</t>
  </si>
  <si>
    <t>PLACERITA JUNIOR HIGH</t>
  </si>
  <si>
    <t>PLAINFIELD ELEMENTARY</t>
  </si>
  <si>
    <t>PLAINSBURG UNION ELEMENTARY</t>
  </si>
  <si>
    <t>PLAINVIEW ACADEMIC CHARTER ACADEMY</t>
  </si>
  <si>
    <t>PLANADA ELEMENTARY</t>
  </si>
  <si>
    <t>PLANTATION ELEMENTARY</t>
  </si>
  <si>
    <t>PLANZ ELEMENTARY</t>
  </si>
  <si>
    <t>PLATINA ELEMENTARY</t>
  </si>
  <si>
    <t>PLAVAN (URBAIN H.) ELEMENTARY</t>
  </si>
  <si>
    <t>PLAYA DEL REY ELEMENTARY</t>
  </si>
  <si>
    <t>PLAYA VISTA ELEMENTARY</t>
  </si>
  <si>
    <t>PLAZA ELEMENTARY</t>
  </si>
  <si>
    <t>PLAZA ROBLES CONTINUATION HIGH</t>
  </si>
  <si>
    <t>PLAZA VISTA</t>
  </si>
  <si>
    <t>PLEASANT ELEMENTARY</t>
  </si>
  <si>
    <t>PLEASANT GROVE</t>
  </si>
  <si>
    <t>PLEASANT GROVE ELEMENTARY</t>
  </si>
  <si>
    <t>PLEASANT GROVE HIGH</t>
  </si>
  <si>
    <t>PLEASANT GROVE MIDDLE</t>
  </si>
  <si>
    <t>PLEASANT HILL EDUCATION CENTER</t>
  </si>
  <si>
    <t>PLEASANT HILL ELEMENTARY</t>
  </si>
  <si>
    <t>PLEASANT HILL MIDDLE</t>
  </si>
  <si>
    <t>PLEASANT RIDGE CHARTER</t>
  </si>
  <si>
    <t>PLEASANT RIDGE COMMUNITY DAY</t>
  </si>
  <si>
    <t>PLEASANT RIDGE SPECIAL EDUCATION PRESCHOOL</t>
  </si>
  <si>
    <t>PLEASANT VALLEY 3R COMMUNITY DAY</t>
  </si>
  <si>
    <t>PLEASANT VALLEY ELEMENTARY</t>
  </si>
  <si>
    <t>PLEASANT VALLEY HIGH</t>
  </si>
  <si>
    <t>PLEASANT VALLEY MIDDLE</t>
  </si>
  <si>
    <t>PLEASANT VALLEY SPECIAL EDUCATION PRESCHOOL</t>
  </si>
  <si>
    <t>PLEASANT VIEW</t>
  </si>
  <si>
    <t>PLEASANT VIEW ELEMENTARY</t>
  </si>
  <si>
    <t>PLEASANT VIEW PRIMARY COMMUNITY DAY SCHOOL</t>
  </si>
  <si>
    <t>PLEASANTON MIDDLE</t>
  </si>
  <si>
    <t>PLUM CANYON ELEMENTARY</t>
  </si>
  <si>
    <t>PLUM VALLEY ELEMENTARY</t>
  </si>
  <si>
    <t>PLUMAS AVENUE ELEMENTARY</t>
  </si>
  <si>
    <t>PLUMAS CHARTER</t>
  </si>
  <si>
    <t>PLUMAS COUNTY COMMUNITY</t>
  </si>
  <si>
    <t>PLUMAS COUNTY OPPORTUNITY</t>
  </si>
  <si>
    <t>PLUMAS COUNTY ROP</t>
  </si>
  <si>
    <t>PLUMMER ELEMENTARY</t>
  </si>
  <si>
    <t>PLYMOUTH ELEMENTARY</t>
  </si>
  <si>
    <t>PODESTA RANCH ELEMENTARY</t>
  </si>
  <si>
    <t>POINSETTIA ELEMENTARY</t>
  </si>
  <si>
    <t>POINT ARENA HIGH</t>
  </si>
  <si>
    <t>POINT DUME ELEMENTARY</t>
  </si>
  <si>
    <t>POINT FERMIN ELEMENTARY</t>
  </si>
  <si>
    <t>POINT LOMA HIGH</t>
  </si>
  <si>
    <t>POINT VICENTE ELEMENTARY</t>
  </si>
  <si>
    <t>POLARIS HIGH (ALTERNATIVE)</t>
  </si>
  <si>
    <t>POLE CORRAL ELEMENTARY</t>
  </si>
  <si>
    <t>POLYTECHNIC HIGH</t>
  </si>
  <si>
    <t>POMELO COMMUNITY CHARTER</t>
  </si>
  <si>
    <t>POMERADO ELEMENTARY</t>
  </si>
  <si>
    <t>POMEROY ELEMENTARY</t>
  </si>
  <si>
    <t>POMO</t>
  </si>
  <si>
    <t>POMOLITA MIDDLE</t>
  </si>
  <si>
    <t>POMONA ALTERNATIVE</t>
  </si>
  <si>
    <t>POMONA COMMUNITY DAY</t>
  </si>
  <si>
    <t>POMONA ELEMENTARY</t>
  </si>
  <si>
    <t>POMONA HIGH</t>
  </si>
  <si>
    <t>POND ELEMENTARY</t>
  </si>
  <si>
    <t>PONDEROSA COMMUNITY DAY</t>
  </si>
  <si>
    <t>PONDEROSA ELEMENTARY</t>
  </si>
  <si>
    <t>PONDEROSA HIGH</t>
  </si>
  <si>
    <t>PONY EXPRESS ELEMENTARY</t>
  </si>
  <si>
    <t>POPE VALLEY ELEMENTARY</t>
  </si>
  <si>
    <t>POPLAR AVENUE ELEMENTARY</t>
  </si>
  <si>
    <t>POPLAR ELEMENTARY</t>
  </si>
  <si>
    <t>PORT OF LOS ANGELES HIGH</t>
  </si>
  <si>
    <t>PORTER ELEMENTARY</t>
  </si>
  <si>
    <t>PORTER RANCH COMMUNITY</t>
  </si>
  <si>
    <t>PORTERVILLE HIGH</t>
  </si>
  <si>
    <t>PORTOLA ELEMENTARY</t>
  </si>
  <si>
    <t>PORTOLA HILLS ELEMENTARY</t>
  </si>
  <si>
    <t>PORTOLA JUNIOR HIGH</t>
  </si>
  <si>
    <t>PORTOLA JUNIOR/SENIOR HIGH</t>
  </si>
  <si>
    <t>PORTOLA MIDDLE</t>
  </si>
  <si>
    <t>PORTOLA OPPORTUNITY</t>
  </si>
  <si>
    <t>PORTOLA-BUTLER CONTINUATION HIGH</t>
  </si>
  <si>
    <t>POST ELEMENTARY</t>
  </si>
  <si>
    <t>POTRERO ELEMENTARY</t>
  </si>
  <si>
    <t>POTRERO HEIGHTS ELEMENTARY</t>
  </si>
  <si>
    <t>POTTER VALLEY  COMMUNITY DAY</t>
  </si>
  <si>
    <t>POTTER VALLEY ELEMENTARY</t>
  </si>
  <si>
    <t>POTTER VALLEY HIGH</t>
  </si>
  <si>
    <t>POTTER VALLEY JUNIOR HIGH</t>
  </si>
  <si>
    <t>POWAY HIGH</t>
  </si>
  <si>
    <t>POWELL ACADEMY FOR SUCCESS</t>
  </si>
  <si>
    <t>POWERS-GINSBURG ELEMENTARY</t>
  </si>
  <si>
    <t>PRADO VIEW ELEMENTARY</t>
  </si>
  <si>
    <t>PRAIRIE ELEMENTARY</t>
  </si>
  <si>
    <t>PRAIRIE VISTA MIDDLE</t>
  </si>
  <si>
    <t>PREPA TEC - LOS ANGELES</t>
  </si>
  <si>
    <t>PREPARATORY LITERARY ACADEMY OF CULTURAL EXCELLENC</t>
  </si>
  <si>
    <t>PRESCHOOL</t>
  </si>
  <si>
    <t>PRESCHOOL GRASP</t>
  </si>
  <si>
    <t>PRESCOTT JUNIOR HIGH</t>
  </si>
  <si>
    <t>PRESIDENT AVENUE ELEMENTARY</t>
  </si>
  <si>
    <t>PRESIDIO CHILDREN CENTER</t>
  </si>
  <si>
    <t>PRESIDIO MIDDLE</t>
  </si>
  <si>
    <t>PRESTON ELEMENTARY</t>
  </si>
  <si>
    <t>PRESTWOOD ELEMENTARY</t>
  </si>
  <si>
    <t>PREUSS SCHOOL UCSD</t>
  </si>
  <si>
    <t>PRICE (ADELAIDE) ELEMENTARY</t>
  </si>
  <si>
    <t>PRICE CHARTER MIDDLE</t>
  </si>
  <si>
    <t>PRICE ELEMENTARY</t>
  </si>
  <si>
    <t>PRICE INTERMEDIATE</t>
  </si>
  <si>
    <t>PRIDE ACADEMY AT PROSPECT AVENUE</t>
  </si>
  <si>
    <t>PRIDE CONTINUATION</t>
  </si>
  <si>
    <t>PRIMARY ACADEMY FOR SUCCESS</t>
  </si>
  <si>
    <t>PRIMARY CHARTER</t>
  </si>
  <si>
    <t>PRIMARY YEARS ACADEMY</t>
  </si>
  <si>
    <t>PRINCETON ELEMENTARY</t>
  </si>
  <si>
    <t>PRINCETON ELEMENTARY COMMUNITY DAY</t>
  </si>
  <si>
    <t>PRINCETON HIGH COMMUNITY DAY</t>
  </si>
  <si>
    <t>PRINCETON JUNIOR-SENIOR HIGH</t>
  </si>
  <si>
    <t>PRINCETON STREET ELEMENTARY</t>
  </si>
  <si>
    <t>PRISK ELEMENTARY</t>
  </si>
  <si>
    <t>PROCTOR ELEMENTARY</t>
  </si>
  <si>
    <t>PROCTOR TERRACE ELEMENTARY</t>
  </si>
  <si>
    <t>PROGRESSIVE ACADEMY</t>
  </si>
  <si>
    <t>PROMENADE ELEMENTARY</t>
  </si>
  <si>
    <t>PROMISE CHARTER</t>
  </si>
  <si>
    <t>PROSPECT EDUCATION CENTER</t>
  </si>
  <si>
    <t>PROSPECT ELEMENTARY</t>
  </si>
  <si>
    <t>PROSPECT HIGH</t>
  </si>
  <si>
    <t>PROSPECT HIGH (CONTINUATION)</t>
  </si>
  <si>
    <t>PROSPECTS HIGH (ALTERNATIVE)</t>
  </si>
  <si>
    <t>PROVIDENCE</t>
  </si>
  <si>
    <t>PROVIDENCIA ELEMENTARY</t>
  </si>
  <si>
    <t>PROVISIONAL ACCELERATED LEARNING ACADEMY</t>
  </si>
  <si>
    <t>PRUNEDALE ELEMENTARY</t>
  </si>
  <si>
    <t>PUBLIC SAFETY ACADEMY</t>
  </si>
  <si>
    <t>PUBLIC SERVICE COMMUNITY AT DIEGO RIVERA LEARNING</t>
  </si>
  <si>
    <t>PUC CA ACADEMY FOR LIBERAL STUDIES EARLY COLLEGE H</t>
  </si>
  <si>
    <t>PUC CALIFORNIA ACADEMY FOR LIBERAL STUDIES</t>
  </si>
  <si>
    <t>PUC COMMUNITY CHARTER EARLY COLLEGE HIGH</t>
  </si>
  <si>
    <t>PUC COMMUNITY CHARTER MIDDLE</t>
  </si>
  <si>
    <t>PUC EARLY COLLEGE ACADEMY FOR LEADERS AND SCHOLARS</t>
  </si>
  <si>
    <t>PUC EXCEL CHARTER ACADEMY</t>
  </si>
  <si>
    <t>PUC LAKEVIEW CHARTER ACADEMY</t>
  </si>
  <si>
    <t>PUC LAKEVIEW CHARTER HIGH</t>
  </si>
  <si>
    <t>PUC MILAGRO CHARTER</t>
  </si>
  <si>
    <t>PUC NUEVA ESPERANZA CHARTER ACADEMY</t>
  </si>
  <si>
    <t>PUC SANTA ROSA CHARTER ACADEMY</t>
  </si>
  <si>
    <t>PUC TRIUMPH ACADEMY</t>
  </si>
  <si>
    <t>PUC TRIUMPH CHARTER HIGH</t>
  </si>
  <si>
    <t>PUEBLO</t>
  </si>
  <si>
    <t>PUEBLO DE LOS ANGELES CONTINUATION</t>
  </si>
  <si>
    <t>PUEBLO VISTA ELEMENTARY</t>
  </si>
  <si>
    <t>PUENTE CHARTER</t>
  </si>
  <si>
    <t>PUENTE HILLS HIGH</t>
  </si>
  <si>
    <t>PUESTA DEL SOL ELEMENTARY</t>
  </si>
  <si>
    <t>PULLIAM ELEMENTARY</t>
  </si>
  <si>
    <t>PURCHE AVENUE ELEMENTARY</t>
  </si>
  <si>
    <t>PYLE ELEMENTARY</t>
  </si>
  <si>
    <t>QUAIL GLEN ELEMENTARY</t>
  </si>
  <si>
    <t>QUAIL LAKE ENVIRONMENTAL CHARTER</t>
  </si>
  <si>
    <t>QUAIL RUN ELEMENTARY</t>
  </si>
  <si>
    <t>QUAIL SUMMIT ELEMENTARY</t>
  </si>
  <si>
    <t>QUAIL VALLEY ELEMENTARY</t>
  </si>
  <si>
    <t>QUAIL VALLEY MIDDLE</t>
  </si>
  <si>
    <t>QUAILWOOD ELEMENTARY</t>
  </si>
  <si>
    <t>QUARTZ HILL ELEMENTARY</t>
  </si>
  <si>
    <t>QUARTZ HILL HIGH</t>
  </si>
  <si>
    <t>QUEEN ANNE PLACE ELEMENTARY</t>
  </si>
  <si>
    <t>QUEST ACADEMY</t>
  </si>
  <si>
    <t>QUEST ACADEMY COMMUNITY DAY</t>
  </si>
  <si>
    <t>QUIMBY OAK MIDDLE</t>
  </si>
  <si>
    <t>QUINCY ELEMENTARY</t>
  </si>
  <si>
    <t>QUINCY JONES ELEMENTARY</t>
  </si>
  <si>
    <t>QUINCY JUNIOR/SENIOR HIGH</t>
  </si>
  <si>
    <t>R. D. WHITE ELEMENTARY</t>
  </si>
  <si>
    <t>R. F. HAZARD ELEMENTARY</t>
  </si>
  <si>
    <t>R. I. MEYERHOLZ ELEMENTARY</t>
  </si>
  <si>
    <t>R. J. NEUTRA</t>
  </si>
  <si>
    <t>R. K. LLOYDE HIGH</t>
  </si>
  <si>
    <t>R. L. STEVENSON ELEMENTARY</t>
  </si>
  <si>
    <t>R. M. MIANO ELEMENTARY</t>
  </si>
  <si>
    <t>R. O. HARDIN ELEMENTARY</t>
  </si>
  <si>
    <t>R. PAUL KREY ELEMENTARY</t>
  </si>
  <si>
    <t>R. REX PARRIS HIGH</t>
  </si>
  <si>
    <t>R. ROGER ROWE ELEMENTARY</t>
  </si>
  <si>
    <t>R. ROGER ROWE MIDDLE</t>
  </si>
  <si>
    <t>R.A.A.M.P. CHARTER ACADEMY</t>
  </si>
  <si>
    <t>RACHEL CARSON ELEMENTARY</t>
  </si>
  <si>
    <t>RADCLIFF ELEMENTARY</t>
  </si>
  <si>
    <t>RAFER JOHNSON CHILDRENS CENTER</t>
  </si>
  <si>
    <t>RAFER JOHNSON JUNIOR HIGH</t>
  </si>
  <si>
    <t>RAFFAELLO PALLA ELEMENTARY</t>
  </si>
  <si>
    <t>RAI ONLINE CHARTER</t>
  </si>
  <si>
    <t>RAIL RANCH ELEMENTARY</t>
  </si>
  <si>
    <t>RAIL ROAD FLAT ELEMENTARY</t>
  </si>
  <si>
    <t>RAILROAD CANYON ELEMENTARY</t>
  </si>
  <si>
    <t>RAILWAY ELEMENTARY</t>
  </si>
  <si>
    <t>RAINBOW RIDGE ELEMENTARY</t>
  </si>
  <si>
    <t>RAINBOW SPRINGS</t>
  </si>
  <si>
    <t>RAINCROSS HIGH (CONTINUATION)</t>
  </si>
  <si>
    <t>RAISIN CITY ELEMENTARY</t>
  </si>
  <si>
    <t>RALPH A. GATES ELEMENTARY</t>
  </si>
  <si>
    <t>RALPH BUNCHE ELEMENTARY</t>
  </si>
  <si>
    <t>RALPH DUNLAP ELEMENTARY</t>
  </si>
  <si>
    <t>RALPH E. HAWES ELEMENTARY</t>
  </si>
  <si>
    <t>RALPH EMERSON ELEMENTARY</t>
  </si>
  <si>
    <t>RALPH J. BUNCHE HIGH</t>
  </si>
  <si>
    <t>RALPH RICHARDSON CENTER</t>
  </si>
  <si>
    <t>RALPH WALDO EMERSON JUNIOR HIGH</t>
  </si>
  <si>
    <t>RALPH WALDO EMERSON MIDDLE</t>
  </si>
  <si>
    <t>RALSTON INTERMEDIATE</t>
  </si>
  <si>
    <t>RAMBLEWOOD ELEMENTARY</t>
  </si>
  <si>
    <t>RAMON ALTERNATIVE CENTER</t>
  </si>
  <si>
    <t>RAMON C. CORTINES SCHOOL OF VISUAL AND PERFORMING</t>
  </si>
  <si>
    <t>RAMON GARZA ELEMENTARY</t>
  </si>
  <si>
    <t>RAMON S. TAFOYA ELEMENTARY</t>
  </si>
  <si>
    <t>RAMONA</t>
  </si>
  <si>
    <t>RAMONA COMMUNITY</t>
  </si>
  <si>
    <t>RAMONA ELEMENTARY</t>
  </si>
  <si>
    <t>RAMONA HEAD START/STATE PRESCHOOL</t>
  </si>
  <si>
    <t>RAMONA HIGH</t>
  </si>
  <si>
    <t>RAMONA JUNIOR HIGH</t>
  </si>
  <si>
    <t>RAMONA MIDDLE</t>
  </si>
  <si>
    <t>RAMONA OPPORTUNITY HIGH</t>
  </si>
  <si>
    <t>RAMONA-ALESSANDRO ELEMENTARY</t>
  </si>
  <si>
    <t>RANCH HILLS ELEMENTARY</t>
  </si>
  <si>
    <t>RANCH VIEW ELEMENTARY</t>
  </si>
  <si>
    <t>RANCHERIA CONTINUATION</t>
  </si>
  <si>
    <t>RANCHERO MIDDLE</t>
  </si>
  <si>
    <t>RANCHITO AVENUE ELEMENTARY</t>
  </si>
  <si>
    <t>RANCHO ALAMITOS HIGH</t>
  </si>
  <si>
    <t>RANCHO BERNARDO HIGH</t>
  </si>
  <si>
    <t>RANCHO BUENA VISTA HIGH</t>
  </si>
  <si>
    <t>RANCHO CANADA ELEMENTARY</t>
  </si>
  <si>
    <t>RANCHO CORDOVA ELEMENTARY</t>
  </si>
  <si>
    <t>RANCHO COTATE HIGH</t>
  </si>
  <si>
    <t>RANCHO CUCAMONGA HIGH</t>
  </si>
  <si>
    <t>RANCHO CUCAMONGA MIDDLE</t>
  </si>
  <si>
    <t>RANCHO DE LA NACION</t>
  </si>
  <si>
    <t>RANCHO DEL MAR HIGH (CONTINUATION)</t>
  </si>
  <si>
    <t>RANCHO DEL REY MIDDLE</t>
  </si>
  <si>
    <t>RANCHO DOMINGUEZ PREPARATORY</t>
  </si>
  <si>
    <t>RANCHO ELEMENTARY</t>
  </si>
  <si>
    <t>RANCHO LAS POSITAS ELEMENTARY</t>
  </si>
  <si>
    <t>RANCHO LEARNING CENTER (ALTERNATIVE)</t>
  </si>
  <si>
    <t>RANCHO MEDANOS JUNIOR HIGH</t>
  </si>
  <si>
    <t>RANCHO MILPITAS MIDDLE</t>
  </si>
  <si>
    <t>RANCHO MINERVA MIDDLE</t>
  </si>
  <si>
    <t>RANCHO MIRAGE ELEMENTARY</t>
  </si>
  <si>
    <t>RANCHO MIRAGE HIGH</t>
  </si>
  <si>
    <t>RANCHO PICO JUNIOR HIGH</t>
  </si>
  <si>
    <t>RANCHO ROMERO ELEMENTARY</t>
  </si>
  <si>
    <t>RANCHO ROSAL ELEMENTARY</t>
  </si>
  <si>
    <t>RANCHO SAN DIEGO ELEMENTARY</t>
  </si>
  <si>
    <t>RANCHO SAN JOAQUIN MIDDLE</t>
  </si>
  <si>
    <t>RANCHO SAN JUSTO</t>
  </si>
  <si>
    <t>RANCHO SANTA GERTRUDES ELEMENTARY</t>
  </si>
  <si>
    <t>RANCHO SANTA MARGARITA INTERMEDIATE</t>
  </si>
  <si>
    <t>RANCHO TEHAMA ELEMENTARY</t>
  </si>
  <si>
    <t>RANCHO VERDE ELEMENTARY</t>
  </si>
  <si>
    <t>RANCHO VERDE HIGH</t>
  </si>
  <si>
    <t>RANCHO VIEJO MIDDLE</t>
  </si>
  <si>
    <t>RANCHO VISTA ELEMENTARY</t>
  </si>
  <si>
    <t>RANCHO VISTA HIGH</t>
  </si>
  <si>
    <t>RANCHO-STARBUCK INTERMEDIATE</t>
  </si>
  <si>
    <t>RANCHOS MIDDLE</t>
  </si>
  <si>
    <t>RAND ELEMENTARY</t>
  </si>
  <si>
    <t>RANDALL PEPPER ELEMENTARY</t>
  </si>
  <si>
    <t>RARE EARTH HIGH (CONTINUATION)</t>
  </si>
  <si>
    <t>RAY WILTSEY MIDDLE</t>
  </si>
  <si>
    <t>RAYMOND A. VILLA FUNDAMENTAL INTERMEDIATE</t>
  </si>
  <si>
    <t>RAYMOND AVENUE ELEMENTARY</t>
  </si>
  <si>
    <t>RAYMOND CASE ELEMENTARY</t>
  </si>
  <si>
    <t>RAYMOND CREE MIDDLE</t>
  </si>
  <si>
    <t>RAYMOND ELEMENTARY</t>
  </si>
  <si>
    <t>RAYMOND GRANITE HIGH</t>
  </si>
  <si>
    <t>RAYMOND J. FISHER MIDDLE</t>
  </si>
  <si>
    <t>RAYMOND TEMPLE ELEMENTARY</t>
  </si>
  <si>
    <t>RAYMOND-KNOWLES COMMUNITY DAY</t>
  </si>
  <si>
    <t>RAYMOND-KNOWLES ELEMENTARY</t>
  </si>
  <si>
    <t>REACH</t>
  </si>
  <si>
    <t>REACH ACADEMY</t>
  </si>
  <si>
    <t>REACH LEADERSHIP ACADEMY</t>
  </si>
  <si>
    <t>READY SPRINGS ELEMENTARY</t>
  </si>
  <si>
    <t>READY SPRINGS SPECIAL EDUCATION PRESCHOOL</t>
  </si>
  <si>
    <t>REAGAN ELEMENTARY</t>
  </si>
  <si>
    <t>REALM CHARTER HIGH</t>
  </si>
  <si>
    <t>REALM CHARTER MIDDLE</t>
  </si>
  <si>
    <t>REBOUND</t>
  </si>
  <si>
    <t>RECHE CANYON ELEMENTARY</t>
  </si>
  <si>
    <t>RED BANK ELEMENTARY</t>
  </si>
  <si>
    <t>RED BLUFF COMMUNITY DAY</t>
  </si>
  <si>
    <t>RED BLUFF COMMUNITY DAY K-5</t>
  </si>
  <si>
    <t>RED BLUFF HIGH</t>
  </si>
  <si>
    <t>RED BLUFF INDEPENDENT STUDY HIGH</t>
  </si>
  <si>
    <t>RED HAWK ELEMENTARY</t>
  </si>
  <si>
    <t>RED HILL ELEMENTARY</t>
  </si>
  <si>
    <t>RED OAK ELEMENTARY</t>
  </si>
  <si>
    <t>RED RIVER COMMUNITY DAY</t>
  </si>
  <si>
    <t>REDDING (RAY) HIGH (CONTINUATION)</t>
  </si>
  <si>
    <t>REDDING COMMUNITY DAY</t>
  </si>
  <si>
    <t>REDDING ELEMENTARY</t>
  </si>
  <si>
    <t>REDDING SCHOOL OF THE ARTS II</t>
  </si>
  <si>
    <t>REDLANDS EACADEMY</t>
  </si>
  <si>
    <t>REDLANDS EAST VALLEY HIGH</t>
  </si>
  <si>
    <t>REDLANDS SENIOR HIGH</t>
  </si>
  <si>
    <t>REDONDO BEACH LEARNING ACADEMY</t>
  </si>
  <si>
    <t>REDONDO SHORES HIGH (CONTINUATION)</t>
  </si>
  <si>
    <t>REDONDO UNION HIGH</t>
  </si>
  <si>
    <t>REDWAY ELEMENTARY</t>
  </si>
  <si>
    <t>REDWOOD ACADEMY OF UKIAH</t>
  </si>
  <si>
    <t>REDWOOD COAST MONTESSORI</t>
  </si>
  <si>
    <t>REDWOOD CONSORTIUM FOR STUDENT SERVICES</t>
  </si>
  <si>
    <t>REDWOOD CONTINUATION HIGH</t>
  </si>
  <si>
    <t>REDWOOD ELEMENTARY</t>
  </si>
  <si>
    <t>REDWOOD HEIGHTS ELEMENTARY</t>
  </si>
  <si>
    <t>REDWOOD HIGH</t>
  </si>
  <si>
    <t>REDWOOD HIGH (CONTINUATION)</t>
  </si>
  <si>
    <t>REDWOOD MIDDLE</t>
  </si>
  <si>
    <t>REDWOOD PREPARATORY CHARTER</t>
  </si>
  <si>
    <t>REDWOOD SHORES ELEMENTARY</t>
  </si>
  <si>
    <t>REED ELEMENTARY</t>
  </si>
  <si>
    <t>REEDLEY HIGH</t>
  </si>
  <si>
    <t>REEDLEY MIDDLE COLLEGE HIGH</t>
  </si>
  <si>
    <t>REEDS CREEK ELEMENTARY</t>
  </si>
  <si>
    <t>REEF SUNSET MIDDLE</t>
  </si>
  <si>
    <t>REEF-SUNSET PRIMARY COMMUNITY DAY</t>
  </si>
  <si>
    <t>REEF-SUNSET SECONDARY COMMUNITY DAY</t>
  </si>
  <si>
    <t>REEMS (ERNESTINE C.) ACADEMY OF TECHNOLOGY AND ART</t>
  </si>
  <si>
    <t>REFUGIO HIGH</t>
  </si>
  <si>
    <t>REGENCY PARK ELEMENTARY</t>
  </si>
  <si>
    <t>REGINALD M. BENTON MIDDLE</t>
  </si>
  <si>
    <t>REID HIGH</t>
  </si>
  <si>
    <t>REIDY CREEK ELEMENTARY</t>
  </si>
  <si>
    <t>RENAISSANCE</t>
  </si>
  <si>
    <t>RENAISSANCE ACADEMY</t>
  </si>
  <si>
    <t>RENAISSANCE ARTS ACADEMY</t>
  </si>
  <si>
    <t>RENAISSANCE AT MATHSON</t>
  </si>
  <si>
    <t>RENAISSANCE COMMUNITY DAY</t>
  </si>
  <si>
    <t>RENAISSANCE COURT</t>
  </si>
  <si>
    <t>RENAISSANCE HIGH</t>
  </si>
  <si>
    <t>RENAISSANCE HIGH CONTINUATION</t>
  </si>
  <si>
    <t>RENAISSANCE HIGH SCHOOL FOR THE ARTS</t>
  </si>
  <si>
    <t>RENDER CONTINUATION HIGH</t>
  </si>
  <si>
    <t>RENU HOPE PRESCHOOL</t>
  </si>
  <si>
    <t>REPETTO ELEMENTARY</t>
  </si>
  <si>
    <t>RESCUE ELEMENTARY</t>
  </si>
  <si>
    <t>RESEDA ELEMENTARY</t>
  </si>
  <si>
    <t>RESEDA SENIOR HIGH</t>
  </si>
  <si>
    <t>RESNIK CAMP</t>
  </si>
  <si>
    <t>REVERE (PAUL) ELEMENTARY</t>
  </si>
  <si>
    <t>REWARD MINE COMMUNITY DAY</t>
  </si>
  <si>
    <t>REYBURN INTERMEDIATE</t>
  </si>
  <si>
    <t>REYMOUTH SPECIAL EDUCATION CENTER</t>
  </si>
  <si>
    <t>REYNOLDS ELEMENTARY</t>
  </si>
  <si>
    <t>RFK COMMUNITY SCHOOLS - AMBASSADOR SCHOOL - GLOBAL</t>
  </si>
  <si>
    <t>RFK COMMUNITY SCHOOLS- FOR THE VISUAL ARTS AND HUM</t>
  </si>
  <si>
    <t>RFK COMMUNITY SCHOOLS-AMBASSADOR-GLOBAL LEADERSHIP</t>
  </si>
  <si>
    <t>RFK COMMUNITY SCHOOLS-LOS ANGELES HIGH SCHOOL OF T</t>
  </si>
  <si>
    <t>RFK COMMUNITY SCHOOLS-NEW OPEN WORLD ACADEMY K-12</t>
  </si>
  <si>
    <t>RFK COMMUNITY SCHOOLS-UCLA COMMUNITY K-12</t>
  </si>
  <si>
    <t>RHODA MAXWELL ELEMENTARY</t>
  </si>
  <si>
    <t>RIALTO COMMUNITY DAY</t>
  </si>
  <si>
    <t>RIALTO HIGH</t>
  </si>
  <si>
    <t>RIALTO MIDDLE</t>
  </si>
  <si>
    <t>RICARDO LIZARRAGA ELEMENTARY</t>
  </si>
  <si>
    <t>RICE (ELDRIDGE) ELEMENTARY</t>
  </si>
  <si>
    <t>RICE (LILIAN J.) ELEMENTARY</t>
  </si>
  <si>
    <t>RICE (WILLIAM) ELEMENTARY</t>
  </si>
  <si>
    <t>RICE CANYON ELEMENTARY</t>
  </si>
  <si>
    <t>RICHARD A. ALONZO COMMUNITY DAY</t>
  </si>
  <si>
    <t>RICHARD B. HAYDOCK INTERMEDIATE</t>
  </si>
  <si>
    <t>RICHARD BARD ELEMENTARY</t>
  </si>
  <si>
    <t>RICHARD E. BYRD MIDDLE</t>
  </si>
  <si>
    <t>RICHARD H. LEWIS ALTERNATIVE</t>
  </si>
  <si>
    <t>RICHARD HAYNES ELEMENTARY</t>
  </si>
  <si>
    <t>RICHARD HENRY DANA ELEMENTARY</t>
  </si>
  <si>
    <t>RICHARD HENRY DANA EXCEPTIONAL NEEDS</t>
  </si>
  <si>
    <t>RICHARD HENRY DANA MIDDLE</t>
  </si>
  <si>
    <t>RICHARD HENRY LEE ELEMENTARY</t>
  </si>
  <si>
    <t>RICHARD L. GRAVES MIDDLE</t>
  </si>
  <si>
    <t>RICHARD M. MOON PRIMARY</t>
  </si>
  <si>
    <t>RICHARD RIORDAN PRIMARY CENTER</t>
  </si>
  <si>
    <t>RICHARDSON PREP HI</t>
  </si>
  <si>
    <t>RICHFIELD ELEMENTARY</t>
  </si>
  <si>
    <t>RICHGROVE ELEMENTARY</t>
  </si>
  <si>
    <t>RICHLAND AVENUE ELEMENTARY</t>
  </si>
  <si>
    <t>RICHLAND CONTINUATION HIGH</t>
  </si>
  <si>
    <t>RICHLAND ELEMENTARY</t>
  </si>
  <si>
    <t>RICHLAND JUNIOR HIGH</t>
  </si>
  <si>
    <t>RICHMAN ELEMENTARY</t>
  </si>
  <si>
    <t>RICHMOND CHARTER ACADEMY</t>
  </si>
  <si>
    <t>RICHMOND COLLEGE PREPARATORY</t>
  </si>
  <si>
    <t>RICHMOND ELEMENTARY</t>
  </si>
  <si>
    <t>RICHMOND HIGH</t>
  </si>
  <si>
    <t>RICHMOND STREET ELEMENTARY</t>
  </si>
  <si>
    <t>RICHVALE ELEMENTARY</t>
  </si>
  <si>
    <t>RIDGE CREST ELEMENTARY</t>
  </si>
  <si>
    <t>RIDGECREST CHARTER</t>
  </si>
  <si>
    <t>RIDGECREST INTERMEDIATE</t>
  </si>
  <si>
    <t>RIDGEMOOR ELEMENTARY</t>
  </si>
  <si>
    <t>RIDGEPOINT ELEMENTARY</t>
  </si>
  <si>
    <t>RIDGEVIEW ELEMENTARY</t>
  </si>
  <si>
    <t>RIDGEVIEW HIGH</t>
  </si>
  <si>
    <t>RIDGEVIEW HIGH (CONTINUATION)</t>
  </si>
  <si>
    <t>RIDGEWOOD ELEMENTARY</t>
  </si>
  <si>
    <t>RIDGWAY HIGH (CONTINUATION)</t>
  </si>
  <si>
    <t>RILEY ELEMENTARY</t>
  </si>
  <si>
    <t>RILEY/NEW DAWN</t>
  </si>
  <si>
    <t>RIM ACADEMY</t>
  </si>
  <si>
    <t>RIM OF THE WORLD SENIOR HIGH</t>
  </si>
  <si>
    <t>RINCON HIGH (CONTINUATION)</t>
  </si>
  <si>
    <t>RINCON INTERMEDIATE</t>
  </si>
  <si>
    <t>RINCON MIDDLE</t>
  </si>
  <si>
    <t>RINCON VALLEY CHARTER</t>
  </si>
  <si>
    <t>RINCON VALLEY MIDDLE</t>
  </si>
  <si>
    <t>RIO ALTURA ELEMENTARY</t>
  </si>
  <si>
    <t>RIO AMERICANO HIGH</t>
  </si>
  <si>
    <t>RIO BRAVO ELEMENTARY</t>
  </si>
  <si>
    <t>RIO BRAVO-GREELEY ELEMENTARY</t>
  </si>
  <si>
    <t>RIO CALAVERAS ELEMENTARY</t>
  </si>
  <si>
    <t>RIO CAZADERO HIGH (CONTINUATION)</t>
  </si>
  <si>
    <t>RIO COMMUNITY DAY</t>
  </si>
  <si>
    <t>RIO DEL MAR</t>
  </si>
  <si>
    <t>RIO DEL MAR ELEMENTARY</t>
  </si>
  <si>
    <t>RIO DEL NORTE</t>
  </si>
  <si>
    <t>RIO DEL ORO ELEMENTARY</t>
  </si>
  <si>
    <t>RIO DEL REY HIGH (CONTINUATION)</t>
  </si>
  <si>
    <t>RIO DEL VALLE MIDDLE</t>
  </si>
  <si>
    <t>RIO HONDO ELEMENTARY</t>
  </si>
  <si>
    <t>RIO LINDA HIGH</t>
  </si>
  <si>
    <t>RIO LINDA PREPARATORY ACADEMY</t>
  </si>
  <si>
    <t>RIO LINDO ELEMENTARY</t>
  </si>
  <si>
    <t>RIO MESA HIGH</t>
  </si>
  <si>
    <t>RIO NORTE JUNIOR HIGH</t>
  </si>
  <si>
    <t>RIO PLAZA ELEMENTARY</t>
  </si>
  <si>
    <t>RIO REAL ELEMENTARY</t>
  </si>
  <si>
    <t>RIO ROSALES</t>
  </si>
  <si>
    <t>RIO SAN GABRIEL ELEMENTARY</t>
  </si>
  <si>
    <t>RIO SECO ELEMENTARY</t>
  </si>
  <si>
    <t>RIO TIERRA JUNIOR HIGH</t>
  </si>
  <si>
    <t>RIO VALLEY CHARTER</t>
  </si>
  <si>
    <t>RIO VISTA COMMUNITY DAY</t>
  </si>
  <si>
    <t>RIO VISTA ELEMENTARY</t>
  </si>
  <si>
    <t>RIO VISTA HIGH</t>
  </si>
  <si>
    <t>RIO VISTA MIDDLE</t>
  </si>
  <si>
    <t>RIOS ELEMENTARY</t>
  </si>
  <si>
    <t>RIPON ELEMENTARY</t>
  </si>
  <si>
    <t>RIPON HIGH</t>
  </si>
  <si>
    <t>RIPONA ELEMENTARY</t>
  </si>
  <si>
    <t>RISE COMMUNITY</t>
  </si>
  <si>
    <t>RISE KOHYANG MIDDLE</t>
  </si>
  <si>
    <t>RITE OF PASSAGE</t>
  </si>
  <si>
    <t>RITTER ELEMENTARY</t>
  </si>
  <si>
    <t>RIVER BEND</t>
  </si>
  <si>
    <t>RIVER BLUFF ELEMENTARY</t>
  </si>
  <si>
    <t>RIVER CHARTER</t>
  </si>
  <si>
    <t>RIVER CITY HIGH</t>
  </si>
  <si>
    <t>RIVER DELTA COMMUNITY DAY</t>
  </si>
  <si>
    <t>RIVER DELTA HIGH/ELEMENTARY (ALTERNATIVE)</t>
  </si>
  <si>
    <t>RIVER GLEN</t>
  </si>
  <si>
    <t>RIVER HEIGHTS INTERMEDIATE</t>
  </si>
  <si>
    <t>RIVER ISLANDS TECHNOLOGY ACADEMY</t>
  </si>
  <si>
    <t>RIVER MONTESSORI ELEMENTARY CHARTER</t>
  </si>
  <si>
    <t>RIVER OAK CHARTER</t>
  </si>
  <si>
    <t>RIVER OAKS ACADEMY</t>
  </si>
  <si>
    <t>RIVER OAKS ELEMENTARY</t>
  </si>
  <si>
    <t>RIVER SPRINGS CHARTER</t>
  </si>
  <si>
    <t>RIVER VALLEY CHARTER</t>
  </si>
  <si>
    <t>RIVER VALLEY HIGH</t>
  </si>
  <si>
    <t>RIVER'S EDGE COMMUNITY DAY</t>
  </si>
  <si>
    <t>RIVERA ELEMENTARY</t>
  </si>
  <si>
    <t>RIVERA MIDDLE</t>
  </si>
  <si>
    <t>RIVERBANK ELEMENTARY</t>
  </si>
  <si>
    <t>RIVERBANK HIGH</t>
  </si>
  <si>
    <t>RIVERBANK LANGUAGE ACADEMY</t>
  </si>
  <si>
    <t>RIVERBEND ELEMENTARY</t>
  </si>
  <si>
    <t>RIVERCREST PREPARATORY</t>
  </si>
  <si>
    <t>RIVERDALE COMMUNITY DAY</t>
  </si>
  <si>
    <t>RIVERDALE ELEMENTARY</t>
  </si>
  <si>
    <t>RIVERDALE HIGH</t>
  </si>
  <si>
    <t>RIVERGOLD ELEMENTARY</t>
  </si>
  <si>
    <t>RIVERSIDE COUNTY COMMUNITY</t>
  </si>
  <si>
    <t>RIVERSIDE COUNTY EDUCATION ACADEMY</t>
  </si>
  <si>
    <t>RIVERSIDE COUNTY JUVENILE COURT</t>
  </si>
  <si>
    <t>RIVERSIDE COUNTY OPPORTUNITY</t>
  </si>
  <si>
    <t>RIVERSIDE COUNTY ROP</t>
  </si>
  <si>
    <t>RIVERSIDE COUNTY SPECIAL EDUCATION</t>
  </si>
  <si>
    <t>RIVERSIDE DRIVE CHARTER ELEMENTARY</t>
  </si>
  <si>
    <t>RIVERSIDE ELEMENTARY</t>
  </si>
  <si>
    <t>RIVERSIDE MEADOWS INTERMEDIATE</t>
  </si>
  <si>
    <t>RIVERSIDE PREPARATORY</t>
  </si>
  <si>
    <t>RIVERSIDE STEM ACADEMY</t>
  </si>
  <si>
    <t>RIVERSIDE VIRTUAL</t>
  </si>
  <si>
    <t>RIVERVIEW ELEMENTARY</t>
  </si>
  <si>
    <t>RIVERVIEW MIDDLE</t>
  </si>
  <si>
    <t>RIVIERA ELEMENTARY</t>
  </si>
  <si>
    <t>RIVIERA HIGH</t>
  </si>
  <si>
    <t>ROB REINER CHILDREN &amp; FAMILIES CENTER</t>
  </si>
  <si>
    <t>ROBBINS ELEMENTARY</t>
  </si>
  <si>
    <t>ROBERT A. MILLIKAN MIDDLE</t>
  </si>
  <si>
    <t>ROBERT C. COOLEY MIDDLE</t>
  </si>
  <si>
    <t>ROBERT C. FISLER ELEMENTARY</t>
  </si>
  <si>
    <t>ROBERT DOWN ELEMENTARY</t>
  </si>
  <si>
    <t>ROBERT E. PEARY MIDDLE</t>
  </si>
  <si>
    <t>ROBERT E. WILLETT ELEMENTARY</t>
  </si>
  <si>
    <t>ROBERT ELLIOTT ALTERNATIVE EDUCATION CENTER</t>
  </si>
  <si>
    <t>ROBERT F. KENNEDY ELEMENTARY</t>
  </si>
  <si>
    <t>ROBERT F. KENNEDY HIGH</t>
  </si>
  <si>
    <t>ROBERT FROST MIDDLE</t>
  </si>
  <si>
    <t>ROBERT FULTON COLLEGE PREPARATORY</t>
  </si>
  <si>
    <t>ROBERT H. LEWIS CONTINUATION</t>
  </si>
  <si>
    <t>ROBERT HEIDEMAN ELEMENTARY</t>
  </si>
  <si>
    <t>ROBERT HILL LANE ELEMENTARY</t>
  </si>
  <si>
    <t>ROBERT J. FITE ELEMENTARY</t>
  </si>
  <si>
    <t>ROBERT J. FRANK INTERMEDIATE</t>
  </si>
  <si>
    <t>ROBERT L. STEVENS ELEMENTARY</t>
  </si>
  <si>
    <t>ROBERT LOUIS STEVENSON INTERMEDIATE</t>
  </si>
  <si>
    <t>ROBERT LOUIS STEVENSON MIDDLE</t>
  </si>
  <si>
    <t>ROBERT M. PYLES ELEMENTARY</t>
  </si>
  <si>
    <t>ROBERT O. TOWNSEND JUNIOR HIGH</t>
  </si>
  <si>
    <t>ROBERT P. ULRICH ELEMENTARY</t>
  </si>
  <si>
    <t>ROBERT RANDALL ELEMENTARY</t>
  </si>
  <si>
    <t>ROBERT SANDERS ELEMENTARY</t>
  </si>
  <si>
    <t>ROBERT SEMPLE ELEMENTARY</t>
  </si>
  <si>
    <t>ROBERTS FERRY CHARTER SCHOOL ACADEMY</t>
  </si>
  <si>
    <t>ROBERTS FERRY COMMUNITY DAY</t>
  </si>
  <si>
    <t>ROBERTS FERRY UNION ELEMENTARY</t>
  </si>
  <si>
    <t>ROBERTSON HIGH (CONTINUATION)</t>
  </si>
  <si>
    <t>ROBERTSON ROAD ELEMENTARY</t>
  </si>
  <si>
    <t>ROBINSON ACADEMY</t>
  </si>
  <si>
    <t>ROBINSON ELEMENTARY</t>
  </si>
  <si>
    <t>ROBLA ELEMENTARY</t>
  </si>
  <si>
    <t>ROBLA PRESCHOOL</t>
  </si>
  <si>
    <t>ROCHE ELEMENTARY</t>
  </si>
  <si>
    <t>ROCK CREEK ELEMENTARY</t>
  </si>
  <si>
    <t>ROCK SPRINGS ELEMENTARY</t>
  </si>
  <si>
    <t>ROCKDALE ELEMENTARY</t>
  </si>
  <si>
    <t>ROCKETSHIP ACADEMY BRILLIANT MINDS</t>
  </si>
  <si>
    <t>ROCKETSHIP ALMA ACADEMY</t>
  </si>
  <si>
    <t>ROCKETSHIP DISCOVERY PREP</t>
  </si>
  <si>
    <t>ROCKETSHIP EIGHT ELEMENTARY</t>
  </si>
  <si>
    <t>ROCKETSHIP LOS SUENOS ACADEMY</t>
  </si>
  <si>
    <t>ROCKETSHIP MATEO SHEEDY ELEMENTARY</t>
  </si>
  <si>
    <t>ROCKETSHIP MOSAIC ELEMENTARY</t>
  </si>
  <si>
    <t>ROCKETSHIP SI SE PUEDE ACADEMY</t>
  </si>
  <si>
    <t>ROCKETSHIP SPARK ACADEMY</t>
  </si>
  <si>
    <t>ROCKEY GLENN CAMP</t>
  </si>
  <si>
    <t>ROCKFORD ELEMENTARY</t>
  </si>
  <si>
    <t>ROCKLIN ACADEMY</t>
  </si>
  <si>
    <t>ROCKLIN ACADEMY AT MEYERS STREET</t>
  </si>
  <si>
    <t>ROCKLIN ACADEMY GATEWAY</t>
  </si>
  <si>
    <t>ROCKLIN ALTERNATIVE EDUCATION CENTER</t>
  </si>
  <si>
    <t>ROCKLIN ELEMENTARY</t>
  </si>
  <si>
    <t>ROCKLIN HIGH</t>
  </si>
  <si>
    <t>ROCKWOOD ELEMENTARY</t>
  </si>
  <si>
    <t>ROCKY HILL ELEMENTARY</t>
  </si>
  <si>
    <t>ROCKY POINT CHARTER</t>
  </si>
  <si>
    <t>ROCKY RIDGE HIGH</t>
  </si>
  <si>
    <t>ROD KELLEY ELEMENTARY</t>
  </si>
  <si>
    <t>RODEO HILLS ELEMENTARY</t>
  </si>
  <si>
    <t>RODRIGUEZ ELEMENTARY</t>
  </si>
  <si>
    <t>ROEDING ELEMENTARY</t>
  </si>
  <si>
    <t>ROGER ANTON ELEMENTARY</t>
  </si>
  <si>
    <t>ROGER S. ORAZE ELEMENTARY</t>
  </si>
  <si>
    <t>ROGERS (GREG) ELEMENTARY</t>
  </si>
  <si>
    <t>ROGERS MIDDLE</t>
  </si>
  <si>
    <t>ROHR (FRED H.) ELEMENTARY</t>
  </si>
  <si>
    <t>ROLANDO ELEMENTARY</t>
  </si>
  <si>
    <t>ROLANDO PARK ELEMENTARY</t>
  </si>
  <si>
    <t>ROLLING HILLS ELEMENTARY</t>
  </si>
  <si>
    <t>ROLLING HILLS MIDDLE</t>
  </si>
  <si>
    <t>ROLLING RIDGE ELEMENTARY</t>
  </si>
  <si>
    <t>ROLLINGWOOD ELEMENTARY</t>
  </si>
  <si>
    <t>ROMERO ELEMENTARY</t>
  </si>
  <si>
    <t>ROMOLAND ELEMENTARY</t>
  </si>
  <si>
    <t>RON HOCKWALT ACADEMIES (CONTINUATION)</t>
  </si>
  <si>
    <t>RON NUNN ELEMENTARY</t>
  </si>
  <si>
    <t>RONALD E. MCNAIR ELEMENTARY</t>
  </si>
  <si>
    <t>RONALD E. MCNAIR HIGH</t>
  </si>
  <si>
    <t>RONALD MCNAIR ACADEMY</t>
  </si>
  <si>
    <t>RONALD REAGAN ACADEMY</t>
  </si>
  <si>
    <t>RONALD REAGAN ELEMENTARY</t>
  </si>
  <si>
    <t>RONALD W. REAGAN ELEMENTARY</t>
  </si>
  <si>
    <t>ROOFTOP ELEMENTARY</t>
  </si>
  <si>
    <t>ROOSEVELT</t>
  </si>
  <si>
    <t>ROOSEVELT (THEODORE) ELEMENTARY</t>
  </si>
  <si>
    <t>ROOSEVELT ELEMENTARY</t>
  </si>
  <si>
    <t>ROOSEVELT HIGH</t>
  </si>
  <si>
    <t>ROOSEVELT INTERNATIONAL MIDDLE</t>
  </si>
  <si>
    <t>ROOSEVELT JUNIOR HIGH</t>
  </si>
  <si>
    <t>ROOSEVELT MIDDLE</t>
  </si>
  <si>
    <t>ROOTS INTERNATIONAL ACADEMY</t>
  </si>
  <si>
    <t>ROP CENTER</t>
  </si>
  <si>
    <t>RORIMER ELEMENTARY</t>
  </si>
  <si>
    <t>ROSA PARKS ELEMENTARY</t>
  </si>
  <si>
    <t>ROSA PARKS ENVIRONMENTAL SCIENCE MAGNET</t>
  </si>
  <si>
    <t>ROSA PARKS LEARNING CENTER</t>
  </si>
  <si>
    <t>ROSAMOND ELEMENTARY</t>
  </si>
  <si>
    <t>ROSAMOND HIGH</t>
  </si>
  <si>
    <t>ROSCOE ELEMENTARY</t>
  </si>
  <si>
    <t>ROSCOMARE ROAD ELEMENTARY</t>
  </si>
  <si>
    <t>ROSE AVENUE ELEMENTARY</t>
  </si>
  <si>
    <t>ROSE CITY HIGH (CONTINUATION)</t>
  </si>
  <si>
    <t>ROSE DRIVE ELEMENTARY</t>
  </si>
  <si>
    <t>ROSE ELEMENTARY</t>
  </si>
  <si>
    <t>ROSE FERRERO ELEMENTARY</t>
  </si>
  <si>
    <t>ROSEBANK ELEMENTARY</t>
  </si>
  <si>
    <t>ROSECRANS ELEMENTARY</t>
  </si>
  <si>
    <t>ROSEDALE ELEMENTARY</t>
  </si>
  <si>
    <t>ROSEDALE MIDDLE</t>
  </si>
  <si>
    <t>ROSEDALE-NORTH ELEMENTARY</t>
  </si>
  <si>
    <t>ROSEDELL ELEMENTARY</t>
  </si>
  <si>
    <t>ROSELAND CHARTER</t>
  </si>
  <si>
    <t>ROSELAND CREEK ELEMENTARY</t>
  </si>
  <si>
    <t>ROSELAND ELEMENTARY</t>
  </si>
  <si>
    <t>ROSELAWN HIGH</t>
  </si>
  <si>
    <t>ROSEMARY ELEMENTARY</t>
  </si>
  <si>
    <t>ROSEMARY KENNEDY ELEMENTARY</t>
  </si>
  <si>
    <t>ROSEMEAD HIGH</t>
  </si>
  <si>
    <t>ROSEMONT AVENUE ELEMENTARY</t>
  </si>
  <si>
    <t>ROSEMONT HIGH</t>
  </si>
  <si>
    <t>ROSEMONT MIDDLE</t>
  </si>
  <si>
    <t>ROSEVILLE HIGH</t>
  </si>
  <si>
    <t>ROSEWOOD AVENUE ELEMENTARY</t>
  </si>
  <si>
    <t>ROSEWOOD PARK</t>
  </si>
  <si>
    <t>ROSIE THE RIVETER CHARTER HIGH</t>
  </si>
  <si>
    <t>ROSITA ELEMENTARY</t>
  </si>
  <si>
    <t>ROSS (BETSY) ELEMENTARY</t>
  </si>
  <si>
    <t>ROSS (FAYE) MIDDLE</t>
  </si>
  <si>
    <t>ROSS ELEMENTARY</t>
  </si>
  <si>
    <t>ROSSMOOR ELEMENTARY</t>
  </si>
  <si>
    <t>ROTHER ELEMENTARY</t>
  </si>
  <si>
    <t>ROUND MEADOW ELEMENTARY</t>
  </si>
  <si>
    <t>ROUND VALLEY COMMUNITY DAY</t>
  </si>
  <si>
    <t>ROUND VALLEY CONTINUATION</t>
  </si>
  <si>
    <t>ROUND VALLEY ELEMENTARY</t>
  </si>
  <si>
    <t>ROUND VALLEY ELEMENTARY COMMUNITY DAY</t>
  </si>
  <si>
    <t>ROUND VALLEY HIGH</t>
  </si>
  <si>
    <t>ROWAN AVENUE ELEMENTARY</t>
  </si>
  <si>
    <t>ROWAN ELEMENTARY</t>
  </si>
  <si>
    <t>ROWELL ELEMENTARY</t>
  </si>
  <si>
    <t>ROWLAND ASSISTIVE TECHNOLOGY ACADEMY</t>
  </si>
  <si>
    <t>ROWLAND AVENUE ELEMENTARY</t>
  </si>
  <si>
    <t>ROWLAND ELEMENTARY</t>
  </si>
  <si>
    <t>ROWLAND UNIFIED COMMUNITY DAY</t>
  </si>
  <si>
    <t>ROY A. JOHNSON HIGH</t>
  </si>
  <si>
    <t>ROY CLOUD ELEMENTARY</t>
  </si>
  <si>
    <t>ROY HERBURGER ELEMENTARY</t>
  </si>
  <si>
    <t>ROY O. ANDERSEN ELEMENTARY</t>
  </si>
  <si>
    <t>ROY ROMER MIDDLE</t>
  </si>
  <si>
    <t>ROY W. LOUDON ELEMENTARY</t>
  </si>
  <si>
    <t>ROYAL HIGH</t>
  </si>
  <si>
    <t>ROYAL OAK MIDDLE</t>
  </si>
  <si>
    <t>ROYAL OAKS ELEMENTARY</t>
  </si>
  <si>
    <t>ROYAL SUNSET (CONTINUATION)</t>
  </si>
  <si>
    <t>ROYBAL LC-CIVITAS SCHOOL OF LEADERSHIP</t>
  </si>
  <si>
    <t>RUBEN S. AYALA HIGH</t>
  </si>
  <si>
    <t>RUBEN SALAZAR CONTINUATION</t>
  </si>
  <si>
    <t>RUBIDOUX HIGH</t>
  </si>
  <si>
    <t>RUBY BRIDGES ELEMENTARY</t>
  </si>
  <si>
    <t>RUBY DRIVE ELEMENTARY</t>
  </si>
  <si>
    <t>RUCKER ELEMENTARY</t>
  </si>
  <si>
    <t>RUDECINDA SEPULVEDA DODSON MIDDLE</t>
  </si>
  <si>
    <t>RUDOLPH RIVERA MIDDLE</t>
  </si>
  <si>
    <t>RUDSDALE CONTINUATION</t>
  </si>
  <si>
    <t>RUHKALA ELEMENTARY</t>
  </si>
  <si>
    <t>RUNNING SPRINGS ELEMENTARY</t>
  </si>
  <si>
    <t>RUSKIN ELEMENTARY</t>
  </si>
  <si>
    <t>RUSSELL ELEMENTARY</t>
  </si>
  <si>
    <t>RUSSELL RANCH ELEMENTARY</t>
  </si>
  <si>
    <t>RUSTIC LANE ELEMENTARY</t>
  </si>
  <si>
    <t>RUTH BROWN ELEMENTARY</t>
  </si>
  <si>
    <t>RUTH GRIMES ELEMENTARY</t>
  </si>
  <si>
    <t>RUTH MUSSER MIDDLE</t>
  </si>
  <si>
    <t>RUTH O. HARRIS MIDDLE</t>
  </si>
  <si>
    <t>RUUS ELEMENTARY</t>
  </si>
  <si>
    <t>S BEN BENAVIDEZ ELEMENTARY</t>
  </si>
  <si>
    <t>S. A. MOFFETT ELEMENTARY</t>
  </si>
  <si>
    <t>S. CHRISTA MCAULIFFE ELEMENTARY</t>
  </si>
  <si>
    <t>S.F. COUNTY CIVIC CENTER SECONDARY</t>
  </si>
  <si>
    <t>S.F. COUNTY COURT WOODSIDE LEARNING CTR</t>
  </si>
  <si>
    <t>S.F. COUNTY OPPORTUNITY (HILLTOP)</t>
  </si>
  <si>
    <t>S.F. COUNTY SPECIAL EDUCATION</t>
  </si>
  <si>
    <t>S.F. INTERNATIONAL HIGH</t>
  </si>
  <si>
    <t>SACRAMENTO CHARTER HIGH</t>
  </si>
  <si>
    <t>SACRAMENTO COUNTY ED SPECIAL EDUCATION</t>
  </si>
  <si>
    <t>SACRAMENTO COUNTY ROP</t>
  </si>
  <si>
    <t>SACRAMENTO COUNTY SH SPECIAL EDUCATION</t>
  </si>
  <si>
    <t>SACRAMENTO RIVER DISCOVERY CHARTER</t>
  </si>
  <si>
    <t>SACRAMENTO VALLEY CHARTER</t>
  </si>
  <si>
    <t>SADDLEBACK HIGH</t>
  </si>
  <si>
    <t>SAGE CANYON</t>
  </si>
  <si>
    <t>SAGE CREEK HIGH</t>
  </si>
  <si>
    <t>SAINT HELENA ELEMENTARY</t>
  </si>
  <si>
    <t>SAINT HELENA HIGH</t>
  </si>
  <si>
    <t>SAINT HELENA PRIMARY</t>
  </si>
  <si>
    <t>SAKAMOTO ELEMENTARY</t>
  </si>
  <si>
    <t>SAL CASTRO MIDDLE</t>
  </si>
  <si>
    <t>SALIDA ELEMENTARY</t>
  </si>
  <si>
    <t>SALIDA MIDDLE SCHOOL - VELLA CAMPUS</t>
  </si>
  <si>
    <t>SALINAS COMMUNITY</t>
  </si>
  <si>
    <t>SALINAS HIGH</t>
  </si>
  <si>
    <t>SALISBURY HIGH (CONTINUATION)</t>
  </si>
  <si>
    <t>SALLY RIDE ELEMENTARY: A SMART ACADEMY</t>
  </si>
  <si>
    <t>SALMON CREEK SCHOOL - A CHARTER</t>
  </si>
  <si>
    <t>SALT CREEK ELEMENTARY</t>
  </si>
  <si>
    <t>SALVADOR ELEMENTARY</t>
  </si>
  <si>
    <t>SAM BRANNAN MIDDLE</t>
  </si>
  <si>
    <t>SAM H. LAWSON MIDDLE</t>
  </si>
  <si>
    <t>SAM V. CURTIS ELEMENTARY</t>
  </si>
  <si>
    <t>SAM WEBB CONTINUATION</t>
  </si>
  <si>
    <t>SAMUEL GOMPERS MIDDLE</t>
  </si>
  <si>
    <t>SAMUEL JACKMAN MIDDLE</t>
  </si>
  <si>
    <t>SAMUEL KENNEDY ELEMENTARY</t>
  </si>
  <si>
    <t>SAMUEL VAUGHN ELEMENTARY</t>
  </si>
  <si>
    <t>SAMUEL W. SIMPSON ELEMENTARY</t>
  </si>
  <si>
    <t>SAN ALTOS ELEMENTARY</t>
  </si>
  <si>
    <t>SAN ANDREAS CONTINUATION HIGH</t>
  </si>
  <si>
    <t>SAN ANDREAS ELEMENTARY</t>
  </si>
  <si>
    <t>SAN ANDREAS HIGH</t>
  </si>
  <si>
    <t>SAN ANDREAS HIGH (CONTINUATION)</t>
  </si>
  <si>
    <t>SAN ANTONIO CONTINUATION</t>
  </si>
  <si>
    <t>SAN ANTONIO ELEMENTARY</t>
  </si>
  <si>
    <t>SAN ANTONIO HIGH (CONTINUATION)</t>
  </si>
  <si>
    <t>SAN ANTONIO ROP</t>
  </si>
  <si>
    <t>SAN ARDO ELEMENTARY</t>
  </si>
  <si>
    <t>SAN BENANCIO MIDDLE</t>
  </si>
  <si>
    <t>SAN BENITO COUNTY JUVENILE HALL/COMMUNITY</t>
  </si>
  <si>
    <t>SAN BENITO COUNTY OPPORTUNITY</t>
  </si>
  <si>
    <t>SAN BENITO ELEMENTARY</t>
  </si>
  <si>
    <t>SAN BENITO HIGH</t>
  </si>
  <si>
    <t>SAN BERNARDINO CO JUVE DETENTION AND ASSESSMENT CE</t>
  </si>
  <si>
    <t>SAN BERNARDINO COUNTY ROP</t>
  </si>
  <si>
    <t>SAN BERNARDINO COUNTY SPECIAL EDUCATION</t>
  </si>
  <si>
    <t>SAN BERNARDINO HIGH</t>
  </si>
  <si>
    <t>SAN CARLOS CHARTER LEARNING CENTER</t>
  </si>
  <si>
    <t>SAN CARLOS STUDENT SERVICES PRESCHOOL</t>
  </si>
  <si>
    <t>SAN CAYETANO ELEMENTARY</t>
  </si>
  <si>
    <t>SAN CLEMENTE HIGH</t>
  </si>
  <si>
    <t>SAN DIEGO BUSINESS</t>
  </si>
  <si>
    <t>SAN DIEGO COMMUNICATION</t>
  </si>
  <si>
    <t>SAN DIEGO COOPERATIVE CHARTER</t>
  </si>
  <si>
    <t>SAN DIEGO COOPERATIVE CHARTER SCHOOL 2</t>
  </si>
  <si>
    <t>SAN DIEGO COUNTY ROP</t>
  </si>
  <si>
    <t>SAN DIEGO COUNTY SPECIAL EDUCATION</t>
  </si>
  <si>
    <t>SAN DIEGO EARLY/MIDDLE COLLEGE</t>
  </si>
  <si>
    <t>SAN DIEGO GLOBAL VISION ACADEMY</t>
  </si>
  <si>
    <t>SAN DIEGO GLOBAL VISION ACADEMY MIDDLE</t>
  </si>
  <si>
    <t>SAN DIEGO INTERNATIONAL STUDIES</t>
  </si>
  <si>
    <t>SAN DIEGO LEADS</t>
  </si>
  <si>
    <t>SAN DIEGO METRO CAREER AND TECH</t>
  </si>
  <si>
    <t>SAN DIEGO MVP ARTS</t>
  </si>
  <si>
    <t>SAN DIEGO NEIGHBORHOOD HOMESCHOOLS</t>
  </si>
  <si>
    <t>SAN DIEGO SCIENCE AND TECHNOLOGY</t>
  </si>
  <si>
    <t>SAN DIEGO SCPA</t>
  </si>
  <si>
    <t>SAN DIEGO VIRTUAL</t>
  </si>
  <si>
    <t>SAN DIEGUITO HIGH ACADEMY</t>
  </si>
  <si>
    <t>SAN DIMAS HIGH</t>
  </si>
  <si>
    <t>SAN ELIJO ELEMENTARY</t>
  </si>
  <si>
    <t>SAN ELIJO MIDDLE</t>
  </si>
  <si>
    <t>SAN FERNANDO ELEMENTARY</t>
  </si>
  <si>
    <t>SAN FERNANDO INSTITUTE OF APPLIED MEDIA</t>
  </si>
  <si>
    <t>SAN FERNANDO MIDDLE</t>
  </si>
  <si>
    <t>SAN FERNANDO SENIOR HIGH</t>
  </si>
  <si>
    <t>SAN FRANCISCO COMMUNITY ALTERNATIVE</t>
  </si>
  <si>
    <t>SAN FRANCISCO COUNTY ROP</t>
  </si>
  <si>
    <t>SAN FRANCISCO FLEX ACADEMY</t>
  </si>
  <si>
    <t>SAN FRANCISCO PUBLIC MONTESSORI</t>
  </si>
  <si>
    <t>SAN GABRIEL AVENUE ELEMENTARY</t>
  </si>
  <si>
    <t>SAN GABRIEL ELEMENTARY</t>
  </si>
  <si>
    <t>SAN GABRIEL HIGH</t>
  </si>
  <si>
    <t>SAN GERONIMO VALLEY ELEMENTARY</t>
  </si>
  <si>
    <t>SAN GORGONIO CHILDCARE</t>
  </si>
  <si>
    <t>SAN GORGONIO HIGH</t>
  </si>
  <si>
    <t>SAN GORGONIO MIDDLE</t>
  </si>
  <si>
    <t>SAN JACINTO EARLY CHILDHOOD EDUCATION CENTER</t>
  </si>
  <si>
    <t>SAN JACINTO ELEMENTARY</t>
  </si>
  <si>
    <t>SAN JACINTO HIGH</t>
  </si>
  <si>
    <t>SAN JACINTO LEADERSHIP ACADEMY - MAGNET</t>
  </si>
  <si>
    <t>SAN JACINTO VALLEY ACADEMY</t>
  </si>
  <si>
    <t>SAN JOAQUIN BUILDING FUTURES ACADEMY</t>
  </si>
  <si>
    <t>SAN JOAQUIN COUNTY COMMUNITY</t>
  </si>
  <si>
    <t>SAN JOAQUIN COUNTY ROCP</t>
  </si>
  <si>
    <t>SAN JOAQUIN COUNTY SPECIAL EDUCATION</t>
  </si>
  <si>
    <t>SAN JOAQUIN ELEMENTARY</t>
  </si>
  <si>
    <t>SAN JOAQUIN HIGH (CONTINUATION)</t>
  </si>
  <si>
    <t>SAN JOAQUIN VALLEY CHARTER</t>
  </si>
  <si>
    <t>SAN JOAQUIN VALLEY HIGH</t>
  </si>
  <si>
    <t>SAN JOSÃ© HIGH</t>
  </si>
  <si>
    <t>SAN JOSE CHARTER ACADEMY</t>
  </si>
  <si>
    <t>SAN JOSE COMMUNITY HIGH</t>
  </si>
  <si>
    <t>SAN JOSE COMMUNITY MIDDLE</t>
  </si>
  <si>
    <t>SAN JOSE CONSERVATION CORPS CHARTER</t>
  </si>
  <si>
    <t>SAN JOSE ELEMENTARY</t>
  </si>
  <si>
    <t>SAN JOSE HIGH ACADEMY PLUS</t>
  </si>
  <si>
    <t>SAN JOSE INTERMEDIATE</t>
  </si>
  <si>
    <t>SAN JOSE MIDDLE</t>
  </si>
  <si>
    <t>SAN JOSE STREET ELEMENTARY</t>
  </si>
  <si>
    <t>SAN JOSE VALLEY CONTINUATION HIGH</t>
  </si>
  <si>
    <t>SAN JUAN</t>
  </si>
  <si>
    <t>SAN JUAN CHOICES CHARTER</t>
  </si>
  <si>
    <t>SAN JUAN ELEMENTARY</t>
  </si>
  <si>
    <t>SAN JUAN HIGH</t>
  </si>
  <si>
    <t>SAN JUAN HILLS HIGH</t>
  </si>
  <si>
    <t>SAN LAUREN ELEMENTARY</t>
  </si>
  <si>
    <t>SAN LEANDRO HIGH</t>
  </si>
  <si>
    <t>SAN LORENZO HIGH</t>
  </si>
  <si>
    <t>SAN LORENZO VALLEY ELEMENTARY</t>
  </si>
  <si>
    <t>SAN LORENZO VALLEY HIGH</t>
  </si>
  <si>
    <t>SAN LORENZO VALLEY MIDDLE</t>
  </si>
  <si>
    <t>SAN LUCAS ELEMENTARY</t>
  </si>
  <si>
    <t>SAN LUIS COUNTY SPECIAL EDUCATION</t>
  </si>
  <si>
    <t>SAN LUIS HIGH (CONTINUATION)</t>
  </si>
  <si>
    <t>SAN LUIS OBISPO COUNTY COMMUNITY</t>
  </si>
  <si>
    <t>SAN LUIS OBISPO COUNTY JUVENILE COURT</t>
  </si>
  <si>
    <t>SAN LUIS OBISPO HIGH</t>
  </si>
  <si>
    <t>SAN LUIS REY ELEMENTARY</t>
  </si>
  <si>
    <t>SAN MARCOS BRIDGE</t>
  </si>
  <si>
    <t>SAN MARCOS ELEMENTARY</t>
  </si>
  <si>
    <t>SAN MARCOS HIGH</t>
  </si>
  <si>
    <t>SAN MARCOS MIDDLE</t>
  </si>
  <si>
    <t>SAN MARCOS SENIOR HIGH</t>
  </si>
  <si>
    <t>SAN MARIN HIGH</t>
  </si>
  <si>
    <t>SAN MARIN HIGH SCHOOL-PLUS</t>
  </si>
  <si>
    <t>SAN MARINO ELEMENTARY</t>
  </si>
  <si>
    <t>SAN MARINO HIGH</t>
  </si>
  <si>
    <t>SAN MARTIN/GWINN ELEMENTARY</t>
  </si>
  <si>
    <t>SAN MATEO COUNTY ROP</t>
  </si>
  <si>
    <t>SAN MATEO COUNTY SPECIAL EDUCATION</t>
  </si>
  <si>
    <t>SAN MATEO HIGH</t>
  </si>
  <si>
    <t>SAN MATEO PARK ELEMENTARY</t>
  </si>
  <si>
    <t>SAN MATEO-FOSTER CITY SPECIAL EDUCATION PRESCHOOL</t>
  </si>
  <si>
    <t>SAN MIGUEL</t>
  </si>
  <si>
    <t>SAN MIGUEL CHILDREN CENTER</t>
  </si>
  <si>
    <t>SAN MIGUEL COMMUNITY DAY</t>
  </si>
  <si>
    <t>SAN MIGUEL ELEMENTARY</t>
  </si>
  <si>
    <t>SAN ONOFRE ELEMENTARY</t>
  </si>
  <si>
    <t>SAN PASCUAL AVENUE ELEMENTARY</t>
  </si>
  <si>
    <t>SAN PASQUAL ACADEMY</t>
  </si>
  <si>
    <t>SAN PASQUAL HIGH</t>
  </si>
  <si>
    <t>SAN PASQUAL MIDDLE</t>
  </si>
  <si>
    <t>SAN PASQUAL UNION ELEMENTARY</t>
  </si>
  <si>
    <t>SAN PASQUAL VALLEY ELEMENTARY</t>
  </si>
  <si>
    <t>SAN PASQUAL VALLEY HIGH</t>
  </si>
  <si>
    <t>SAN PASQUAL VOCATIONAL ACADEMY</t>
  </si>
  <si>
    <t>SAN PEDRO ELEMENTARY</t>
  </si>
  <si>
    <t>SAN PEDRO SENIOR HIGH</t>
  </si>
  <si>
    <t>SAN PEDRO STREET ELEMENTARY</t>
  </si>
  <si>
    <t>SAN RAFAEL ELEMENTARY</t>
  </si>
  <si>
    <t>SAN RAFAEL HIGH</t>
  </si>
  <si>
    <t>SAN RAMON ELEMENTARY</t>
  </si>
  <si>
    <t>SAN RAMON VALLEY HIGH</t>
  </si>
  <si>
    <t>SAN VICENTE ELEMENTARY</t>
  </si>
  <si>
    <t>SAN YSIDRO COMMUNITY DAY</t>
  </si>
  <si>
    <t>SAN YSIDRO HIGH</t>
  </si>
  <si>
    <t>SAN YSIDRO MIDDLE</t>
  </si>
  <si>
    <t>SANCHEZ (DAVID J.) ELEMENTARY</t>
  </si>
  <si>
    <t>SANCHEZ (GEORGE I.) ELEMENTARY</t>
  </si>
  <si>
    <t>SANCHEZ ELEMENTARY</t>
  </si>
  <si>
    <t>SANDBURG ELEMENTARY</t>
  </si>
  <si>
    <t>SANDBURG MIDDLE</t>
  </si>
  <si>
    <t>SANDIA ELEMENTARY</t>
  </si>
  <si>
    <t>SANDPIPER ELEMENTARY</t>
  </si>
  <si>
    <t>SANDRA J. GALLARDO ELEMENTARY</t>
  </si>
  <si>
    <t>SANDRA TOVAR MEDEIROS ELEMENTARY</t>
  </si>
  <si>
    <t>SANDY BLUFFS ALTERNATIVE EDUCATION CENTER</t>
  </si>
  <si>
    <t>SANGER ACADEMY CHARTER</t>
  </si>
  <si>
    <t>SANGER HIGH</t>
  </si>
  <si>
    <t>SANHEDRIN HIGH</t>
  </si>
  <si>
    <t>SANKOFA ACADEMY</t>
  </si>
  <si>
    <t>SANTA ANA HIGH</t>
  </si>
  <si>
    <t>SANTA BARBARA ALTERNATIVE</t>
  </si>
  <si>
    <t>SANTA BARBARA CHARTER</t>
  </si>
  <si>
    <t>SANTA BARBARA CHARTER MIDDLE</t>
  </si>
  <si>
    <t>SANTA BARBARA COMMUNITY ACADEMY</t>
  </si>
  <si>
    <t>SANTA BARBARA COUNTY COMMUNITY</t>
  </si>
  <si>
    <t>SANTA BARBARA COUNTY JUVENILE COURT</t>
  </si>
  <si>
    <t>SANTA BARBARA COUNTY ROP-NORTH</t>
  </si>
  <si>
    <t>SANTA BARBARA COUNTY ROP-SOUTH</t>
  </si>
  <si>
    <t>SANTA BARBARA COUNTY SPECIAL EDUCATION</t>
  </si>
  <si>
    <t>SANTA BARBARA JUNIOR HIGH</t>
  </si>
  <si>
    <t>SANTA BARBARA SENIOR HIGH</t>
  </si>
  <si>
    <t>SANTA CLARA COMMUNITY DAY</t>
  </si>
  <si>
    <t>SANTA CLARA COUNTY JUVENILE HALL</t>
  </si>
  <si>
    <t>SANTA CLARA COUNTY ROP-SOUTH</t>
  </si>
  <si>
    <t>SANTA CLARA COUNTY SPECIAL EDUCATION</t>
  </si>
  <si>
    <t>SANTA CLARA ELEMENTARY</t>
  </si>
  <si>
    <t>SANTA CLARA HIGH</t>
  </si>
  <si>
    <t>SANTA CLARITA ELEMENTARY</t>
  </si>
  <si>
    <t>SANTA CLARITA VALLEY INTERNATIONAL</t>
  </si>
  <si>
    <t>SANTA CRUZ CITY ELEMENTARY ALTERNATIVE EDUCATION-M</t>
  </si>
  <si>
    <t>SANTA CRUZ COUNTY COMMUNITY</t>
  </si>
  <si>
    <t>SANTA CRUZ COUNTY COURT</t>
  </si>
  <si>
    <t>SANTA CRUZ COUNTY ROP</t>
  </si>
  <si>
    <t>SANTA CRUZ COUNTY SPECIAL EDUCATION</t>
  </si>
  <si>
    <t>SANTA CRUZ GARDENS ELEMENTARY</t>
  </si>
  <si>
    <t>SANTA CRUZ HIGH</t>
  </si>
  <si>
    <t>SANTA FE ELEMENTARY</t>
  </si>
  <si>
    <t>SANTA FE HIGH</t>
  </si>
  <si>
    <t>SANTA FE MIDDLE</t>
  </si>
  <si>
    <t>SANTA LUCIA ELEMENTARY</t>
  </si>
  <si>
    <t>SANTA LUCIA MIDDLE</t>
  </si>
  <si>
    <t>SANTA LUCIA ROP</t>
  </si>
  <si>
    <t>SANTA MARGARITA ACADEMY</t>
  </si>
  <si>
    <t>SANTA MARGARITA ELEMENTARY</t>
  </si>
  <si>
    <t>SANTA MARIA HIGH</t>
  </si>
  <si>
    <t>SANTA MONICA ALTERNATIVE (K-8)</t>
  </si>
  <si>
    <t>SANTA MONICA BOULEVARD COMMUNITY CHARTER</t>
  </si>
  <si>
    <t>SANTA MONICA HIGH</t>
  </si>
  <si>
    <t>SANTA PAULA HIGH</t>
  </si>
  <si>
    <t>SANTA RITA ELEMENTARY</t>
  </si>
  <si>
    <t>SANTA ROSA ACADEMY</t>
  </si>
  <si>
    <t>SANTA ROSA ACCELERATED CHARTER</t>
  </si>
  <si>
    <t>SANTA ROSA CHARTER</t>
  </si>
  <si>
    <t>SANTA ROSA CHARTER SCHOOL FOR THE ARTS</t>
  </si>
  <si>
    <t>SANTA ROSA COMMUNITY DAY</t>
  </si>
  <si>
    <t>SANTA ROSA FRENCH-AMERICAN CHARTER (SRFACS)</t>
  </si>
  <si>
    <t>SANTA ROSA HIGH</t>
  </si>
  <si>
    <t>SANTA ROSA MIDDLE</t>
  </si>
  <si>
    <t>SANTA ROSA ROAD ACADEMIC ACADEMY</t>
  </si>
  <si>
    <t>SANTA ROSA TECHNOLOGY MAGNET</t>
  </si>
  <si>
    <t>SANTA ROSA VIRTUAL CHARTER HIGH</t>
  </si>
  <si>
    <t>SANTA SUSANA ELEMENTARY</t>
  </si>
  <si>
    <t>SANTA SUSANA HIGH</t>
  </si>
  <si>
    <t>SANTA TERESA ELEMENTARY</t>
  </si>
  <si>
    <t>SANTA TERESA HIGH</t>
  </si>
  <si>
    <t>SANTA YNEZ ELEMENTARY</t>
  </si>
  <si>
    <t>SANTA YNEZ VALLEY CHARTER</t>
  </si>
  <si>
    <t>SANTA YNEZ VALLEY UNION HIGH</t>
  </si>
  <si>
    <t>SANTANA HIGH</t>
  </si>
  <si>
    <t>SANTANA HIGH (CONTINUATION)</t>
  </si>
  <si>
    <t>SANTEE ALTERNATIVE</t>
  </si>
  <si>
    <t>SANTEE EDUCATION COMPLEX</t>
  </si>
  <si>
    <t>SANTEE ELEMENTARY</t>
  </si>
  <si>
    <t>SANTEE SUCCESS PROGRAM</t>
  </si>
  <si>
    <t>SANTIAGO ELEMENTARY</t>
  </si>
  <si>
    <t>SANTIAGO HIGH</t>
  </si>
  <si>
    <t>SANTIAGO HILLS ELEMENTARY</t>
  </si>
  <si>
    <t>SANTIAGO MIDDLE</t>
  </si>
  <si>
    <t>SARA COUGHLIN ELEMENTARY</t>
  </si>
  <si>
    <t>SARAH MCGARVIN INTERMEDIATE</t>
  </si>
  <si>
    <t>SARATOGA ELEMENTARY</t>
  </si>
  <si>
    <t>SARATOGA HIGH</t>
  </si>
  <si>
    <t>SARTORETTE CHARTER</t>
  </si>
  <si>
    <t>SASSARINI ELEMENTARY</t>
  </si>
  <si>
    <t>SATICOY ELEMENTARY</t>
  </si>
  <si>
    <t>SATURN STREET ELEMENTARY</t>
  </si>
  <si>
    <t>SAUCELITO ELEMENTARY</t>
  </si>
  <si>
    <t>SAUGUS HIGH</t>
  </si>
  <si>
    <t>SAUL MARTINEZ ELEMENTARY</t>
  </si>
  <si>
    <t>SAVA: SACRAMENTO ACADEMIC AND VOCATIONAL ACADEMY</t>
  </si>
  <si>
    <t>SAVANNA HIGH</t>
  </si>
  <si>
    <t>SAVANNAH ELEMENTARY</t>
  </si>
  <si>
    <t>SAVE OUR FUTURE</t>
  </si>
  <si>
    <t>SAWTOOTH RIDGE COMMUNITY DAY</t>
  </si>
  <si>
    <t>SCANDIA ELEMENTARY</t>
  </si>
  <si>
    <t>SCANDINAVIAN MIDDLE</t>
  </si>
  <si>
    <t>SCH OF HIST AND DRAMATIC ARTS AT SONIA SOTOMAYOR L</t>
  </si>
  <si>
    <t>SCHAFER PARK ELEMENTARY</t>
  </si>
  <si>
    <t>SCHALLENBERGER ELEMENTARY</t>
  </si>
  <si>
    <t>SCHENDEL ELEMENTARY</t>
  </si>
  <si>
    <t>SCHMITT ELEMENTARY</t>
  </si>
  <si>
    <t>SCHOOL OF ARTS AND ENTERPRISE</t>
  </si>
  <si>
    <t>SCHOOL OF BUSINESS AND TOURISM AT CONTRERAS LEARNI</t>
  </si>
  <si>
    <t>SCHOOL OF ENGINEERING &amp; SCIENCES</t>
  </si>
  <si>
    <t>SCHOOL OF ENGINEERING AND TECHNOLOGY</t>
  </si>
  <si>
    <t>SCHOOL OF EXTENDED EDUCATIONAL OPTIONS</t>
  </si>
  <si>
    <t>SCHOOL OF LAW &amp; GOVERNMENT AT ROOSEVELT HIGH</t>
  </si>
  <si>
    <t>SCHOOL OF SCIENCE TECHNOLOGY ENGINEERING &amp; MATH</t>
  </si>
  <si>
    <t>SCHOOL OF UNLIMITED LEARNING</t>
  </si>
  <si>
    <t>SCHROEDER ELEMENTARY</t>
  </si>
  <si>
    <t>SCHURR HIGH</t>
  </si>
  <si>
    <t>SCI TECH ENGR ARTS AND MATH AT LEGACY HIGH SCH</t>
  </si>
  <si>
    <t>SCIENCE &amp; TECHNOLOGY ACADEMY AT KNIGHTS LANDING</t>
  </si>
  <si>
    <t>SCOBEE CAMP</t>
  </si>
  <si>
    <t>SCOTT AVENUE ELEMENTARY</t>
  </si>
  <si>
    <t>SCOTT LANE ELEMENTARY</t>
  </si>
  <si>
    <t>SCOTT RIVER COMMUNITY DAY</t>
  </si>
  <si>
    <t>SCOTT RIVER HIGH</t>
  </si>
  <si>
    <t>SCOTT VALLEY COMMUNITY DAY</t>
  </si>
  <si>
    <t>SCOTT VALLEY JUNIOR HIGH</t>
  </si>
  <si>
    <t>SCOTT JOSEPH CAMP</t>
  </si>
  <si>
    <t>SCOTTS VALLEY HIGH</t>
  </si>
  <si>
    <t>SCOTTS VALLEY MIDDLE</t>
  </si>
  <si>
    <t>SCRIPPS ELEMENTARY</t>
  </si>
  <si>
    <t>SCRIPPS RANCH HIGH</t>
  </si>
  <si>
    <t>SCUDDER KENYON CAMP</t>
  </si>
  <si>
    <t>SEA VIEW ELEMENTARY</t>
  </si>
  <si>
    <t>SEARLES ELEMENTARY</t>
  </si>
  <si>
    <t>SEASIDE ELEMENTARY</t>
  </si>
  <si>
    <t>SEASIDE HIGH</t>
  </si>
  <si>
    <t>SEASIDE MIDDLE</t>
  </si>
  <si>
    <t>SEBASTIAN QUESTA ELEMENTARY</t>
  </si>
  <si>
    <t>SEBASTOPOL INDEPENDENT CHARTER</t>
  </si>
  <si>
    <t>SECOND STREET ELEMENTARY</t>
  </si>
  <si>
    <t>SEDONA CHARTER ACADEMY</t>
  </si>
  <si>
    <t>SEELEY ELEMENTARY</t>
  </si>
  <si>
    <t>SEGERSTROM HIGH</t>
  </si>
  <si>
    <t>SEIAD ELEMENTARY</t>
  </si>
  <si>
    <t>SELBY LANE ELEMENTARY</t>
  </si>
  <si>
    <t>SELECT COMMUNITY DAY (SECONDARY)</t>
  </si>
  <si>
    <t>SELLERS ELEMENTARY</t>
  </si>
  <si>
    <t>SELMA AVENUE ELEMENTARY</t>
  </si>
  <si>
    <t>SELMA HERNDON ELEMENTARY</t>
  </si>
  <si>
    <t>SELMA HIGH</t>
  </si>
  <si>
    <t>SELMA INDEPENDENT</t>
  </si>
  <si>
    <t>SELMA OLINDER ELEMENTARY</t>
  </si>
  <si>
    <t>SEM YETO CONTINUATION HIGH</t>
  </si>
  <si>
    <t>SEMITROPIC ELEMENTARY</t>
  </si>
  <si>
    <t>SENECA ELEMENTARY</t>
  </si>
  <si>
    <t>SENTINEL HIGH</t>
  </si>
  <si>
    <t>SEQUOIA ACADEMY</t>
  </si>
  <si>
    <t>SEQUOIA CHARTER</t>
  </si>
  <si>
    <t>SEQUOIA COMMUNITY DAY</t>
  </si>
  <si>
    <t>SEQUOIA ELEMENTARY</t>
  </si>
  <si>
    <t>SEQUOIA HIGH</t>
  </si>
  <si>
    <t>SEQUOIA MIDDLE</t>
  </si>
  <si>
    <t>SEQUOIA UNION HIGH INDEPENDENT STUDY</t>
  </si>
  <si>
    <t>SERRA (JUNIPERO) ELEMENTARY</t>
  </si>
  <si>
    <t>SERRA HIGH</t>
  </si>
  <si>
    <t>SERRANIA AVENUE CHARTER FOR ENRICHED STUDIES</t>
  </si>
  <si>
    <t>SERRANO ELEMENTARY</t>
  </si>
  <si>
    <t>SERRANO HIGH</t>
  </si>
  <si>
    <t>SERRANO INTERMEDIATE</t>
  </si>
  <si>
    <t>SERRANO MIDDLE</t>
  </si>
  <si>
    <t>SESSIONS ELEMENTARY</t>
  </si>
  <si>
    <t>SEVEN HILLS INTERMEDIATE</t>
  </si>
  <si>
    <t>SEVENTH STREET ELEMENTARY</t>
  </si>
  <si>
    <t>SEVENTY-FIFTH STREET ELEMENTARY</t>
  </si>
  <si>
    <t>SEVENTY-FOURTH STREET ELEMENTARY</t>
  </si>
  <si>
    <t>SEVICK SPECIAL EDUCATION</t>
  </si>
  <si>
    <t>SHACKELFORD ELEMENTARY</t>
  </si>
  <si>
    <t>SHADOW HILLS ELEMENTARY</t>
  </si>
  <si>
    <t>SHADOW HILLS HIGH</t>
  </si>
  <si>
    <t>SHADOW HILLS INTERMEDIATE</t>
  </si>
  <si>
    <t>SHADOW RIDGE</t>
  </si>
  <si>
    <t>SHAFFER ELEMENTARY</t>
  </si>
  <si>
    <t>SHAFTER HIGH</t>
  </si>
  <si>
    <t>SHANDIN HILLS MIDDLE</t>
  </si>
  <si>
    <t>SHANDON COMMUNITY DAY</t>
  </si>
  <si>
    <t>SHANDON ELEMENTARY</t>
  </si>
  <si>
    <t>SHANDON HIGH</t>
  </si>
  <si>
    <t>SHANNON ELEMENTARY</t>
  </si>
  <si>
    <t>SHANNON RANCH ELEMENTARY</t>
  </si>
  <si>
    <t>SHARON CHRISTA MCAULIFFE MIDDLE</t>
  </si>
  <si>
    <t>SHARP AVENUE ELEMENTARY</t>
  </si>
  <si>
    <t>SHASTA COUNTY JUVENILE COURT</t>
  </si>
  <si>
    <t>SHASTA COUNTY OPPORTUNITY</t>
  </si>
  <si>
    <t>SHASTA COUNTY SPECIAL EDUCATION</t>
  </si>
  <si>
    <t>SHASTA ELEMENTARY</t>
  </si>
  <si>
    <t>SHASTA HIGH</t>
  </si>
  <si>
    <t>SHASTA INDEPENDENT LEARNING CENTER</t>
  </si>
  <si>
    <t>SHASTA LAKE</t>
  </si>
  <si>
    <t>SHASTA MEADOWS ELEMENTARY</t>
  </si>
  <si>
    <t>SHASTA PLUS</t>
  </si>
  <si>
    <t>SHASTA SECONDARY HOME</t>
  </si>
  <si>
    <t>SHASTA VIRTUAL ACADEMY</t>
  </si>
  <si>
    <t>SHASTA-TRINITY ROP</t>
  </si>
  <si>
    <t>SHATTUCK EDUCATIONAL PARK</t>
  </si>
  <si>
    <t>SHATTUCK INDEPENDENT STUDY</t>
  </si>
  <si>
    <t>SHEARER CHARTER</t>
  </si>
  <si>
    <t>SHELDON ELEMENTARY</t>
  </si>
  <si>
    <t>SHELDON HIGH</t>
  </si>
  <si>
    <t>SHELL BEACH ELEMENTARY</t>
  </si>
  <si>
    <t>SHELTER COVE</t>
  </si>
  <si>
    <t>SHELYN ELEMENTARY</t>
  </si>
  <si>
    <t>SHENANDOAH STREET ELEMENTARY</t>
  </si>
  <si>
    <t>SHEPPARD ELEMENTARY</t>
  </si>
  <si>
    <t>SHERIDAN</t>
  </si>
  <si>
    <t>SHERIDAN ELEMENTARY</t>
  </si>
  <si>
    <t>SHERIDAN STREET ELEMENTARY</t>
  </si>
  <si>
    <t>SHERIDAN WAY ELEMENTARY</t>
  </si>
  <si>
    <t>SHERMAN ELEMENTARY</t>
  </si>
  <si>
    <t>SHERMAN OAKS CENTER FOR ENRICHED STUDIES</t>
  </si>
  <si>
    <t>SHERMAN OAKS ELEMENTARY</t>
  </si>
  <si>
    <t>SHERMAN OAKS ELEMENTARY CHARTER</t>
  </si>
  <si>
    <t>SHERMAN THOMAS CHARTER</t>
  </si>
  <si>
    <t>SHERMAN THOMAS CHARTER HIGH</t>
  </si>
  <si>
    <t>SHERWOOD</t>
  </si>
  <si>
    <t>SHERWOOD ELEMENTARY</t>
  </si>
  <si>
    <t>SHERWOOD MONTESSORI</t>
  </si>
  <si>
    <t>SHERY (KURT T.) HIGH (CONTINUATION)</t>
  </si>
  <si>
    <t>SHILOH CHARTER</t>
  </si>
  <si>
    <t>SHILOH ELEMENTARY</t>
  </si>
  <si>
    <t>SHIRAKAWA (GEORGE SR.) ELEMENTARY</t>
  </si>
  <si>
    <t>SHIRLEY AVENUE ELEMENTARY</t>
  </si>
  <si>
    <t>SHIRLEY LANE ELEMENTARY</t>
  </si>
  <si>
    <t>SHIRLEY ROMINGER INTERMEDIATE</t>
  </si>
  <si>
    <t>SHIRPSER ELEMENTARY</t>
  </si>
  <si>
    <t>SHIVELA MIDDLE</t>
  </si>
  <si>
    <t>SHOAL CREEK ELEMENTARY</t>
  </si>
  <si>
    <t>SHORE ACRES ELEMENTARY</t>
  </si>
  <si>
    <t>SHORECLIFFS MIDDLE</t>
  </si>
  <si>
    <t>SHORELINE HIGH</t>
  </si>
  <si>
    <t>SHORELINE INDEPENDENT STUDY</t>
  </si>
  <si>
    <t>SHORELINE MIDDLE</t>
  </si>
  <si>
    <t>SHORT AVENUE ELEMENTARY</t>
  </si>
  <si>
    <t>SHORT ELEMENTARY</t>
  </si>
  <si>
    <t>SHOSHONE ELEMENTARY</t>
  </si>
  <si>
    <t>SHOSHONE HIGH (CONTINUATION)</t>
  </si>
  <si>
    <t>SIATECH</t>
  </si>
  <si>
    <t>SIERRA ACADEMY OF EXPEDITIONARY LEARNING</t>
  </si>
  <si>
    <t>SIERRA ALTERNATIVE LEARNING ACADEMY</t>
  </si>
  <si>
    <t>SIERRA AVENUE ELEMENTARY</t>
  </si>
  <si>
    <t>SIERRA CHARTER</t>
  </si>
  <si>
    <t>SIERRA COMMUNITY DAY</t>
  </si>
  <si>
    <t>SIERRA COUNTY OPPORTUNITY</t>
  </si>
  <si>
    <t>SIERRA COUNTY SPECIAL EDUCATION</t>
  </si>
  <si>
    <t>SIERRA CREST</t>
  </si>
  <si>
    <t>SIERRA DEL ORO</t>
  </si>
  <si>
    <t>SIERRA ELEMENTARY</t>
  </si>
  <si>
    <t>SIERRA EXPEDITIONARY LEARNING</t>
  </si>
  <si>
    <t>SIERRA FOOTHILL CHARTER</t>
  </si>
  <si>
    <t>SIERRA FOOTHILL HIGH (CONTINUATION)</t>
  </si>
  <si>
    <t>SIERRA GARDENS ELEMENTARY</t>
  </si>
  <si>
    <t>SIERRA HIGH</t>
  </si>
  <si>
    <t>SIERRA HIGH (CONTINUATION)</t>
  </si>
  <si>
    <t>SIERRA HILLS ARTS AND SCIENCES CHARTER ACADEMY</t>
  </si>
  <si>
    <t>SIERRA HILLS ELEMENTARY</t>
  </si>
  <si>
    <t>SIERRA HOME</t>
  </si>
  <si>
    <t>SIERRA HOUSE ELEMENTARY</t>
  </si>
  <si>
    <t>SIERRA JUNIOR HIGH</t>
  </si>
  <si>
    <t>SIERRA LAKES ELEMENTARY</t>
  </si>
  <si>
    <t>SIERRA LINDA ELEMENTARY</t>
  </si>
  <si>
    <t>SIERRA MADRE ELEMENTARY</t>
  </si>
  <si>
    <t>SIERRA MADRE HIGH (CONTINUATION)</t>
  </si>
  <si>
    <t>SIERRA MADRE MIDDLE</t>
  </si>
  <si>
    <t>SIERRA MIDDLE</t>
  </si>
  <si>
    <t>SIERRA MONTESSORI ACADEMY</t>
  </si>
  <si>
    <t>SIERRA OAKS K-8</t>
  </si>
  <si>
    <t>SIERRA PACIFIC HIGH</t>
  </si>
  <si>
    <t>SIERRA PARK ELEMENTARY</t>
  </si>
  <si>
    <t>SIERRA PASS (CONTINUATION)</t>
  </si>
  <si>
    <t>SIERRA PREPARATORY ACADEMY</t>
  </si>
  <si>
    <t>SIERRA PRIMARY</t>
  </si>
  <si>
    <t>SIERRA RIDGE MIDDLE</t>
  </si>
  <si>
    <t>SIERRA VIEW ELEMENTARY</t>
  </si>
  <si>
    <t>SIERRA VISTA</t>
  </si>
  <si>
    <t>SIERRA VISTA EDUCATION CENTER</t>
  </si>
  <si>
    <t>SIERRA VISTA ELEMENTARY</t>
  </si>
  <si>
    <t>SIERRA VISTA HIGH</t>
  </si>
  <si>
    <t>SIERRA VISTA HIGH (ALTERNATIVE)</t>
  </si>
  <si>
    <t>SIERRA VISTA HIGH (CONTINUATION)</t>
  </si>
  <si>
    <t>SIERRA VISTA JUNIOR HIGH</t>
  </si>
  <si>
    <t>SIERRA VISTA MIDDLE</t>
  </si>
  <si>
    <t>SIERRA-ENTERPRISE ELEMENTARY</t>
  </si>
  <si>
    <t>SIERRAMONT MIDDLE</t>
  </si>
  <si>
    <t>SIGNAL HILL ELEMENTARY</t>
  </si>
  <si>
    <t>SILAS BARTSCH</t>
  </si>
  <si>
    <t>SILICON VALLEY CAREER TECHNICAL EDUCATION CENTER</t>
  </si>
  <si>
    <t>SILICON VALLEY FLEX ACADEMY</t>
  </si>
  <si>
    <t>SILVA VALLEY ELEMENTARY</t>
  </si>
  <si>
    <t>SILVER CREEK HIGH</t>
  </si>
  <si>
    <t>SILVER FORK ELEMENTARY</t>
  </si>
  <si>
    <t>SILVER GATE ELEMENTARY</t>
  </si>
  <si>
    <t>SILVER OAK ELEMENTARY</t>
  </si>
  <si>
    <t>SILVER OAK HIGH PUBLIC MONTESSORI CHARTER</t>
  </si>
  <si>
    <t>SILVER SPRINGS HIGH (CONTINUATION)</t>
  </si>
  <si>
    <t>SILVER SPUR ELEMENTARY</t>
  </si>
  <si>
    <t>SILVER STRAND ELEMENTARY</t>
  </si>
  <si>
    <t>SILVER VALLEY ACADEMY</t>
  </si>
  <si>
    <t>SILVER VALLEY COMMUNITY DAY</t>
  </si>
  <si>
    <t>SILVER VALLEY HIGH</t>
  </si>
  <si>
    <t>SILVER WING ELEMENTARY</t>
  </si>
  <si>
    <t>SILVERADO HIGH</t>
  </si>
  <si>
    <t>SILVERADO MIDDLE</t>
  </si>
  <si>
    <t>SILVERWOOD ELEMENTARY</t>
  </si>
  <si>
    <t>SIMI ELEMENTARY</t>
  </si>
  <si>
    <t>SIMI VALLEY HIGH</t>
  </si>
  <si>
    <t>SIMON RODIA CONTINUATION</t>
  </si>
  <si>
    <t>SIMONDS ELEMENTARY</t>
  </si>
  <si>
    <t>SIMONS MIDDLE</t>
  </si>
  <si>
    <t>SINALOA MIDDLE</t>
  </si>
  <si>
    <t>SINCLEAR ELEMENTARY</t>
  </si>
  <si>
    <t>SING LUM ELEMENTARY</t>
  </si>
  <si>
    <t>SINSHEIMER ELEMENTARY</t>
  </si>
  <si>
    <t>SIR FRANCIS DRAKE HIGH</t>
  </si>
  <si>
    <t>SISK ELEMENTARY</t>
  </si>
  <si>
    <t>SISKIYOU CHARTER</t>
  </si>
  <si>
    <t>SISKIYOU COUNTY ROP</t>
  </si>
  <si>
    <t>SISKIYOU COUNTY SPECIAL EDUCATION</t>
  </si>
  <si>
    <t>SISSON</t>
  </si>
  <si>
    <t>SITTING BULL ACADEMY</t>
  </si>
  <si>
    <t>SIX RIVERS CHARTER HIGH</t>
  </si>
  <si>
    <t>SIXTH AVENUE ELEMENTARY</t>
  </si>
  <si>
    <t>SIXTH GRADE CHARTER ACADEMY AT PETALUMA JR. HIGH</t>
  </si>
  <si>
    <t>SIXTH STREET PREP</t>
  </si>
  <si>
    <t>SIXTY-EIGHTH STREET ELEMENTARY</t>
  </si>
  <si>
    <t>SIXTY-FIRST STREET ELEMENTARY</t>
  </si>
  <si>
    <t>SIXTY-SIXTH STREET ELEMENTARY</t>
  </si>
  <si>
    <t>SKY COUNTRY ELEMENTARY</t>
  </si>
  <si>
    <t>SKY MOUNTAIN CHARTER</t>
  </si>
  <si>
    <t>SKY VIEW ELEMENTARY</t>
  </si>
  <si>
    <t>SKYBLUE MESA ELEMENTARY</t>
  </si>
  <si>
    <t>SKYCREST ELEMENTARY</t>
  </si>
  <si>
    <t>SKYLARK ELEMENTARY</t>
  </si>
  <si>
    <t>SKYLINE ELEMENTARY</t>
  </si>
  <si>
    <t>SKYLINE HIGH</t>
  </si>
  <si>
    <t>SKYLINE NORTH ELEMENTARY</t>
  </si>
  <si>
    <t>SKYRIDGE ELEMENTARY</t>
  </si>
  <si>
    <t>SLATER ELEMENTARY</t>
  </si>
  <si>
    <t>SLATER SPECIAL EDUCATION PRESCHOOL</t>
  </si>
  <si>
    <t>SLAUSON INTERMEDIATE</t>
  </si>
  <si>
    <t>SLEEPY HOLLOW ELEMENTARY</t>
  </si>
  <si>
    <t>SLOAT (COMMODORE) ELEMENTARY</t>
  </si>
  <si>
    <t>SLOVER MOUNTAIN HIGH (CONTINUATION)</t>
  </si>
  <si>
    <t>SLVUSD CHARTER</t>
  </si>
  <si>
    <t>SLVUSD HOME AND HOSPITAL</t>
  </si>
  <si>
    <t>SMILEY ELEMENTARY</t>
  </si>
  <si>
    <t>SMITH (C. L.) ELEMENTARY</t>
  </si>
  <si>
    <t>SMITH CAMP</t>
  </si>
  <si>
    <t>SMITH RIVER ELEMENTARY</t>
  </si>
  <si>
    <t>SMYTHE ACADEMY OF ARTS AND SCIENCES</t>
  </si>
  <si>
    <t>SMYTHE ELEMENTARY</t>
  </si>
  <si>
    <t>SNELLING-MERCED FALLS ELEMENTARY</t>
  </si>
  <si>
    <t>SNOW ELEMENTARY</t>
  </si>
  <si>
    <t>SNOWLINE VIRTUAL</t>
  </si>
  <si>
    <t>SOAR CHARTER ACADEMY</t>
  </si>
  <si>
    <t>SOAR HIGH (STUDENTS ON ACADEMIC RISE)</t>
  </si>
  <si>
    <t>SOC JUST LEADERSHIP ACAD AT ESTEBAN E. TORRES HIGH</t>
  </si>
  <si>
    <t>SOC JUST SCHS: FINE ARTS ACAD AT DR. MAYA ANGELOU</t>
  </si>
  <si>
    <t>SOC JUST SCHS: GLBL ISS ACAD AT DR. MAYA ANGELOU C</t>
  </si>
  <si>
    <t>SOL AUREUS COLLEGE PREPARATORY</t>
  </si>
  <si>
    <t>SOLANA HIGHLANDS ELEMENTARY</t>
  </si>
  <si>
    <t>SOLANA PACIFIC ELEMENTARY</t>
  </si>
  <si>
    <t>SOLANA SANTA FE ELEMENTARY</t>
  </si>
  <si>
    <t>SOLANA VISTA ELEMENTARY</t>
  </si>
  <si>
    <t>SOLANO AVENUE ELEMENTARY</t>
  </si>
  <si>
    <t>SOLANO COUNTY COMMUNITY</t>
  </si>
  <si>
    <t>SOLANO COUNTY ROP</t>
  </si>
  <si>
    <t>SOLANO COUNTY SPECIAL EDUCATION</t>
  </si>
  <si>
    <t>SOLANO JUVENILE DETENTION FACILITY</t>
  </si>
  <si>
    <t>SOLANO MIDDLE</t>
  </si>
  <si>
    <t>SOLDIER BRIDGE CHARTER</t>
  </si>
  <si>
    <t>SOLDIER MOUNTAIN HIGH (CONTINUATION)</t>
  </si>
  <si>
    <t>SOLEADO ELEMENTARY</t>
  </si>
  <si>
    <t>SOLEDAD ENRICHMENT ACTION CHARTER HIGH</t>
  </si>
  <si>
    <t>SOLEDAD HIGH</t>
  </si>
  <si>
    <t>SOLEDAD PRESCHOOL CENTER</t>
  </si>
  <si>
    <t>SOLEDAD TRANSITION CENTER</t>
  </si>
  <si>
    <t>SOLORSANO MIDDLE</t>
  </si>
  <si>
    <t>SOLVANG ELEMENTARY</t>
  </si>
  <si>
    <t>SOMAVIA HIGH</t>
  </si>
  <si>
    <t>SOMERSET CONTINUATION HIGH</t>
  </si>
  <si>
    <t>SOMERSET MIDDLE</t>
  </si>
  <si>
    <t>SOMIS ACADEMY</t>
  </si>
  <si>
    <t>SOMIS ELEMENTARY</t>
  </si>
  <si>
    <t>SONOMA CHARTER</t>
  </si>
  <si>
    <t>SONOMA COUNTY ALTERNATIVE EDUCATION PROGRAMS</t>
  </si>
  <si>
    <t>SONOMA COUNTY COURT</t>
  </si>
  <si>
    <t>SONOMA COUNTY ROP</t>
  </si>
  <si>
    <t>SONOMA COUNTY SPECIAL EDUCATION</t>
  </si>
  <si>
    <t>SONOMA ELEMENTARY</t>
  </si>
  <si>
    <t>SONOMA MOUNTAIN ELEMENTARY</t>
  </si>
  <si>
    <t>SONOMA MOUNTAIN HIGH (CONTINUATION)</t>
  </si>
  <si>
    <t>SONOMA VALLEY HIGH</t>
  </si>
  <si>
    <t>SONORA ELEMENTARY</t>
  </si>
  <si>
    <t>SONORA HIGH</t>
  </si>
  <si>
    <t>SONORA HIGH COMMUNITY DAY</t>
  </si>
  <si>
    <t>SOPHIA T. SALVIN SPECIAL EDUCATION CENTER</t>
  </si>
  <si>
    <t>SOQUEL ELEMENTARY</t>
  </si>
  <si>
    <t>SOQUEL HIGH</t>
  </si>
  <si>
    <t>SOTO STREET ELEMENTARY</t>
  </si>
  <si>
    <t>SOULSBYVILLE ELEMENTARY</t>
  </si>
  <si>
    <t>SOUTH BAY CHARTER</t>
  </si>
  <si>
    <t>SOUTH BAY ELEMENTARY</t>
  </si>
  <si>
    <t>SOUTH COAST CONTINUATION</t>
  </si>
  <si>
    <t>SOUTH COAST REGIONAL OCCUPATIONAL PROGRAM</t>
  </si>
  <si>
    <t>SOUTH COMMUNITY</t>
  </si>
  <si>
    <t>SOUTH COUNTY COMMUNITY DAY</t>
  </si>
  <si>
    <t>SOUTH EAST HIGH</t>
  </si>
  <si>
    <t>SOUTH EL MONTE HIGH</t>
  </si>
  <si>
    <t>SOUTH FORK ELEMENTARY</t>
  </si>
  <si>
    <t>SOUTH FORK HIGH</t>
  </si>
  <si>
    <t>SOUTH FORK INTERMEDIATE</t>
  </si>
  <si>
    <t>SOUTH FORK JUNIOR - SENIOR HIGH</t>
  </si>
  <si>
    <t>SOUTH FORK MIDDLE</t>
  </si>
  <si>
    <t>SOUTH FORTUNA ELEMENTARY</t>
  </si>
  <si>
    <t>SOUTH GATE MIDDLE</t>
  </si>
  <si>
    <t>SOUTH GATE SENIOR HIGH</t>
  </si>
  <si>
    <t>SOUTH HIGH</t>
  </si>
  <si>
    <t>SOUTH HILLS HIGH</t>
  </si>
  <si>
    <t>SOUTH HILLSBOROUGH</t>
  </si>
  <si>
    <t>SOUTH JUNIOR HIGH</t>
  </si>
  <si>
    <t>SOUTH LAKE MIDDLE</t>
  </si>
  <si>
    <t>SOUTH LINDHURST CONTINUATION HIGH</t>
  </si>
  <si>
    <t>SOUTH MONTEREY COUNTY CHARTER INDEPENDENT STUDY PR</t>
  </si>
  <si>
    <t>SOUTH OCEANSIDE ELEMENTARY</t>
  </si>
  <si>
    <t>SOUTH PARK ELEMENTARY</t>
  </si>
  <si>
    <t>SOUTH PASADENA MIDDLE</t>
  </si>
  <si>
    <t>SOUTH PASADENA SENIOR HIGH</t>
  </si>
  <si>
    <t>SOUTH POINTE MIDDLE</t>
  </si>
  <si>
    <t>SOUTH RANCHITO ELEMENTARY</t>
  </si>
  <si>
    <t>SOUTH REGION COMMUNITY</t>
  </si>
  <si>
    <t>SOUTH REGION COMMUNITY SCHOOL OF CHULA VISTA</t>
  </si>
  <si>
    <t>SOUTH REGION COMMUNITY SCHOOL OF NATIONAL CITY</t>
  </si>
  <si>
    <t>SOUTH REGION COMMUNITY SCHOOL OF SAN DIEGO</t>
  </si>
  <si>
    <t>SOUTH REGION ELEMENTARY #10</t>
  </si>
  <si>
    <t>SOUTH REGION ELEMENTARY #11</t>
  </si>
  <si>
    <t>SOUTH REGION HIGH #12A TECH ARTS AND DESIGN HIGH</t>
  </si>
  <si>
    <t>SOUTH SAN FRANCISCO HIGH</t>
  </si>
  <si>
    <t>SOUTH SHORES/CSUDH VISUAL AND PERFORMING ARTS</t>
  </si>
  <si>
    <t>SOUTH SUTTER CHARTER</t>
  </si>
  <si>
    <t>SOUTH TAHOE HIGH</t>
  </si>
  <si>
    <t>SOUTH TAHOE MIDDLE</t>
  </si>
  <si>
    <t>SOUTH TAMARIND ELEMENTARY</t>
  </si>
  <si>
    <t>SOUTH VALLEY HIGH (CONTINUATION)</t>
  </si>
  <si>
    <t>SOUTH VALLEY MIDDLE</t>
  </si>
  <si>
    <t>SOUTH/WEST PARK ELEMENTARY</t>
  </si>
  <si>
    <t>SOUTHEAST MIDDLE</t>
  </si>
  <si>
    <t>SOUTHEAST ROP</t>
  </si>
  <si>
    <t>SOUTHERN CALIFORNIA ONLINE ACADEMY</t>
  </si>
  <si>
    <t>SOUTHERN CALIFORNIA ROC</t>
  </si>
  <si>
    <t>SOUTHERN HUMBOLDT COMMUNITY</t>
  </si>
  <si>
    <t>SOUTHERN KERN UNIFIED ADULT</t>
  </si>
  <si>
    <t>SOUTHERN TRINITY COMMUNITY DAY</t>
  </si>
  <si>
    <t>SOUTHERN TRINITY HIGH</t>
  </si>
  <si>
    <t>SOUTHGATE ELEMENTARY</t>
  </si>
  <si>
    <t>SOUTHPORT ELEMENTARY</t>
  </si>
  <si>
    <t>SOUTHRIDGE MIDDLE</t>
  </si>
  <si>
    <t>SOUTHSHORE ELEMENTARY</t>
  </si>
  <si>
    <t>SOUTHSIDE ELEMENTARY</t>
  </si>
  <si>
    <t>SOUTHWEST HIGH</t>
  </si>
  <si>
    <t>SOUTHWEST MIDDLE</t>
  </si>
  <si>
    <t>SOUTHWEST SENIOR HIGH</t>
  </si>
  <si>
    <t>SPANOS (ALEX G.) ELEMENTARY</t>
  </si>
  <si>
    <t>SPARKS ELEMENTARY</t>
  </si>
  <si>
    <t>SPARKS MIDDLE</t>
  </si>
  <si>
    <t>SPECIAL ED PRE-SCHOOL</t>
  </si>
  <si>
    <t>SPECIAL EDUCATION</t>
  </si>
  <si>
    <t>SPECIAL EDUCATION PRESCHOOL</t>
  </si>
  <si>
    <t>SPECIAL EDUCATION PRESCHOOL DIS</t>
  </si>
  <si>
    <t>SPECIAL EDUCATION-INFANT/PRESCHOOL PROGRAM</t>
  </si>
  <si>
    <t>SPECIAL EDUCATION-PRESCHOOL-LAUREL</t>
  </si>
  <si>
    <t>SPENCER VALLEY ELEMENTARY</t>
  </si>
  <si>
    <t>SPRECKELS ELEMENTARY</t>
  </si>
  <si>
    <t>SPRING CREEK MATANZAS CHARTER</t>
  </si>
  <si>
    <t>SPRING GROVE ELEMENTARY</t>
  </si>
  <si>
    <t>SPRING HILL HIGH (CONTINUATION)</t>
  </si>
  <si>
    <t>SPRING HILL OPPORTUNITY</t>
  </si>
  <si>
    <t>SPRING VALLEY ELEMENTARY</t>
  </si>
  <si>
    <t>SPRING VALLEY MIDDLE</t>
  </si>
  <si>
    <t>SPRING VIEW MIDDLE</t>
  </si>
  <si>
    <t>SPRINGBROOK ELEMENTARY</t>
  </si>
  <si>
    <t>SPRINGER ELEMENTARY</t>
  </si>
  <si>
    <t>SPRINGFIELD COMMUNITY DAY</t>
  </si>
  <si>
    <t>SPRINGHILL ELEMENTARY</t>
  </si>
  <si>
    <t>SPRINGVILLE ELEMENTARY</t>
  </si>
  <si>
    <t>SPRUCE ELEMENTARY</t>
  </si>
  <si>
    <t>SPURGEON INTERMEDIATE</t>
  </si>
  <si>
    <t>SPY ROCK ELEMENTARY</t>
  </si>
  <si>
    <t>SQUAW VALLEY PREPARATORY</t>
  </si>
  <si>
    <t>ST. HOPE PUBLIC SCHOOL 7</t>
  </si>
  <si>
    <t>STAGG SENIOR HIGH</t>
  </si>
  <si>
    <t>STAGG STREET ELEMENTARY</t>
  </si>
  <si>
    <t>STANDARD ELEMENTARY</t>
  </si>
  <si>
    <t>STANDARD MIDDLE</t>
  </si>
  <si>
    <t>STANDIFORD ELEMENTARY</t>
  </si>
  <si>
    <t>STANDLEY MIDDLE</t>
  </si>
  <si>
    <t>STANFORD AVENUE ELEMENTARY</t>
  </si>
  <si>
    <t>STANFORD ELEMENTARY</t>
  </si>
  <si>
    <t>STANFORD MIDDLE</t>
  </si>
  <si>
    <t>STANFORD NEW</t>
  </si>
  <si>
    <t>STANFORD PRIMARY CENTER</t>
  </si>
  <si>
    <t>STANISLAUS COMMUNITY</t>
  </si>
  <si>
    <t>STANISLAUS COUNTY SPECIAL EDUCATION</t>
  </si>
  <si>
    <t>STANISLAUS ELEMENTARY</t>
  </si>
  <si>
    <t>STANLEY G. OSWALT ACADEMY</t>
  </si>
  <si>
    <t>STANLEY MOSK ELEMENTARY</t>
  </si>
  <si>
    <t>STANTON ELEMENTARY</t>
  </si>
  <si>
    <t>STANWOOD A. MURPHY ELEMENTARY</t>
  </si>
  <si>
    <t>STAR AT ANDERSON COMMUNITY DAY</t>
  </si>
  <si>
    <t>STAR VIEW ELEMENTARY</t>
  </si>
  <si>
    <t>STARLIGHT ELEMENTARY</t>
  </si>
  <si>
    <t>STARR ELEMENTARY</t>
  </si>
  <si>
    <t>STARR KING K-8</t>
  </si>
  <si>
    <t>STATE LINE ELEMENTARY</t>
  </si>
  <si>
    <t>STATE STREET ELEMENTARY</t>
  </si>
  <si>
    <t>STEELE CANYON HIGH</t>
  </si>
  <si>
    <t>STEELE LANE ELEMENTARY</t>
  </si>
  <si>
    <t>STEFFAN MANOR ELEMENTARY</t>
  </si>
  <si>
    <t>STEGE ELEMENTARY</t>
  </si>
  <si>
    <t>STELLA BROCKMAN ELEMENTARY</t>
  </si>
  <si>
    <t>STELLA I. HILLS ELEMENTARY</t>
  </si>
  <si>
    <t>STELLA MIDDLE CHARTER ACADEMY</t>
  </si>
  <si>
    <t>STELLAR CHARTER</t>
  </si>
  <si>
    <t>STELLAR SECONDARY CHARTER HIGH</t>
  </si>
  <si>
    <t>STEM ACADEMY OF HOLLYWOOD</t>
  </si>
  <si>
    <t>STEPHEN FOSTER ELEMENTARY</t>
  </si>
  <si>
    <t>STEPHEN M. WHITE MIDDLE</t>
  </si>
  <si>
    <t>STEPHEN R. FITZ INTERMEDIATE</t>
  </si>
  <si>
    <t>STEPHEN W. HAWKING CHARTER</t>
  </si>
  <si>
    <t>STEPHEN W. HAWKINGS II SCI TECH ENGR ART AND MA</t>
  </si>
  <si>
    <t>STEPHENS ELEMENTARY</t>
  </si>
  <si>
    <t>STEPHENS MIDDLE</t>
  </si>
  <si>
    <t>STEPS COMMUNITY DAY</t>
  </si>
  <si>
    <t>STEVE GARVEY JUNIOR HIGH</t>
  </si>
  <si>
    <t>STEVE LUTHER ELEMENTARY</t>
  </si>
  <si>
    <t>STEVEN MILLARD ELEMENTARY</t>
  </si>
  <si>
    <t>STEVENS CREEK ELEMENTARY</t>
  </si>
  <si>
    <t>STEVENSON (ROBERT LOUIS) ELEMENTARY</t>
  </si>
  <si>
    <t>STEVENSON ELEMENTARY</t>
  </si>
  <si>
    <t>STEVENSON RANCH ELEMENTARY</t>
  </si>
  <si>
    <t>STEWART ELEMENTARY</t>
  </si>
  <si>
    <t>STINE ELEMENTARY</t>
  </si>
  <si>
    <t>STIPE (SAMUEL) ELEMENTARY</t>
  </si>
  <si>
    <t>STOCKARD COFFEE ELEMENTARY</t>
  </si>
  <si>
    <t>STOCKDALE ELEMENTARY</t>
  </si>
  <si>
    <t>STOCKDALE HIGH</t>
  </si>
  <si>
    <t>STOCKTON (COMMODORE) CHILDREN CENTER</t>
  </si>
  <si>
    <t>STOCKTON COLLEGIATE INTERNATIONAL ELEMENTARY</t>
  </si>
  <si>
    <t>STOCKTON COLLEGIATE INTERNATIONAL SECONDARY</t>
  </si>
  <si>
    <t>STOCKTON HIGH</t>
  </si>
  <si>
    <t>STOCKTON INTERMEDIATE</t>
  </si>
  <si>
    <t>STOCKTON UNIFIED EARLY COLLEGE ACADEMY</t>
  </si>
  <si>
    <t>STODDARD (ALEXANDER J.) ELEMENTARY</t>
  </si>
  <si>
    <t>STONE AVENUE ELEMENTARY</t>
  </si>
  <si>
    <t>STONE BRIDGE</t>
  </si>
  <si>
    <t>STONE CORRAL ELEMENTARY</t>
  </si>
  <si>
    <t>STONE CREEK ELEMENTARY</t>
  </si>
  <si>
    <t>STONE LAKE ELEMENTARY</t>
  </si>
  <si>
    <t>STONE RANCH ELEMENTARY</t>
  </si>
  <si>
    <t>STONE VALLEY MIDDLE</t>
  </si>
  <si>
    <t>STONEBRAE ELEMENTARY</t>
  </si>
  <si>
    <t>STONECREEK JUNIOR HIGH</t>
  </si>
  <si>
    <t>STONEGATE ELEMENTARY</t>
  </si>
  <si>
    <t>STONEHURST AVENUE ELEMENTARY</t>
  </si>
  <si>
    <t>STONEMAN ELEMENTARY</t>
  </si>
  <si>
    <t>STONER AVENUE ELEMENTARY</t>
  </si>
  <si>
    <t>STONERIDGE ELEMENTARY</t>
  </si>
  <si>
    <t>STONEY POINT CONTINUATION</t>
  </si>
  <si>
    <t>STONY CREEK COMMUNITY DAY</t>
  </si>
  <si>
    <t>STONY CREEK ELEMENTARY COMMUNITY DAY</t>
  </si>
  <si>
    <t>STONY POINT ACADEMY</t>
  </si>
  <si>
    <t>STOWERS(CECIL B.) ELEMENTARY</t>
  </si>
  <si>
    <t>STRANDWOOD ELEMENTARY</t>
  </si>
  <si>
    <t>STRATFORD ELEMENTARY</t>
  </si>
  <si>
    <t>STRATHERN STREET ELEMENTARY</t>
  </si>
  <si>
    <t>STRATHMORE COMMUNITY DAY</t>
  </si>
  <si>
    <t>STRATHMORE ELEMENTARY</t>
  </si>
  <si>
    <t>STRATHMORE HIGH</t>
  </si>
  <si>
    <t>STRAWBERRY ELEMENTARY</t>
  </si>
  <si>
    <t>STRAWBERRY POINT ELEMENTARY</t>
  </si>
  <si>
    <t>STREET ACADEMY (ALTERNATIVE)</t>
  </si>
  <si>
    <t>STROBRIDGE ELEMENTARY</t>
  </si>
  <si>
    <t>STRONGS CREEK COMMUNITY DAY</t>
  </si>
  <si>
    <t>STUART MESA ELEMENTARY</t>
  </si>
  <si>
    <t>STUDEBAKER ELEMENTARY</t>
  </si>
  <si>
    <t>STUDENT EMPOWERMENT ACADEMY</t>
  </si>
  <si>
    <t>STUDIO</t>
  </si>
  <si>
    <t>SUCCESS ACADEMY</t>
  </si>
  <si>
    <t>SUGAR HILL ELEMENTARY</t>
  </si>
  <si>
    <t>SUGARLOAF MOUNTAIN JUVENILE HALL PROGRAM</t>
  </si>
  <si>
    <t>SUISUN ELEMENTARY</t>
  </si>
  <si>
    <t>SUISUN VALLEY ELEMENTARY</t>
  </si>
  <si>
    <t>SULPHUR SPRINGS COMMUNITY ELEMENTARY</t>
  </si>
  <si>
    <t>SULTANA ELEMENTARY</t>
  </si>
  <si>
    <t>SULTANA HIGH</t>
  </si>
  <si>
    <t>SUMAC ELEMENTARY</t>
  </si>
  <si>
    <t>SUMMERDALE ELEMENTARY</t>
  </si>
  <si>
    <t>SUMMERLAND ELEMENTARY</t>
  </si>
  <si>
    <t>SUMMERVILLE ELEMENTARY</t>
  </si>
  <si>
    <t>SUMMERVILLE ELEMENTARY COMMUNITY DAY</t>
  </si>
  <si>
    <t>SUMMERVILLE HIGH</t>
  </si>
  <si>
    <t>SUMMERWIND ELEMENTARY</t>
  </si>
  <si>
    <t>SUMMIT ACADEMY COMMUNITY DAY</t>
  </si>
  <si>
    <t>SUMMIT CHARTER</t>
  </si>
  <si>
    <t>SUMMIT CHARTER ACADEMY</t>
  </si>
  <si>
    <t>SUMMIT CONTINUATION</t>
  </si>
  <si>
    <t>SUMMIT ELEMENTARY</t>
  </si>
  <si>
    <t>SUMMIT HIGH</t>
  </si>
  <si>
    <t>SUMMIT HIGH (CONTINUATION)</t>
  </si>
  <si>
    <t>SUMMIT HIGH SCHOOL II</t>
  </si>
  <si>
    <t>SUMMIT INTERMEDIATE</t>
  </si>
  <si>
    <t>SUMMIT LEADERSHIP ACADEMY-HIGH DESERT</t>
  </si>
  <si>
    <t>SUMMIT PREPARATORY CHARTER HIGH</t>
  </si>
  <si>
    <t>SUMMIT PUBLIC SCHOOL: DENALI</t>
  </si>
  <si>
    <t>SUMMIT PUBLIC SCHOOL: RAINIER</t>
  </si>
  <si>
    <t>SUMMIT PUBLIC SCHOOL: SHASTA</t>
  </si>
  <si>
    <t>SUMMIT PUBLIC SCHOOL: TAHOMA</t>
  </si>
  <si>
    <t>SUMMIT VIEW INDEPENDENT STUDY</t>
  </si>
  <si>
    <t>SUMNER ELEMENTARY</t>
  </si>
  <si>
    <t>SUN EMPIRE ELEMENTARY</t>
  </si>
  <si>
    <t>SUN TERRACE ELEMENTARY</t>
  </si>
  <si>
    <t>SUN VALLEY ELEMENTARY</t>
  </si>
  <si>
    <t>SUN VALLEY ENGINEERING AND TECHNOLOGY MAGNET</t>
  </si>
  <si>
    <t>SUN VALLEY HIGH</t>
  </si>
  <si>
    <t>SUN VIEW ELEMENTARY</t>
  </si>
  <si>
    <t>SUNDALE ELEMENTARY</t>
  </si>
  <si>
    <t>SUNDANCE ELEMENTARY</t>
  </si>
  <si>
    <t>SUNDOWN ELEMENTARY</t>
  </si>
  <si>
    <t>SUNFLOWER ELEMENTARY</t>
  </si>
  <si>
    <t>SUNKIST ELEMENTARY</t>
  </si>
  <si>
    <t>SUNLAND ELEMENTARY</t>
  </si>
  <si>
    <t>SUNNY BRAE AVENUE ELEMENTARY</t>
  </si>
  <si>
    <t>SUNNY BRAE MIDDLE</t>
  </si>
  <si>
    <t>SUNNY HILLS HIGH</t>
  </si>
  <si>
    <t>SUNNY SANDS ELEMENTARY</t>
  </si>
  <si>
    <t>SUNNYBRAE ELEMENTARY</t>
  </si>
  <si>
    <t>SUNNYDALE ELEMENTARY</t>
  </si>
  <si>
    <t>SUNNYMEAD ELEMENTARY</t>
  </si>
  <si>
    <t>SUNNYMEAD MIDDLE</t>
  </si>
  <si>
    <t>SUNNYMEADOWS ELEMENTARY</t>
  </si>
  <si>
    <t>SUNNYSIDE ELEMENTARY</t>
  </si>
  <si>
    <t>SUNNYSIDE HIGH</t>
  </si>
  <si>
    <t>SUNNYSLOPE ELEMENTARY</t>
  </si>
  <si>
    <t>SUNNYVALE MIDDLE</t>
  </si>
  <si>
    <t>SUNOL GLEN ELEMENTARY</t>
  </si>
  <si>
    <t>SUNRIDGE CHARTER</t>
  </si>
  <si>
    <t>SUNRISE (SPECIAL EDUCATION)</t>
  </si>
  <si>
    <t>SUNRISE ELEMENTARY</t>
  </si>
  <si>
    <t>SUNRISE HIGH (CONTINUATION)</t>
  </si>
  <si>
    <t>SUNRISE MIDDLE</t>
  </si>
  <si>
    <t>SUNRISE PRE-SCHOOL</t>
  </si>
  <si>
    <t>SUNSET</t>
  </si>
  <si>
    <t>SUNSET ELEMENTARY</t>
  </si>
  <si>
    <t>SUNSET HIGH</t>
  </si>
  <si>
    <t>SUNSET HIGH (CONTINUATION)</t>
  </si>
  <si>
    <t>SUNSET HILLS ELEMENTARY</t>
  </si>
  <si>
    <t>SUNSET LANE ELEMENTARY</t>
  </si>
  <si>
    <t>SUNSET RANCH ELEMENTARY</t>
  </si>
  <si>
    <t>SUNSET RIDGE ELEMENTARY</t>
  </si>
  <si>
    <t>SUNSET VIEW ELEMENTARY</t>
  </si>
  <si>
    <t>SUNSHINE GARDENS ELEMENTARY</t>
  </si>
  <si>
    <t>SUNSHINE SPECIAL EDUCATION</t>
  </si>
  <si>
    <t>SUPERIOR STREET ELEMENTARY</t>
  </si>
  <si>
    <t>SURPRISE VALLEY COMMUNITY DAY</t>
  </si>
  <si>
    <t>SURPRISE VALLEY ELEMENTARY</t>
  </si>
  <si>
    <t>SURPRISE VALLEY HIGH</t>
  </si>
  <si>
    <t>SUSAN B. ANTHONY ELEMENTARY</t>
  </si>
  <si>
    <t>SUSAN B. COOMBS INTERMEDIATE</t>
  </si>
  <si>
    <t>SUSAN H. NELSON</t>
  </si>
  <si>
    <t>SUSAN LA VORGNA ELEMENTARY</t>
  </si>
  <si>
    <t>SUSAN MILLER DORSEY SENIOR HIGH</t>
  </si>
  <si>
    <t>SUSAN RIVER COMMUNITY DAY</t>
  </si>
  <si>
    <t>SUSSMAN MIDDLE</t>
  </si>
  <si>
    <t>SUTHERLAND ELEMENTARY</t>
  </si>
  <si>
    <t>SUTHERLAND LEARNING OPPORTUNITY COMMUNITY DAY</t>
  </si>
  <si>
    <t>SUTRO ELEMENTARY</t>
  </si>
  <si>
    <t>SUTTER COUNTY OPPORTUNITY</t>
  </si>
  <si>
    <t>SUTTER COUNTY SPECIAL EDUCATION</t>
  </si>
  <si>
    <t>SUTTER CREEK ELEMENTARY</t>
  </si>
  <si>
    <t>SUTTER ELEMENTARY</t>
  </si>
  <si>
    <t>SUTTER HIGH</t>
  </si>
  <si>
    <t>SUTTER MIDDLE</t>
  </si>
  <si>
    <t>SUTTERS MILL</t>
  </si>
  <si>
    <t>SUTTERVILLE ELEMENTARY</t>
  </si>
  <si>
    <t>SUVA ELEMENTARY</t>
  </si>
  <si>
    <t>SUVA INTERMEDIATE</t>
  </si>
  <si>
    <t>SUZANNE MIDDLE</t>
  </si>
  <si>
    <t>SVEN LOKRANTZ SPECIAL EDUCATION CENTER</t>
  </si>
  <si>
    <t>SWEETWATER COMMUNITY DAY</t>
  </si>
  <si>
    <t>SWEETWATER HIGH</t>
  </si>
  <si>
    <t>SWEETWATER SPRINGS ELEMENTARY</t>
  </si>
  <si>
    <t>SYBIL N. CROOKHAM ELEMENTARY</t>
  </si>
  <si>
    <t>SYCAMORE ACADEMY OF SCIENCE AND CULTURAL ARTS</t>
  </si>
  <si>
    <t>SYCAMORE CANYON</t>
  </si>
  <si>
    <t>SYCAMORE CANYON ELEMENTARY</t>
  </si>
  <si>
    <t>SYCAMORE ELEMENTARY</t>
  </si>
  <si>
    <t>SYCAMORE HIGH (ALTERNATIVE)</t>
  </si>
  <si>
    <t>SYCAMORE HILLS ELEMENTARY</t>
  </si>
  <si>
    <t>SYCAMORE JUNIOR HIGH</t>
  </si>
  <si>
    <t>SYCAMORE MIDDLE</t>
  </si>
  <si>
    <t>SYCAMORE RIDGE</t>
  </si>
  <si>
    <t>SYCAMORE ROCKS ELEMENTARY</t>
  </si>
  <si>
    <t>SYCAMORE VALLEY ACADEMY</t>
  </si>
  <si>
    <t>SYCAMORE VALLEY ELEMENTARY</t>
  </si>
  <si>
    <t>SYLMAR ELEMENTARY</t>
  </si>
  <si>
    <t>SYLMAR LEADERSHIP ACADEMY</t>
  </si>
  <si>
    <t>SYLMAR SENIOR HIGH</t>
  </si>
  <si>
    <t>SYLVAN ELEMENTARY</t>
  </si>
  <si>
    <t>SYLVAN MIDDLE</t>
  </si>
  <si>
    <t>SYLVAN PARK ELEMENTARY</t>
  </si>
  <si>
    <t>SYLVANDALE MIDDLE</t>
  </si>
  <si>
    <t>SYLVIA CASSELL ELEMENTARY</t>
  </si>
  <si>
    <t>SYNERGY</t>
  </si>
  <si>
    <t>SYNERGY CHARTER ACADEMY</t>
  </si>
  <si>
    <t>SYNERGY KINETIC ACADEMY</t>
  </si>
  <si>
    <t>SYNERGY QUANTUM ACADEMY</t>
  </si>
  <si>
    <t>T. L. WAGGONER ELEMENTARY</t>
  </si>
  <si>
    <t>T. L. WHITEHEAD ELEMENTARY</t>
  </si>
  <si>
    <t>T. R. SMEDBERG MIDDLE</t>
  </si>
  <si>
    <t>T. S. MACQUIDDY ELEMENTARY</t>
  </si>
  <si>
    <t>TABLE MOUNTAIN</t>
  </si>
  <si>
    <t>TAFT COMMUNITY DAY</t>
  </si>
  <si>
    <t>TAFT ELEMENTARY</t>
  </si>
  <si>
    <t>TAFT HIGH</t>
  </si>
  <si>
    <t>TAFT MIDDLE</t>
  </si>
  <si>
    <t>TAFT PRIMARY</t>
  </si>
  <si>
    <t>TAFT T. NEWMAN LEADERSHIP ACADEMY</t>
  </si>
  <si>
    <t>TAFT UNION HIGH</t>
  </si>
  <si>
    <t>TAHOE ELEMENTARY</t>
  </si>
  <si>
    <t>TAHOE LAKE ELEMENTARY</t>
  </si>
  <si>
    <t>TAHOE TRUCKEE HIGH</t>
  </si>
  <si>
    <t>TAHOE VALLEY ELEMENTARY</t>
  </si>
  <si>
    <t>TAHQUITZ HIGH</t>
  </si>
  <si>
    <t>TALBERT (SAMUEL E.) MIDDLE</t>
  </si>
  <si>
    <t>TALMAGE COMMUNITY DAY</t>
  </si>
  <si>
    <t>TAMALPAIS ADULT/COMMUNITY EDUCATION</t>
  </si>
  <si>
    <t>TAMALPAIS HIGH</t>
  </si>
  <si>
    <t>TAMALPAIS VALLEY ELEMENTARY</t>
  </si>
  <si>
    <t>TAMARACK ELEMENTARY</t>
  </si>
  <si>
    <t>TAMISCAL HIGH (ALTERNATIVE)</t>
  </si>
  <si>
    <t>TAMURA (HISAMATSU) ELEMENTARY</t>
  </si>
  <si>
    <t>TAPER AVENUE ELEMENTARY</t>
  </si>
  <si>
    <t>TARA HILLS ELEMENTARY</t>
  </si>
  <si>
    <t>TARPEY ELEMENTARY</t>
  </si>
  <si>
    <t>TARZANA ELEMENTARY</t>
  </si>
  <si>
    <t>TASSAJARA HILLS ELEMENTARY</t>
  </si>
  <si>
    <t>TAYLOR (BERTHA) ELEMENTARY</t>
  </si>
  <si>
    <t>TAYLOR (EDWARD R.) ELEMENTARY</t>
  </si>
  <si>
    <t>TAYLOR (IDA REDMOND) ELEMENTARY</t>
  </si>
  <si>
    <t>TAYLOR LEADERSHIP ACADEMY</t>
  </si>
  <si>
    <t>TAYLOR MIDDLE</t>
  </si>
  <si>
    <t>TAYLOR MOUNTAIN ELEMENTARY</t>
  </si>
  <si>
    <t>TAYLOR STREET ELEMENTARY</t>
  </si>
  <si>
    <t>TAYLORSVILLE ELEMENTARY</t>
  </si>
  <si>
    <t>TEACH ACADEMY OF TECHNOLOGIES</t>
  </si>
  <si>
    <t>TEACH ELEMENTARY</t>
  </si>
  <si>
    <t>TEAGUE ELEMENTARY</t>
  </si>
  <si>
    <t>TEAM CHARTER</t>
  </si>
  <si>
    <t>TECHNOLOGY HIGH</t>
  </si>
  <si>
    <t>TECOPA-FRANCIS ELEMENTARY</t>
  </si>
  <si>
    <t>TED PORTER ELEMENTARY</t>
  </si>
  <si>
    <t>TEHACHAPI ADULT</t>
  </si>
  <si>
    <t>TEHACHAPI HIGH</t>
  </si>
  <si>
    <t>TEHAMA COUNTY COMMUNITY</t>
  </si>
  <si>
    <t>TEHAMA COUNTY COMMUNITY DAY</t>
  </si>
  <si>
    <t>TEHAMA COUNTY JUVENILE JUSTICE CENTER</t>
  </si>
  <si>
    <t>TEHAMA COUNTY ROP</t>
  </si>
  <si>
    <t>TEHAMA COUNTY SPECIAL EDUCATION</t>
  </si>
  <si>
    <t>TEHIPITE MIDDLE</t>
  </si>
  <si>
    <t>TELESIS ACADEMY OF SCIENCE &amp; MATH</t>
  </si>
  <si>
    <t>TELFAIR AVENUE ELEMENTARY</t>
  </si>
  <si>
    <t>TEMECULA ELEMENTARY</t>
  </si>
  <si>
    <t>TEMECULA LUISENO ELEMENTARY</t>
  </si>
  <si>
    <t>TEMECULA MIDDLE</t>
  </si>
  <si>
    <t>TEMECULA PREPARATORY</t>
  </si>
  <si>
    <t>TEMECULA VALLEY ADULT</t>
  </si>
  <si>
    <t>TEMECULA VALLEY CHARTER</t>
  </si>
  <si>
    <t>TEMECULA VALLEY HIGH</t>
  </si>
  <si>
    <t>TEMESCAL CANYON HIGH</t>
  </si>
  <si>
    <t>TEMESCAL VALLEY ELEMENTARY</t>
  </si>
  <si>
    <t>TEMPERANCE-KUTNER ELEMENTARY</t>
  </si>
  <si>
    <t>TEMPLE (ROGER W.) INTERMEDIATE</t>
  </si>
  <si>
    <t>TEMPLE ACADEMY</t>
  </si>
  <si>
    <t>TEMPLE CITY ALTERNATIVE</t>
  </si>
  <si>
    <t>TEMPLE CITY HIGH</t>
  </si>
  <si>
    <t>TEMPLE HEIGHTS ELEMENTARY</t>
  </si>
  <si>
    <t>TEMPLETON COMMUNITY DAY</t>
  </si>
  <si>
    <t>TEMPLETON EARLY COLLEGE HIGH</t>
  </si>
  <si>
    <t>TEMPLETON ELEMENTARY</t>
  </si>
  <si>
    <t>TEMPLETON HIGH</t>
  </si>
  <si>
    <t>TEMPLETON HOME</t>
  </si>
  <si>
    <t>TEMPLETON INDEPENDENT STUDY HIGH</t>
  </si>
  <si>
    <t>TEMPLETON MIDDLE</t>
  </si>
  <si>
    <t>TENAJA CANYON ACADEMY</t>
  </si>
  <si>
    <t>TENAYA ELEMENTARY</t>
  </si>
  <si>
    <t>TENAYA MIDDLE</t>
  </si>
  <si>
    <t>TENDERLOIN COMMUNITY</t>
  </si>
  <si>
    <t>TENNYSON HIGH</t>
  </si>
  <si>
    <t>TENTH STREET ELEMENTARY</t>
  </si>
  <si>
    <t>TEOFILO MENDOZA</t>
  </si>
  <si>
    <t>TERESA BURKE ELEMENTARY</t>
  </si>
  <si>
    <t>TERESA HUGHES ELEMENTARY</t>
  </si>
  <si>
    <t>TERMAN MIDDLE</t>
  </si>
  <si>
    <t>TERRA BELLA ELEMENTARY</t>
  </si>
  <si>
    <t>TERRA COTTA MIDDLE</t>
  </si>
  <si>
    <t>TERRA LINDA HIGH</t>
  </si>
  <si>
    <t>TERRA NOVA HIGH</t>
  </si>
  <si>
    <t>TERRA VISTA ELEMENTARY</t>
  </si>
  <si>
    <t>TERRACE</t>
  </si>
  <si>
    <t>TERRACE ELEMENTARY</t>
  </si>
  <si>
    <t>TERRACE HILLS MIDDLE</t>
  </si>
  <si>
    <t>TERRACE VIEW ELEMENTARY</t>
  </si>
  <si>
    <t>TERRELL ELEMENTARY</t>
  </si>
  <si>
    <t>TERRY ELEMENTARY</t>
  </si>
  <si>
    <t>TESORO DEL VALLE ELEMENTARY</t>
  </si>
  <si>
    <t>TESORO HIGH</t>
  </si>
  <si>
    <t>TETZLAFF (MARTIN B.) MIDDLE</t>
  </si>
  <si>
    <t>TEVIS JUNIOR HIGH</t>
  </si>
  <si>
    <t>THE ACADEMY</t>
  </si>
  <si>
    <t>THE ACADEMY COMMUNITY DAY</t>
  </si>
  <si>
    <t>THE ACADEMY OF ALAMEDA</t>
  </si>
  <si>
    <t>THE ACADEMY OF THE INLAND EMPIRE</t>
  </si>
  <si>
    <t>THE GROVE</t>
  </si>
  <si>
    <t>THE HEIGHTS CHARTER</t>
  </si>
  <si>
    <t>THE HIGH SCHOOL AT MOORPARK COLLEGE</t>
  </si>
  <si>
    <t>THE LANGUAGE ACADEMY OF SACRAMENTO</t>
  </si>
  <si>
    <t>THE MET</t>
  </si>
  <si>
    <t>THE O'FARRELL CHARTER</t>
  </si>
  <si>
    <t>THE ONTARIO CENTER</t>
  </si>
  <si>
    <t>THELMA B. BEDELL ELEMENTARY</t>
  </si>
  <si>
    <t>THEODORE BIRD HIGH</t>
  </si>
  <si>
    <t>THEODORE JUDAH ELEMENTARY</t>
  </si>
  <si>
    <t>THEODORE ROOSEVELT</t>
  </si>
  <si>
    <t>THEODORE ROOSEVELT ELEMENTARY</t>
  </si>
  <si>
    <t>THEODORE ROOSEVELT MIDDLE</t>
  </si>
  <si>
    <t>THEODORE ROOSEVELT SENIOR HIGH</t>
  </si>
  <si>
    <t>THEODORE VICK ELEMENTARY</t>
  </si>
  <si>
    <t>THEUERKAUF ELEMENTARY</t>
  </si>
  <si>
    <t>THINK COLLEGE NOW</t>
  </si>
  <si>
    <t>THIRD STREET ELEMENTARY</t>
  </si>
  <si>
    <t>THIRTY-SECOND STREET USC PERFORMING ARTS</t>
  </si>
  <si>
    <t>THOMAS A. EDISON ELEMENTARY</t>
  </si>
  <si>
    <t>THOMAS A. EDISON MIDDLE</t>
  </si>
  <si>
    <t>THOMAS B. MOFFITT ELEMENTARY</t>
  </si>
  <si>
    <t>THOMAS DOWNEY HIGH</t>
  </si>
  <si>
    <t>THOMAS E. MATHEWS COMMUNITY</t>
  </si>
  <si>
    <t>THOMAS EDISON ELEMENTARY</t>
  </si>
  <si>
    <t>THOMAS EDISON LANGUAGE INSTITUTE</t>
  </si>
  <si>
    <t>THOMAS ELEMENTARY</t>
  </si>
  <si>
    <t>THOMAS JEFFERSON ELEMENTARY</t>
  </si>
  <si>
    <t>THOMAS JEFFERSON MIDDLE</t>
  </si>
  <si>
    <t>THOMAS JEFFERSON SENIOR HIGH</t>
  </si>
  <si>
    <t>THOMAS KELLY ELEMENTARY</t>
  </si>
  <si>
    <t>THOMAS LAW REED ELEMENTARY</t>
  </si>
  <si>
    <t>THOMAS OLAETA ELEMENTARY</t>
  </si>
  <si>
    <t>THOMAS P. RYAN ELEMENTARY</t>
  </si>
  <si>
    <t>THOMAS PAGE ACADEMY</t>
  </si>
  <si>
    <t>THOMAS PAINE ELEMENTARY</t>
  </si>
  <si>
    <t>THOMAS R. POLLICITA MIDDLE</t>
  </si>
  <si>
    <t>THOMAS RILEY HIGH</t>
  </si>
  <si>
    <t>THOMAS RUSSELL MIDDLE</t>
  </si>
  <si>
    <t>THOMAS S. HART MIDDLE</t>
  </si>
  <si>
    <t>THOMAS STARR KING MIDDLE SCHOOL FILM AND MEDIA MAG</t>
  </si>
  <si>
    <t>THOMPSON ELEMENTARY</t>
  </si>
  <si>
    <t>THOMPSON MIDDLE</t>
  </si>
  <si>
    <t>THOMSON ELEMENTARY</t>
  </si>
  <si>
    <t>THORNHILL ELEMENTARY</t>
  </si>
  <si>
    <t>THORNTON HIGH</t>
  </si>
  <si>
    <t>THORNTON JUNIOR HIGH</t>
  </si>
  <si>
    <t>THOUSAND OAKS ELEMENTARY</t>
  </si>
  <si>
    <t>THOUSAND OAKS HIGH</t>
  </si>
  <si>
    <t>THREE RINGS RANCH ELEMENTARY</t>
  </si>
  <si>
    <t>THREE RIVERS CHARTER</t>
  </si>
  <si>
    <t>THREE RIVERS ELEMENTARY</t>
  </si>
  <si>
    <t>THREE RIVERS HIGH (CONTINUATION)</t>
  </si>
  <si>
    <t>THURGOOD MARSHALL</t>
  </si>
  <si>
    <t>THURGOOD MARSHALL CHARTER MIDDLE</t>
  </si>
  <si>
    <t>THURGOOD MARSHALL ELEMENTARY</t>
  </si>
  <si>
    <t>THURSTON MIDDLE</t>
  </si>
  <si>
    <t>TIBBY ELEMENTARY</t>
  </si>
  <si>
    <t>TIBURCIO VASQUEZ ELEMENTARY</t>
  </si>
  <si>
    <t>TIEFORT VIEW INTERMEDIATE</t>
  </si>
  <si>
    <t>TIERRA BONITA ELEMENTARY</t>
  </si>
  <si>
    <t>TIERRA BUENA ELEMENTARY</t>
  </si>
  <si>
    <t>TIERRA DEL SOL CONTINUATION HIGH</t>
  </si>
  <si>
    <t>TIERRA DEL SOL MIDDLE</t>
  </si>
  <si>
    <t>TIERRA LINDA ELEMENTARY</t>
  </si>
  <si>
    <t>TIERRA LINDA MIDDLE</t>
  </si>
  <si>
    <t>TIERRA PACIFICA CHARTER</t>
  </si>
  <si>
    <t>TIERRA VISTA ELEMENTARY</t>
  </si>
  <si>
    <t>TIERRASANTA ELEMENTARY</t>
  </si>
  <si>
    <t>TIFFANY (BURTON C.) ELEMENTARY</t>
  </si>
  <si>
    <t>TIJERAS CREEK ELEMENTARY</t>
  </si>
  <si>
    <t>TIMBER POINT ELEMENTARY</t>
  </si>
  <si>
    <t>TINCHER PREPARATORY</t>
  </si>
  <si>
    <t>TIOGA COMMUNITY DAY</t>
  </si>
  <si>
    <t>TIOGA HIGH</t>
  </si>
  <si>
    <t>TIOGA MIDDLE</t>
  </si>
  <si>
    <t>TIPTON ELEMENTARY</t>
  </si>
  <si>
    <t>TOBY JOHNSON MIDDLE</t>
  </si>
  <si>
    <t>TODAY'S FRESH START CHARTER</t>
  </si>
  <si>
    <t>TODAY'S FRESH START CHARTER SCHOOL INGLEWOOD</t>
  </si>
  <si>
    <t>TODDY THOMAS ELEMENTARY</t>
  </si>
  <si>
    <t>TOKAY COLONY ELEMENTARY</t>
  </si>
  <si>
    <t>TOKAY ELEMENTARY</t>
  </si>
  <si>
    <t>TOKAY HIGH</t>
  </si>
  <si>
    <t>TOLAND WAY ELEMENTARY</t>
  </si>
  <si>
    <t>TOLENAS ELEMENTARY</t>
  </si>
  <si>
    <t>TOLER ELEMENTARY</t>
  </si>
  <si>
    <t>TOLUCA LAKE ELEMENTARY</t>
  </si>
  <si>
    <t>TOM BRADLEY GLOBAL AWARENESS MAGNET</t>
  </si>
  <si>
    <t>TOM HAWKINS ELEMENTARY</t>
  </si>
  <si>
    <t>TOM KITAYAMA ELEMENTARY</t>
  </si>
  <si>
    <t>TOM MALONEY ELEMENTARY</t>
  </si>
  <si>
    <t>TOM MATSUMOTO ELEMENTARY</t>
  </si>
  <si>
    <t>TOMALES ELEMENTARY</t>
  </si>
  <si>
    <t>TOMALES HIGH</t>
  </si>
  <si>
    <t>TOMAS RIVERA ELEMENTARY</t>
  </si>
  <si>
    <t>TOMAS RIVERA MIDDLE</t>
  </si>
  <si>
    <t>TOMPKINS ELEMENTARY</t>
  </si>
  <si>
    <t>TONY TOBIN ELEMENTARY</t>
  </si>
  <si>
    <t>TOP OF THE WORLD ELEMENTARY</t>
  </si>
  <si>
    <t>TOPA TOPA ELEMENTARY</t>
  </si>
  <si>
    <t>TOPANGA LEARN-CHARTER ELEMENTARY</t>
  </si>
  <si>
    <t>TOPAZ ELEMENTARY</t>
  </si>
  <si>
    <t>TOPAZ PREPARATORY ACADEMY</t>
  </si>
  <si>
    <t>TOPEKA CHARTER SCHOOL FOR ADVANCED STUDIES</t>
  </si>
  <si>
    <t>TORCH MIDDLE</t>
  </si>
  <si>
    <t>TORO CANYON MIDDLE</t>
  </si>
  <si>
    <t>TORO PARK ELEMENTARY</t>
  </si>
  <si>
    <t>TORO PRESCHOOL</t>
  </si>
  <si>
    <t>TORRANCE ELEMENTARY</t>
  </si>
  <si>
    <t>TORRANCE HIGH</t>
  </si>
  <si>
    <t>TORREY HILLS</t>
  </si>
  <si>
    <t>TORREY PINES ELEMENTARY</t>
  </si>
  <si>
    <t>TORREY PINES HIGH</t>
  </si>
  <si>
    <t>TOURNAMENT HILLS ELEMENTARY</t>
  </si>
  <si>
    <t>TOVASHAL ELEMENTARY</t>
  </si>
  <si>
    <t>TOWERS ELEMENTARY</t>
  </si>
  <si>
    <t>TOWNE AVENUE ELEMENTARY</t>
  </si>
  <si>
    <t>TOWNGATE ELEMENTARY</t>
  </si>
  <si>
    <t>TOWNSHIP ELEMENTARY</t>
  </si>
  <si>
    <t>TOYON ELEMENTARY</t>
  </si>
  <si>
    <t>TOYON MIDDLE</t>
  </si>
  <si>
    <t>TRABUCO ELEMENTARY</t>
  </si>
  <si>
    <t>TRABUCO HILLS HIGH</t>
  </si>
  <si>
    <t>TRABUCO MESA ELEMENTARY</t>
  </si>
  <si>
    <t>TRACE</t>
  </si>
  <si>
    <t>TRACY (WILBUR) HIGH (CONTINUATION)</t>
  </si>
  <si>
    <t>TRACY ELEMENTARY</t>
  </si>
  <si>
    <t>TRACY HIGH</t>
  </si>
  <si>
    <t>TRAJAN ELEMENTARY</t>
  </si>
  <si>
    <t>TRANQUILLITY ELEMENTARY</t>
  </si>
  <si>
    <t>TRANQUILLITY HIGH</t>
  </si>
  <si>
    <t>TRANSITION HIGH (CONTINUATION)</t>
  </si>
  <si>
    <t>TRANSITIONAL LEARNING CENTER (CONTINUATION)</t>
  </si>
  <si>
    <t>TRAPP ELEMENTARY</t>
  </si>
  <si>
    <t>TRAVER ELEMENTARY</t>
  </si>
  <si>
    <t>TRAVIS COMMUNITY DAY</t>
  </si>
  <si>
    <t>TRAVIS EDUCATION CENTER</t>
  </si>
  <si>
    <t>TRAVIS ELEMENTARY</t>
  </si>
  <si>
    <t>TRAVIS INDEPENDENT STUDY</t>
  </si>
  <si>
    <t>TRAVIS RANCH</t>
  </si>
  <si>
    <t>TRAWEEK MIDDLE</t>
  </si>
  <si>
    <t>TREE OF LIFE CHARTER</t>
  </si>
  <si>
    <t>TREEVIEW ELEMENTARY</t>
  </si>
  <si>
    <t>TREMONT ELEMENTARY</t>
  </si>
  <si>
    <t>TRES PINOS ELEMENTARY</t>
  </si>
  <si>
    <t>TRI-C COMMUNITY DAY</t>
  </si>
  <si>
    <t>TRI-CITIES ROP</t>
  </si>
  <si>
    <t>TRI-COUNTY ROP</t>
  </si>
  <si>
    <t>TRI-VALLEY COMMUNITY DAY</t>
  </si>
  <si>
    <t>TRI-VALLEY ROP</t>
  </si>
  <si>
    <t>TRILLIUM CHARTER</t>
  </si>
  <si>
    <t>TRINIDAD ELEMENTARY</t>
  </si>
  <si>
    <t>TRINITY CENTER ELEMENTARY</t>
  </si>
  <si>
    <t>TRINITY COUNTY HOME</t>
  </si>
  <si>
    <t>TRINITY COUNTY JUVENILE HALL</t>
  </si>
  <si>
    <t>TRINITY COUNTY SPECIAL EDUCATION</t>
  </si>
  <si>
    <t>TRINITY HIGH</t>
  </si>
  <si>
    <t>TRINITY RIVER COMMUNITY DAY</t>
  </si>
  <si>
    <t>TRINITY RIVER ELEMENTARY COMMUNITY DAY</t>
  </si>
  <si>
    <t>TRINITY STREET ELEMENTARY</t>
  </si>
  <si>
    <t>TRINITY VALLEY ELEMENTARY</t>
  </si>
  <si>
    <t>TRIPLE CROWN ELEMENTARY</t>
  </si>
  <si>
    <t>TRIVIUM CHARTER</t>
  </si>
  <si>
    <t>TRONA COMMUNITY DAY</t>
  </si>
  <si>
    <t>TRONA ELEMENTARY</t>
  </si>
  <si>
    <t>TRONA HIGH</t>
  </si>
  <si>
    <t>TROPICO MIDDLE</t>
  </si>
  <si>
    <t>TROTH STREET ELEMENTARY</t>
  </si>
  <si>
    <t>TROY HIGH</t>
  </si>
  <si>
    <t>TRUCKEE ELEMENTARY</t>
  </si>
  <si>
    <t>TRUMAN BENEDICT ELEMENTARY</t>
  </si>
  <si>
    <t>TSURAI HIGH (CONTINUATION)</t>
  </si>
  <si>
    <t>TUCKER ELEMENTARY</t>
  </si>
  <si>
    <t>TULARCITOS ELEMENTARY</t>
  </si>
  <si>
    <t>TULARE CITY COMMUNITY DAY</t>
  </si>
  <si>
    <t>TULARE COUNTY COMMUNITY</t>
  </si>
  <si>
    <t>TULARE COUNTY COURT</t>
  </si>
  <si>
    <t>TULARE COUNTY ORGANIZATION FOR VOCATIONAL EDUCATIO</t>
  </si>
  <si>
    <t>TULARE SUPPORT</t>
  </si>
  <si>
    <t>TULARE TECHNICAL PREPARATORY HIGH</t>
  </si>
  <si>
    <t>TULARE UNION HIGH</t>
  </si>
  <si>
    <t>TULARE WESTERN HIGH</t>
  </si>
  <si>
    <t>TULE CONTINUATION HIGH</t>
  </si>
  <si>
    <t>TULE ELK PARK CHILDREN CENTER</t>
  </si>
  <si>
    <t>TULELAKE BASIN ELEMENTARY</t>
  </si>
  <si>
    <t>TULELAKE COMMUNITY DAY</t>
  </si>
  <si>
    <t>TULELAKE CONTINUATION HIGH</t>
  </si>
  <si>
    <t>TULELAKE HIGH</t>
  </si>
  <si>
    <t>TULITA ELEMENTARY</t>
  </si>
  <si>
    <t>TULLY C. KNOLES</t>
  </si>
  <si>
    <t>TULSA STREET ELEMENTARY</t>
  </si>
  <si>
    <t>TUMBLEWEED ELEMENTARY</t>
  </si>
  <si>
    <t>TUNNELL (MARTIN LUTHER) ELEMENTARY</t>
  </si>
  <si>
    <t>TUOLUMNE CO COMMUNITY DAY HIGH</t>
  </si>
  <si>
    <t>TUOLUMNE CO COMMUNITY DAY MIDDLE</t>
  </si>
  <si>
    <t>TUOLUMNE COUNTY CAL-SAFE PROGRAM</t>
  </si>
  <si>
    <t>TUOLUMNE COUNTY COMMUNITY/ISP</t>
  </si>
  <si>
    <t>TUOLUMNE COUNTY SPECIAL EDUCATION</t>
  </si>
  <si>
    <t>TUOLUMNE COUNTY SPECIAL EDUCATION PRESCHOOL</t>
  </si>
  <si>
    <t>TUOLUMNE ELEMENTARY</t>
  </si>
  <si>
    <t>TUOLUMNE HIGH (CONTINUATION)</t>
  </si>
  <si>
    <t>TURLOCK HIGH</t>
  </si>
  <si>
    <t>TURLOCK JUNIOR HIGH</t>
  </si>
  <si>
    <t>TURNER ACADEMY</t>
  </si>
  <si>
    <t>TURNER ELEMENTARY</t>
  </si>
  <si>
    <t>TURNING POINT ACADEMY</t>
  </si>
  <si>
    <t>TURTLE BAY</t>
  </si>
  <si>
    <t>TURTLE ROCK ELEMENTARY</t>
  </si>
  <si>
    <t>TURTLEBACK ELEMENTARY</t>
  </si>
  <si>
    <t>TUSCANY HILLS ELEMENTARY</t>
  </si>
  <si>
    <t>TUSTIN HIGH</t>
  </si>
  <si>
    <t>TUSTIN MEMORIAL ELEMENTARY</t>
  </si>
  <si>
    <t>TUSTIN RANCH ELEMENTARY</t>
  </si>
  <si>
    <t>TWAIN ELEMENTARY</t>
  </si>
  <si>
    <t>TWAIN HARTE COMMUNITY DAY</t>
  </si>
  <si>
    <t>TWAIN HARTE MIDDLE</t>
  </si>
  <si>
    <t>TWAIN HIGH</t>
  </si>
  <si>
    <t>TWEEDY ELEMENTARY</t>
  </si>
  <si>
    <t>TWELVE BRIDGES ELEMENTARY</t>
  </si>
  <si>
    <t>TWELVE BRIDGES MIDDLE</t>
  </si>
  <si>
    <t>TWENTIETH STREET ELEMENTARY</t>
  </si>
  <si>
    <t>TWENTY-EIGHTH STREET ELEMENTARY</t>
  </si>
  <si>
    <t>TWENTY-FOURTH STREET ELEMENTARY</t>
  </si>
  <si>
    <t>TWENTYNINE PALMS ELEMENTARY</t>
  </si>
  <si>
    <t>TWENTYNINE PALMS HIGH</t>
  </si>
  <si>
    <t>TWENTYNINE PALMS JUNIOR HIGH</t>
  </si>
  <si>
    <t>TWILA REID ELEMENTARY</t>
  </si>
  <si>
    <t>TWIN CREEKS ELEMENTARY</t>
  </si>
  <si>
    <t>TWIN HILLS CHARTER MIDDLE</t>
  </si>
  <si>
    <t>TWIN LAKES ELEMENTARY</t>
  </si>
  <si>
    <t>TWIN OAKS ELEMENTARY</t>
  </si>
  <si>
    <t>TWIN OAKS HIGH</t>
  </si>
  <si>
    <t>TWIN PALMS CONTINUATION</t>
  </si>
  <si>
    <t>TWIN PEAKS MIDDLE</t>
  </si>
  <si>
    <t>TWIN RIDGES 3R COMMUNITY DAY</t>
  </si>
  <si>
    <t>TWIN RIDGES HOME STUDY CHARTER</t>
  </si>
  <si>
    <t>TWIN RIDGES SPECIAL EDUCATION PRESCHOOL</t>
  </si>
  <si>
    <t>TWIN RIVERS CHARTER</t>
  </si>
  <si>
    <t>TWINHILL ELEMENTARY</t>
  </si>
  <si>
    <t>TWO BUNCH PALMS ELEMENTARY</t>
  </si>
  <si>
    <t>TWO HARBORS ELEMENTARY</t>
  </si>
  <si>
    <t>TWO HUNDRED THIRTY-SECOND PLACE</t>
  </si>
  <si>
    <t>TWO RIVERS COMMUNITY DAY</t>
  </si>
  <si>
    <t>TWO RIVERS ELEMENTARY</t>
  </si>
  <si>
    <t>TWO ROCK ELEMENTARY</t>
  </si>
  <si>
    <t>TYLER SKILLS ELEMENTARY</t>
  </si>
  <si>
    <t>TYRRELL ELEMENTARY</t>
  </si>
  <si>
    <t>UKIAH HIGH</t>
  </si>
  <si>
    <t>ULLOA ELEMENTARY</t>
  </si>
  <si>
    <t>ULYSSES GRANT ELEMENTARY</t>
  </si>
  <si>
    <t>ULYSSES S. GRANT SENIOR HIGH</t>
  </si>
  <si>
    <t>UNCHARTED SHORES ACADEMY</t>
  </si>
  <si>
    <t>UNION AVENUE ELEMENTARY</t>
  </si>
  <si>
    <t>UNION ELEMENTARY</t>
  </si>
  <si>
    <t>UNION HILL 3R COMMUNITY DAY</t>
  </si>
  <si>
    <t>UNION HILL CHARTER HOME</t>
  </si>
  <si>
    <t>UNION HILL ELEMENTARY</t>
  </si>
  <si>
    <t>UNION HOUSE ELEMENTARY</t>
  </si>
  <si>
    <t>UNION MIDDLE</t>
  </si>
  <si>
    <t>UNION MINE HIGH</t>
  </si>
  <si>
    <t>UNION STREET CHARTER</t>
  </si>
  <si>
    <t>UNITED FOR SUCCESS ACADEMY</t>
  </si>
  <si>
    <t>UNIVERSITY CENTER PRESCHOOL</t>
  </si>
  <si>
    <t>UNIVERSITY CHARTER MIDDLE SCHOOL AT CSU CHANNEL IS</t>
  </si>
  <si>
    <t>UNIVERSITY CITY HIGH</t>
  </si>
  <si>
    <t>UNIVERSITY HEIGHTS MIDDLE</t>
  </si>
  <si>
    <t>UNIVERSITY HIGH</t>
  </si>
  <si>
    <t>UNIVERSITY PARK ELEMENTARY</t>
  </si>
  <si>
    <t>UNIVERSITY PREPARATION SCHOOL AT CSU CHANNEL ISLAN</t>
  </si>
  <si>
    <t>UNIVERSITY PREPARATORY</t>
  </si>
  <si>
    <t>UNIVERSITY PREPARATORY ACADEMY CHARTER</t>
  </si>
  <si>
    <t>UNIVERSITY PREPARATORY HIGH</t>
  </si>
  <si>
    <t>UNIVERSITY SENIOR HIGH</t>
  </si>
  <si>
    <t>UNSWORTH ELEMENTARY</t>
  </si>
  <si>
    <t>UPLAND ELEMENTARY</t>
  </si>
  <si>
    <t>UPLAND HIGH</t>
  </si>
  <si>
    <t>UPLAND JUNIOR HIGH</t>
  </si>
  <si>
    <t>UPPER LAKE COMMUNITY DAY</t>
  </si>
  <si>
    <t>UPPER LAKE ELEMENTARY</t>
  </si>
  <si>
    <t>UPPER LAKE HIGH</t>
  </si>
  <si>
    <t>UPPER LAKE MIDDLE</t>
  </si>
  <si>
    <t>URBAN CORPS OF SAN DIEGO COUNTY CHARTER</t>
  </si>
  <si>
    <t>URBAN DISCOVERY ACADEMY CHARTER</t>
  </si>
  <si>
    <t>URBAN MONTESSORI CHARTER</t>
  </si>
  <si>
    <t>URBAN PROMISE ACADEMY</t>
  </si>
  <si>
    <t>URBAN VILLAGE MIDDLE</t>
  </si>
  <si>
    <t>URBITA ELEMENTARY</t>
  </si>
  <si>
    <t>USC HYBRID HIGH</t>
  </si>
  <si>
    <t>UTAH STREET ELEMENTARY</t>
  </si>
  <si>
    <t>VACA PENA MIDDLE</t>
  </si>
  <si>
    <t>VACAVILLE COMMUNITY DAY PREP</t>
  </si>
  <si>
    <t>VACAVILLE HIGH</t>
  </si>
  <si>
    <t>VAIL ELEMENTARY</t>
  </si>
  <si>
    <t>VAIL HIGH (CONTINUATION)</t>
  </si>
  <si>
    <t>VAIL RANCH MIDDLE</t>
  </si>
  <si>
    <t>VAL VERDE ACADEMY</t>
  </si>
  <si>
    <t>VAL VERDE ELEMENTARY</t>
  </si>
  <si>
    <t>VAL VERDE HIGH</t>
  </si>
  <si>
    <t>VAL VERDE STUDENT SUCCESS ACADEMY</t>
  </si>
  <si>
    <t>VALADEZ MIDDLE SCHOOL ACADEMY</t>
  </si>
  <si>
    <t>VALENCIA ELEMENTARY</t>
  </si>
  <si>
    <t>VALENCIA HIGH</t>
  </si>
  <si>
    <t>VALENCIA PARK ELEMENTARY</t>
  </si>
  <si>
    <t>VALENCIA VALLEY ELEMENTARY</t>
  </si>
  <si>
    <t>VALENTINE ELEMENTARY</t>
  </si>
  <si>
    <t>VALENTINE PEYTON ELEMENTARY</t>
  </si>
  <si>
    <t>VALENZUELA ELEMENTARY</t>
  </si>
  <si>
    <t>VALERIO STREET ELEMENTARY</t>
  </si>
  <si>
    <t>VALHALLA ELEMENTARY</t>
  </si>
  <si>
    <t>VALHALLA HIGH</t>
  </si>
  <si>
    <t>VALINDA SCHOOL OF ACADEMICS</t>
  </si>
  <si>
    <t>VALLE DEL SOL ELEMENTARY</t>
  </si>
  <si>
    <t>VALLE LINDO ELEMENTARY</t>
  </si>
  <si>
    <t>VALLE VERDE ELEMENTARY</t>
  </si>
  <si>
    <t>VALLE VISTA ELEMENTARY</t>
  </si>
  <si>
    <t>VALLECITO CONTINUATION HIGH</t>
  </si>
  <si>
    <t>VALLECITO ELEMENTARY</t>
  </si>
  <si>
    <t>VALLECITOS ELEMENTARY</t>
  </si>
  <si>
    <t>VALLEJO ADULT TRANSITION</t>
  </si>
  <si>
    <t>VALLEJO CHARTER</t>
  </si>
  <si>
    <t>VALLEJO EDUCATION ACADEMY</t>
  </si>
  <si>
    <t>VALLEJO HIGH</t>
  </si>
  <si>
    <t>VALLEJO MIDDLE</t>
  </si>
  <si>
    <t>VALLEJO MILL ELEMENTARY</t>
  </si>
  <si>
    <t>VALLEMAR ELEMENTARY</t>
  </si>
  <si>
    <t>VALLEY ACADEMY OF ARTS AND SCIENCES</t>
  </si>
  <si>
    <t>VALLEY ALTERNATIVE HIGH (CONTINUATION)</t>
  </si>
  <si>
    <t>VALLEY ALTERNATIVE MAGNET</t>
  </si>
  <si>
    <t>VALLEY ARTS AND SCIENCE ACADEMY (VASA)</t>
  </si>
  <si>
    <t>VALLEY ATWATER COMMUNITY DAY</t>
  </si>
  <si>
    <t>VALLEY CENTER ELEMENTARY</t>
  </si>
  <si>
    <t>VALLEY CENTER ELEMENTARY LOWER</t>
  </si>
  <si>
    <t>VALLEY CENTER HIGH</t>
  </si>
  <si>
    <t>VALLEY CENTER MIDDLE</t>
  </si>
  <si>
    <t>VALLEY CENTER PREP</t>
  </si>
  <si>
    <t>VALLEY CENTER PRIMARY</t>
  </si>
  <si>
    <t>VALLEY CHARTER ELEMENTARY</t>
  </si>
  <si>
    <t>VALLEY CHARTER HIGH</t>
  </si>
  <si>
    <t>VALLEY CHARTER MIDDLE</t>
  </si>
  <si>
    <t>VALLEY COMMUNITY</t>
  </si>
  <si>
    <t>VALLEY COMMUNITY DAY</t>
  </si>
  <si>
    <t>VALLEY ELEMENTARY</t>
  </si>
  <si>
    <t>VALLEY HIGH</t>
  </si>
  <si>
    <t>VALLEY HIGH (CONTINUATION)</t>
  </si>
  <si>
    <t>VALLEY HOME COMMUNITY DAY</t>
  </si>
  <si>
    <t>VALLEY HOME ELEMENTARY</t>
  </si>
  <si>
    <t>VALLEY LIFE CHARTER</t>
  </si>
  <si>
    <t>VALLEY LOS BANOS COMMUNITY DAY</t>
  </si>
  <si>
    <t>VALLEY MIDDLE</t>
  </si>
  <si>
    <t>VALLEY OAK CHARTER</t>
  </si>
  <si>
    <t>VALLEY OAK CONTINUATION HIGH</t>
  </si>
  <si>
    <t>VALLEY OAK ELEMENTARY</t>
  </si>
  <si>
    <t>VALLEY OAK HIGH</t>
  </si>
  <si>
    <t>VALLEY OAK JUNIOR AND SENIOR HIGH</t>
  </si>
  <si>
    <t>VALLEY OAK MIDDLE</t>
  </si>
  <si>
    <t>VALLEY OAKS</t>
  </si>
  <si>
    <t>VALLEY OAKS CHARTER</t>
  </si>
  <si>
    <t>VALLEY OAKS ELEMENTARY</t>
  </si>
  <si>
    <t>VALLEY OAKS ELEMENTARY (ALTERNATIVE)</t>
  </si>
  <si>
    <t>VALLEY OAKS HIGH (ALTERNATIVE)</t>
  </si>
  <si>
    <t>VALLEY OF ENCHANTMENT ELEMENTARY</t>
  </si>
  <si>
    <t>VALLEY PREPARATORY ACADEMY CHARTER</t>
  </si>
  <si>
    <t>VALLEY ROP</t>
  </si>
  <si>
    <t>VALLEY SPRINGS ELEMENTARY</t>
  </si>
  <si>
    <t>VALLEY TEEN RANCH COMMUNITY DAY</t>
  </si>
  <si>
    <t>VALLEY VIEW ELEMENTARY</t>
  </si>
  <si>
    <t>VALLEY VIEW HIGH</t>
  </si>
  <si>
    <t>VALLEY VIEW HIGH (CONTINUATION)</t>
  </si>
  <si>
    <t>VALLEY VIEW MIDDLE</t>
  </si>
  <si>
    <t>VALLEY VISTA ELEMENTARY</t>
  </si>
  <si>
    <t>VALLEY VISTA HIGH (CONTINUATION)</t>
  </si>
  <si>
    <t>VALLEYDALE ELEMENTARY</t>
  </si>
  <si>
    <t>VALMONTE ELEMENTARY</t>
  </si>
  <si>
    <t>VALOR ACADEMY CHARTER</t>
  </si>
  <si>
    <t>VALOR ACADEMY CHARTER HIGH</t>
  </si>
  <si>
    <t>VAN ALLEN ELEMENTARY</t>
  </si>
  <si>
    <t>VAN BUREN ELEMENTARY</t>
  </si>
  <si>
    <t>VAN DEENE AVENUE ELEMENTARY</t>
  </si>
  <si>
    <t>VAN DUZEN ELEMENTARY</t>
  </si>
  <si>
    <t>VAN GOGH CHARTER</t>
  </si>
  <si>
    <t>VAN NESS AVENUE ELEMENTARY</t>
  </si>
  <si>
    <t>VAN NUYS ELEMENTARY</t>
  </si>
  <si>
    <t>VAN NUYS MIDDLE</t>
  </si>
  <si>
    <t>VAN NUYS SENIOR HIGH</t>
  </si>
  <si>
    <t>VANALDEN AVENUE ELEMENTARY</t>
  </si>
  <si>
    <t>VANDALIA ELEMENTARY</t>
  </si>
  <si>
    <t>VANDEN HIGH</t>
  </si>
  <si>
    <t>VANDENBERG MIDDLE</t>
  </si>
  <si>
    <t>VANG PAO ELEMENTARY</t>
  </si>
  <si>
    <t>VANGUARD LEARNING CENTER</t>
  </si>
  <si>
    <t>VANGUARD PREPARATORY</t>
  </si>
  <si>
    <t>VANNOY ELEMENTARY</t>
  </si>
  <si>
    <t>VANTAGE POINT CHARTER</t>
  </si>
  <si>
    <t>VARGAS ELEMENTARY</t>
  </si>
  <si>
    <t>VASQUEZ HIGH</t>
  </si>
  <si>
    <t>VAUGHN NEXT CENTURY LEARNING CENTER</t>
  </si>
  <si>
    <t>VEJAR ELEMENTARY</t>
  </si>
  <si>
    <t>VELOCITY INTERNATIONAL SCIENCE AND TECH ACADEMY (V</t>
  </si>
  <si>
    <t>VENA AVENUE ELEMENTARY</t>
  </si>
  <si>
    <t>VENADO MIDDLE</t>
  </si>
  <si>
    <t>VENCIL BROWN ELEMENTARY</t>
  </si>
  <si>
    <t>VENETIA VALLEY ELEMENTARY</t>
  </si>
  <si>
    <t>VENICE SENIOR HIGH</t>
  </si>
  <si>
    <t>VENTURA ADULT EDUCATION</t>
  </si>
  <si>
    <t>VENTURA CHARTER SCHOOL OF ARTS AND GLOBAL EDUCATIO</t>
  </si>
  <si>
    <t>VENTURA COUNTY ROP</t>
  </si>
  <si>
    <t>VENTURA COUNTY SPECIAL EDUCATION</t>
  </si>
  <si>
    <t>VENTURA HIGH</t>
  </si>
  <si>
    <t>VENTURA ISLANDS HIGH</t>
  </si>
  <si>
    <t>VENTURE (ALTERNATIVE)</t>
  </si>
  <si>
    <t>VENTURE ACADEMY</t>
  </si>
  <si>
    <t>VERDE ELEMENTARY</t>
  </si>
  <si>
    <t>VERDE VALE ELEMENTARY</t>
  </si>
  <si>
    <t>VERDUGO ACADEMY</t>
  </si>
  <si>
    <t>VERDUGO HILLS SENIOR HIGH</t>
  </si>
  <si>
    <t>VERDUGO WOODLANDS ELEMENTARY</t>
  </si>
  <si>
    <t>VERITAS ELEMENTARY</t>
  </si>
  <si>
    <t>VERMONT AVENUE ELEMENTARY</t>
  </si>
  <si>
    <t>VERMONT ELEMENTARY</t>
  </si>
  <si>
    <t>VERNON CITY ELEMENTARY</t>
  </si>
  <si>
    <t>VERNON E. GREER ELEMENTARY</t>
  </si>
  <si>
    <t>VERNON MIDDLE</t>
  </si>
  <si>
    <t>VETERANS ELEMENTARY</t>
  </si>
  <si>
    <t>VEVA BLUNT ELEMENTARY</t>
  </si>
  <si>
    <t>VIA DEL CAMPO CONTINUATION HIGH</t>
  </si>
  <si>
    <t>VIA NUEVA ACADEMY</t>
  </si>
  <si>
    <t>VICENTE MARTINEZ HIGH</t>
  </si>
  <si>
    <t>VICENTIA ELEMENTARY</t>
  </si>
  <si>
    <t>VICHY ELEMENTARY</t>
  </si>
  <si>
    <t>VICTOR ELEMENTARY</t>
  </si>
  <si>
    <t>VICTOR F. HODGE ELEMENTARY</t>
  </si>
  <si>
    <t>VICTOR VALLEY HIGH</t>
  </si>
  <si>
    <t>VICTOR VALLEY HOME ACADEMY</t>
  </si>
  <si>
    <t>VICTORIA AVENUE ELEMENTARY</t>
  </si>
  <si>
    <t>VICTORIA ELEMENTARY</t>
  </si>
  <si>
    <t>VICTORIA GROVES ELEMENTARY</t>
  </si>
  <si>
    <t>VICTORIA MAGATHAN ELEMENTARY</t>
  </si>
  <si>
    <t>VICTORIANO ELEMENTARY</t>
  </si>
  <si>
    <t>VICTORY BOULEVARD ELEMENTARY</t>
  </si>
  <si>
    <t>VICTORY ELEMENTARY</t>
  </si>
  <si>
    <t>VICTORY HIGH</t>
  </si>
  <si>
    <t>VICTRESS BOWER SCHOOL FOR EXCEPTIONAL STUDENTS</t>
  </si>
  <si>
    <t>VIEJA VALLEY ELEMENTARY</t>
  </si>
  <si>
    <t>VIEJO ELEMENTARY</t>
  </si>
  <si>
    <t>VIEW PARK CONTINUATION</t>
  </si>
  <si>
    <t>VIEW PARK PREPARATORY ACCELERATED CHARTER</t>
  </si>
  <si>
    <t>VIEW PARK PREPARATORY ACCELERATED CHARTER MIDDLE</t>
  </si>
  <si>
    <t>VIEW PARK PREPARATORY ACCELERATED HIGH</t>
  </si>
  <si>
    <t>VIKING CENTER</t>
  </si>
  <si>
    <t>VIKING ELEMENTARY</t>
  </si>
  <si>
    <t>VILLA PARK ELEMENTARY</t>
  </si>
  <si>
    <t>VILLA PARK HIGH</t>
  </si>
  <si>
    <t>VILLACORTA ELEMENTARY</t>
  </si>
  <si>
    <t>VILLAGE</t>
  </si>
  <si>
    <t>VILLAGE ACADEMY HIGH SCHOOL AT INDIAN HILL</t>
  </si>
  <si>
    <t>VILLAGE CHARTER</t>
  </si>
  <si>
    <t>VILLAGE ELEMENTARY</t>
  </si>
  <si>
    <t>VILLAGE ELEMENTARY CHARTER</t>
  </si>
  <si>
    <t>VILLAGE HIGH</t>
  </si>
  <si>
    <t>VILLAGE VIEW ELEMENTARY</t>
  </si>
  <si>
    <t>VINA DANKS MIDDLE</t>
  </si>
  <si>
    <t>VINA ELEMENTARY</t>
  </si>
  <si>
    <t>VINCENT ACADEMY</t>
  </si>
  <si>
    <t>VINCI PARK ELEMENTARY</t>
  </si>
  <si>
    <t>VINE ELEMENTARY</t>
  </si>
  <si>
    <t>VINE HILL ELEMENTARY</t>
  </si>
  <si>
    <t>VINE STREET COMMUNITY DAY</t>
  </si>
  <si>
    <t>VINE STREET ELEMENTARY</t>
  </si>
  <si>
    <t>VINEDALE ELEMENTARY</t>
  </si>
  <si>
    <t>VINELAND ELEMENTARY</t>
  </si>
  <si>
    <t>VINEWOOD ELEMENTARY</t>
  </si>
  <si>
    <t>VINEYARD ALTERNATIVE</t>
  </si>
  <si>
    <t>VINEYARD ELEMENTARY</t>
  </si>
  <si>
    <t>VINEYARD JUNIOR HIGH</t>
  </si>
  <si>
    <t>VINLAND ELEMENTARY</t>
  </si>
  <si>
    <t>VINTAGE HIGH</t>
  </si>
  <si>
    <t>VINTAGE HILLS ELEMENTARY</t>
  </si>
  <si>
    <t>VINTAGE MATH/SCIENCE/TECHNOLOGY MAGNET</t>
  </si>
  <si>
    <t>VINTAGE PARKWAY ELEMENTARY</t>
  </si>
  <si>
    <t>VIP VILLAGE PRESCHOOL</t>
  </si>
  <si>
    <t>VIRGIL MIDDLE</t>
  </si>
  <si>
    <t>VIRGINIA AVENUE ELEMENTARY</t>
  </si>
  <si>
    <t>VIRGINIA PARKS ELEMENTARY</t>
  </si>
  <si>
    <t>VIRGINIA PETERSON ELEMENTARY</t>
  </si>
  <si>
    <t>VIRGINIA PRIMROSE ELEMENTARY</t>
  </si>
  <si>
    <t>VIRGINIA ROAD ELEMENTARY</t>
  </si>
  <si>
    <t>VIRGINIA ROCCA BARTON ELEMENTARY</t>
  </si>
  <si>
    <t>VIRTUAL HIGH</t>
  </si>
  <si>
    <t>VIRTUAL PRE</t>
  </si>
  <si>
    <t>VISALIA CHARTER INDEPENDENT STUDY</t>
  </si>
  <si>
    <t>VISALIA TECHNICAL EARLY COLLEGE</t>
  </si>
  <si>
    <t>VISIONS ACADEMY CHARTER</t>
  </si>
  <si>
    <t>VISIONS IN EDUCATION</t>
  </si>
  <si>
    <t>VISITACION VALLEY ELEMENTARY</t>
  </si>
  <si>
    <t>VISITACION VALLEY MIDDLE</t>
  </si>
  <si>
    <t>VISTA (ALTERNATIVE)</t>
  </si>
  <si>
    <t>VISTA ACADEMY OF VISUAL AND PERFORMING ARTS</t>
  </si>
  <si>
    <t>VISTA ALTERNATIVE</t>
  </si>
  <si>
    <t>VISTA CHARTER MIDDLE</t>
  </si>
  <si>
    <t>VISTA COLORADO ELEMENTARY</t>
  </si>
  <si>
    <t>VISTA CONTINUATION HIGH</t>
  </si>
  <si>
    <t>VISTA DE LAS CRUCES</t>
  </si>
  <si>
    <t>VISTA DEL LAGO HIGH</t>
  </si>
  <si>
    <t>VISTA DEL MAR</t>
  </si>
  <si>
    <t>VISTA DEL MAR ELEMENTARY</t>
  </si>
  <si>
    <t>VISTA DEL MAR MIDDLE</t>
  </si>
  <si>
    <t>VISTA DEL MONTE ELEMENTARY</t>
  </si>
  <si>
    <t>VISTA DEL VALLE DUAL LANGUAGE ACADEMY</t>
  </si>
  <si>
    <t>VISTA DEL VALLE ELEMENTARY</t>
  </si>
  <si>
    <t>VISTA ELEMENTARY</t>
  </si>
  <si>
    <t>VISTA GRANDE ELEMENTARY</t>
  </si>
  <si>
    <t>VISTA HEIGHTS MIDDLE</t>
  </si>
  <si>
    <t>VISTA HIGH</t>
  </si>
  <si>
    <t>VISTA HIGH (ALTERNATIVE)</t>
  </si>
  <si>
    <t>VISTA HIGH (CONTINUATION)</t>
  </si>
  <si>
    <t>VISTA LA MESA ACADEMY</t>
  </si>
  <si>
    <t>VISTA MAGNET MIDDLE SCHOOL OF TECHNOLOGY SCIENCE</t>
  </si>
  <si>
    <t>VISTA MIDDLE</t>
  </si>
  <si>
    <t>VISTA MURRIETA HIGH</t>
  </si>
  <si>
    <t>VISTA NUEVA CAREER AND TECHNOLOGY HIGH</t>
  </si>
  <si>
    <t>VISTA PREPARATORY ACADEMY</t>
  </si>
  <si>
    <t>VISTA REAL CHARTER HIGH</t>
  </si>
  <si>
    <t>VISTA SAN GABRIEL ELEMENTARY</t>
  </si>
  <si>
    <t>VISTA SQUARE ELEMENTARY</t>
  </si>
  <si>
    <t>VISTA VERDE</t>
  </si>
  <si>
    <t>VISTA VERDE ELEMENTARY</t>
  </si>
  <si>
    <t>VISTA VERDE MIDDLE</t>
  </si>
  <si>
    <t>VISTA VIEW MIDDLE</t>
  </si>
  <si>
    <t>VISTA VISIONS ACADEMY</t>
  </si>
  <si>
    <t>VISTA WEST CONTINUATION HIGH</t>
  </si>
  <si>
    <t>VISUAL AND PERFORMING ARTS AT LEGACY HIGH SCHOOL C</t>
  </si>
  <si>
    <t>VIVIAN BANKS CHARTER</t>
  </si>
  <si>
    <t>VOICES COLLEGE-BOUND LANGUAGE ACADEMY</t>
  </si>
  <si>
    <t>VOLTA ELEMENTARY</t>
  </si>
  <si>
    <t>VON RENNER ELEMENTARY</t>
  </si>
  <si>
    <t>VOORHIES ELEMENTARY</t>
  </si>
  <si>
    <t>W. A. KENDRICK ELEMENTARY</t>
  </si>
  <si>
    <t>W. D. HALL ELEMENTARY</t>
  </si>
  <si>
    <t>W. E. B. DUBOIS PUBLIC CHARTER</t>
  </si>
  <si>
    <t>W. E. MITCHELL MIDDLE</t>
  </si>
  <si>
    <t>W. R. NELSON ELEMENTARY</t>
  </si>
  <si>
    <t>W. R. POWELL ELEMENTARY</t>
  </si>
  <si>
    <t>WADE THOMAS ELEMENTARY</t>
  </si>
  <si>
    <t>WADSWORTH AVENUE ELEMENTARY</t>
  </si>
  <si>
    <t>WAGNER RANCH ELEMENTARY</t>
  </si>
  <si>
    <t>WAGNER-HOLT ELEMENTARY</t>
  </si>
  <si>
    <t>WAGON WHEEL ELEMENTARY</t>
  </si>
  <si>
    <t>WAKEFIELD ELEMENTARY</t>
  </si>
  <si>
    <t>WAKEHAM ELEMENTARY</t>
  </si>
  <si>
    <t>WALDEN ACADEMY</t>
  </si>
  <si>
    <t>WALDO ROHNERT INTERMEDIATE</t>
  </si>
  <si>
    <t>WALGROVE AVENUE ELEMENTARY</t>
  </si>
  <si>
    <t>WALKER ELEMENTARY</t>
  </si>
  <si>
    <t>WALKER JUNIOR HIGH</t>
  </si>
  <si>
    <t>WALKER RIVER HIGH</t>
  </si>
  <si>
    <t>WALLACE R. DAVIS ELEMENTARY</t>
  </si>
  <si>
    <t>WALLEN L. ANDREWS ELEMENTARY</t>
  </si>
  <si>
    <t>WALLENBERG (RAOUL) TRADITIONAL HIGH</t>
  </si>
  <si>
    <t>WALLIS ANNENBERG HIGH</t>
  </si>
  <si>
    <t>WALNUT ACRES ELEMENTARY</t>
  </si>
  <si>
    <t>WALNUT AVENUE ELEMENTARY</t>
  </si>
  <si>
    <t>WALNUT CANYON ELEMENTARY</t>
  </si>
  <si>
    <t>WALNUT CREEK INTERMEDIATE</t>
  </si>
  <si>
    <t>WALNUT ELEMENTARY</t>
  </si>
  <si>
    <t>WALNUT ELEMENTARY EDUCATION CENTER</t>
  </si>
  <si>
    <t>WALNUT GROVE ELEMENTARY</t>
  </si>
  <si>
    <t>WALNUT GROVE INTERMEDIATE</t>
  </si>
  <si>
    <t>WALNUT HEIGHTS ELEMENTARY</t>
  </si>
  <si>
    <t>WALNUT HIGH</t>
  </si>
  <si>
    <t>WALNUT PARK ELEMENTARY</t>
  </si>
  <si>
    <t>WALNUT PARK MIDDLE A SCH OF SOC JUST AND SERVICE L</t>
  </si>
  <si>
    <t>WALNUT PARK MIDDLE B SCI TECH ENGR AND MATH ACAD</t>
  </si>
  <si>
    <t>WALNUTWOOD HIGH (INDEPENDENT STUDY)</t>
  </si>
  <si>
    <t>WALT DISNEY ELEMENTARY</t>
  </si>
  <si>
    <t>WALT TYLER ELEMENTARY</t>
  </si>
  <si>
    <t>WALTER COLTON</t>
  </si>
  <si>
    <t>WALTER F. DEXTER MIDDLE</t>
  </si>
  <si>
    <t>WALTER HAYS ELEMENTARY</t>
  </si>
  <si>
    <t>WALTER J. KATNICH COMMUNITY DAY</t>
  </si>
  <si>
    <t>WALTER L. BACHRODT ELEMENTARY</t>
  </si>
  <si>
    <t>WALTER M. BROWN ELEMENTARY</t>
  </si>
  <si>
    <t>WALTER REED MIDDLE</t>
  </si>
  <si>
    <t>WALTER STIERN MIDDLE</t>
  </si>
  <si>
    <t>WALTER WHITE ELEMENTARY</t>
  </si>
  <si>
    <t>WALTER WOODWARD ELEMENTARY</t>
  </si>
  <si>
    <t>WALTER ZIMMERMAN ELEMENTARY</t>
  </si>
  <si>
    <t>WALTERIA ELEMENTARY</t>
  </si>
  <si>
    <t>WALTON DEVELOPMENT CENTER</t>
  </si>
  <si>
    <t>WALTON MIDDLE</t>
  </si>
  <si>
    <t>WANDA HIRSCH ELEMENTARY</t>
  </si>
  <si>
    <t>WANGENHEIM MIDDLE</t>
  </si>
  <si>
    <t>WARD ELEMENTARY</t>
  </si>
  <si>
    <t>WARM SPRINGS ELEMENTARY</t>
  </si>
  <si>
    <t>WARM SPRINGS MIDDLE</t>
  </si>
  <si>
    <t>WARNER AVENUE ELEMENTARY</t>
  </si>
  <si>
    <t>WARNER ELEMENTARY</t>
  </si>
  <si>
    <t>WARNER HIGH</t>
  </si>
  <si>
    <t>WARNER I</t>
  </si>
  <si>
    <t>WARNER JUNIOR/SENIOR HIGH</t>
  </si>
  <si>
    <t>WARNER MIDDLE</t>
  </si>
  <si>
    <t>WARREN A. ALLISON ELEMENTARY</t>
  </si>
  <si>
    <t>WARREN E. HYDE MIDDLE</t>
  </si>
  <si>
    <t>WARREN HIGH</t>
  </si>
  <si>
    <t>WARREN T. EICH MIDDLE</t>
  </si>
  <si>
    <t>WARWICK ELEMENTARY</t>
  </si>
  <si>
    <t>WASCO HIGH</t>
  </si>
  <si>
    <t>WASCO INDEPENDENCE HIGH</t>
  </si>
  <si>
    <t>WASHINGTON</t>
  </si>
  <si>
    <t>WASHINGTON (GEORGE) HIGH</t>
  </si>
  <si>
    <t>WASHINGTON ACADEMIC MIDDLE</t>
  </si>
  <si>
    <t>WASHINGTON ACCELERATED ELEMENTARY</t>
  </si>
  <si>
    <t>WASHINGTON COLONY ELEMENTARY</t>
  </si>
  <si>
    <t>WASHINGTON ELEMENTARY</t>
  </si>
  <si>
    <t>WASHINGTON HIGH</t>
  </si>
  <si>
    <t>WASHINGTON INTERMEDIATE</t>
  </si>
  <si>
    <t>WASHINGTON IRVING MIDDLE SCH MATH MUSIC AND ENGR</t>
  </si>
  <si>
    <t>WASHINGTON MANOR MIDDLE</t>
  </si>
  <si>
    <t>WASHINGTON MIDDLE</t>
  </si>
  <si>
    <t>WASHINGTON PRIMARY CENTER</t>
  </si>
  <si>
    <t>WASUMA ELEMENTARY</t>
  </si>
  <si>
    <t>WATERFORD COMMUNITY DAY</t>
  </si>
  <si>
    <t>WATERFORD HIGH</t>
  </si>
  <si>
    <t>WATERFORD JUNIOR</t>
  </si>
  <si>
    <t>WATERLOO ELEMENTARY</t>
  </si>
  <si>
    <t>WATSONVILLE CHARTER SCHOOL OF THE ARTS</t>
  </si>
  <si>
    <t>WATSONVILLE HIGH</t>
  </si>
  <si>
    <t>WATTS LEARNING CENTER</t>
  </si>
  <si>
    <t>WATTS LEARNING CENTER CHARTER MIDDLE</t>
  </si>
  <si>
    <t>WAUKENA JOINT UNION ELEMENTARY</t>
  </si>
  <si>
    <t>WAVERLY ELEMENTARY</t>
  </si>
  <si>
    <t>WAWONA MIDDLE</t>
  </si>
  <si>
    <t>WAYNE RUBLE MIDDLE</t>
  </si>
  <si>
    <t>WAYNE VAN HORN ELEMENTARY</t>
  </si>
  <si>
    <t>WAYSIDE ELEMENTARY</t>
  </si>
  <si>
    <t>WCCUSD COMMUNITY DAY SCHOOL PROGRAM</t>
  </si>
  <si>
    <t>WEATHERSFIELD ELEMENTARY</t>
  </si>
  <si>
    <t>WEAVER MIDDLE</t>
  </si>
  <si>
    <t>WEAVER PRESCHOOL</t>
  </si>
  <si>
    <t>WEAVERVILLE ELEMENTARY</t>
  </si>
  <si>
    <t>WEBBER ELEMENTARY</t>
  </si>
  <si>
    <t>WEBER INSTITUTE</t>
  </si>
  <si>
    <t>WEBSTER (DANIEL) ELEMENTARY</t>
  </si>
  <si>
    <t>WEBSTER ELEMENTARY</t>
  </si>
  <si>
    <t>WEDGEWORTH ELEMENTARY</t>
  </si>
  <si>
    <t>WEED ELEMENTARY</t>
  </si>
  <si>
    <t>WEED HIGH</t>
  </si>
  <si>
    <t>WEGEFORTH ELEMENTARY</t>
  </si>
  <si>
    <t>WEIGAND AVENUE ELEMENTARY</t>
  </si>
  <si>
    <t>WEILL (RAPHAEL) CHILDREN CENTER</t>
  </si>
  <si>
    <t>WEIMAR HILLS</t>
  </si>
  <si>
    <t>WEIMAR HILLS CHARTER</t>
  </si>
  <si>
    <t>WEIR PREPARATORY ACADEMY</t>
  </si>
  <si>
    <t>WEITCHPEC ELEMENTARY</t>
  </si>
  <si>
    <t>WELBY WAY ELEMENTARY CHARTER</t>
  </si>
  <si>
    <t>WELDON ELEMENTARY</t>
  </si>
  <si>
    <t>WELLINGTON M. SMITH JR.</t>
  </si>
  <si>
    <t>WELLS (IDA B.) HIGH</t>
  </si>
  <si>
    <t>WELLS MIDDLE</t>
  </si>
  <si>
    <t>WESCOVE ELEMENTARY</t>
  </si>
  <si>
    <t>WESLEY GAINES</t>
  </si>
  <si>
    <t>WESM HEALTH/SPORTS MEDICINE</t>
  </si>
  <si>
    <t>WEST ADAMS PREPARATORY HIGH</t>
  </si>
  <si>
    <t>WEST ATHENS ELEMENTARY</t>
  </si>
  <si>
    <t>WEST BORON ELEMENTARY</t>
  </si>
  <si>
    <t>WEST CAMPUS</t>
  </si>
  <si>
    <t>WEST COTTONWOOD JUNIOR HIGH</t>
  </si>
  <si>
    <t>WEST COUNTY COMMUNITY HIGH</t>
  </si>
  <si>
    <t>WEST COVINA HIGH</t>
  </si>
  <si>
    <t>WEST CREEK ACADEMY</t>
  </si>
  <si>
    <t>WEST CREEK ELEMENTARY</t>
  </si>
  <si>
    <t>WEST END COMMUNITY DAY</t>
  </si>
  <si>
    <t>WEST FRESNO ELEMENTARY</t>
  </si>
  <si>
    <t>WEST FRESNO MIDDLE</t>
  </si>
  <si>
    <t>WEST HERITAGE ELEMENTARY</t>
  </si>
  <si>
    <t>WEST HIGH</t>
  </si>
  <si>
    <t>WEST HILLS HIGH</t>
  </si>
  <si>
    <t>WEST HILLS JUVENILE HALL COURT</t>
  </si>
  <si>
    <t>WEST HILLSBOROUGH</t>
  </si>
  <si>
    <t>WEST HOLLYWOOD ELEMENTARY</t>
  </si>
  <si>
    <t>WEST HOLLYWOOD OPPORTUNITY</t>
  </si>
  <si>
    <t>WEST MALL ALTERNATIVE</t>
  </si>
  <si>
    <t>WEST MARIN ELEMENTARY</t>
  </si>
  <si>
    <t>WEST MIDDLE</t>
  </si>
  <si>
    <t>WEST OAKLAND MIDDLE</t>
  </si>
  <si>
    <t>WEST ORANGE ELEMENTARY</t>
  </si>
  <si>
    <t>WEST PALMS CONSERVATORY</t>
  </si>
  <si>
    <t>WEST PARK CHARTER ACADEMY</t>
  </si>
  <si>
    <t>WEST PARK ELEMENTARY</t>
  </si>
  <si>
    <t>WEST POINT ALTERNATIVE</t>
  </si>
  <si>
    <t>WEST POINT ELEMENTARY</t>
  </si>
  <si>
    <t>WEST PORTAL ELEMENTARY</t>
  </si>
  <si>
    <t>WEST PUTNAM ELEMENTARY</t>
  </si>
  <si>
    <t>WEST RANCH HIGH</t>
  </si>
  <si>
    <t>WEST RANDALL ELEMENTARY</t>
  </si>
  <si>
    <t>WEST RIVERSIDE ELEMENTARY</t>
  </si>
  <si>
    <t>WEST SACRAMENTO EARLY COLLEGE PREP CHARTER</t>
  </si>
  <si>
    <t>WEST SACRAMENTO SCHOOL FOR INDEPENDENT STUDY</t>
  </si>
  <si>
    <t>WEST SHORES HIGH</t>
  </si>
  <si>
    <t>WEST SIDE COMMUNITY DAY</t>
  </si>
  <si>
    <t>WEST SIDE ELEMENTARY</t>
  </si>
  <si>
    <t>WEST SIDE ROP</t>
  </si>
  <si>
    <t>WEST SIDE VALLEY HIGH (CONTINUATION)</t>
  </si>
  <si>
    <t>WEST SONOMA COUNTY CONSORTIUM</t>
  </si>
  <si>
    <t>WEST STREET ELEMENTARY</t>
  </si>
  <si>
    <t>WEST VALLEY ELEMENTARY</t>
  </si>
  <si>
    <t>WEST VALLEY HIGH</t>
  </si>
  <si>
    <t>WEST VERNON AVENUE ELEMENTARY</t>
  </si>
  <si>
    <t>WEST VIEW EARLY LEARNING CENTER</t>
  </si>
  <si>
    <t>WEST WHITTIER ELEMENTARY</t>
  </si>
  <si>
    <t>WEST WIND ELEMENTARY</t>
  </si>
  <si>
    <t>WESTBOROUGH MIDDLE</t>
  </si>
  <si>
    <t>WESTCHESTER SECONDARY CHARTER</t>
  </si>
  <si>
    <t>WESTERN AVENUE ELEMENTARY</t>
  </si>
  <si>
    <t>WESTERN CENTER ACADEMY</t>
  </si>
  <si>
    <t>WESTERN HIGH</t>
  </si>
  <si>
    <t>WESTERN SIERRA COLLEGIATE ACADEMY</t>
  </si>
  <si>
    <t>WESTFIELD ELEMENTARY</t>
  </si>
  <si>
    <t>WESTFIELD VILLAGE ELEMENTARY</t>
  </si>
  <si>
    <t>WESTLAKE CHARTER</t>
  </si>
  <si>
    <t>WESTLAKE CHARTER MIDDLE</t>
  </si>
  <si>
    <t>WESTLAKE ELEMENTARY</t>
  </si>
  <si>
    <t>WESTLAKE HIGH</t>
  </si>
  <si>
    <t>WESTLAKE HILLS ELEMENTARY</t>
  </si>
  <si>
    <t>WESTLAKE MIDDLE</t>
  </si>
  <si>
    <t>WESTMINSTER AVENUE ELEMENTARY</t>
  </si>
  <si>
    <t>WESTMINSTER HIGH</t>
  </si>
  <si>
    <t>WESTMONT ELEMENTARY</t>
  </si>
  <si>
    <t>WESTMONT HIGH</t>
  </si>
  <si>
    <t>WESTMOOR HIGH</t>
  </si>
  <si>
    <t>WESTMORE OAKS ELEMENTARY</t>
  </si>
  <si>
    <t>WESTMORLAND ELEMENTARY</t>
  </si>
  <si>
    <t>WESTON ELEMENTARY</t>
  </si>
  <si>
    <t>WESTON RANCH HIGH</t>
  </si>
  <si>
    <t>WESTPARK ELEMENTARY</t>
  </si>
  <si>
    <t>WESTPORT ELEMENTARY</t>
  </si>
  <si>
    <t>WESTPORT HEIGHTS ELEMENTARY</t>
  </si>
  <si>
    <t>WESTPORT VILLAGE</t>
  </si>
  <si>
    <t>WESTSIDE ACADEMY</t>
  </si>
  <si>
    <t>WESTSIDE COMMUNITY DAY MIDDLE HIGH</t>
  </si>
  <si>
    <t>WESTSIDE ELEMENTARY</t>
  </si>
  <si>
    <t>WESTSIDE GLOBAL AWARENESS MAGNET</t>
  </si>
  <si>
    <t>WESTSIDE HIGH</t>
  </si>
  <si>
    <t>WESTSIDE INNOVATIVE SCHOOL HOUSE</t>
  </si>
  <si>
    <t>WESTSIDE PARK ELEMENTARY</t>
  </si>
  <si>
    <t>WESTSIDE PREPARATORY CHARTER</t>
  </si>
  <si>
    <t>WESTSIDE UNION ELEMENTARY</t>
  </si>
  <si>
    <t>WESTVIEW HIGH</t>
  </si>
  <si>
    <t>WESTWOOD CHARTER</t>
  </si>
  <si>
    <t>WESTWOOD CHARTER ELEMENTARY</t>
  </si>
  <si>
    <t>WESTWOOD ELEMENTARY</t>
  </si>
  <si>
    <t>WESTWOOD HIGH</t>
  </si>
  <si>
    <t>WHALE GULCH ELEMENTARY</t>
  </si>
  <si>
    <t>WHALE GULCH HIGH</t>
  </si>
  <si>
    <t>WHALEY MIDDLE</t>
  </si>
  <si>
    <t>WHEATLAND CHARTER ACADEMY</t>
  </si>
  <si>
    <t>WHEATLAND COMMUNITY DAY HIGH</t>
  </si>
  <si>
    <t>WHEATLAND ELEMENTARY</t>
  </si>
  <si>
    <t>WHEATLAND UNION HIGH</t>
  </si>
  <si>
    <t>WHITCOMB CONTINUATION HIGH</t>
  </si>
  <si>
    <t>WHITE HILL MIDDLE</t>
  </si>
  <si>
    <t>WHITE OAK ELEMENTARY</t>
  </si>
  <si>
    <t>WHITE OAKS ELEMENTARY</t>
  </si>
  <si>
    <t>WHITE POINT ELEMENTARY</t>
  </si>
  <si>
    <t>WHITE ROCK ELEMENTARY</t>
  </si>
  <si>
    <t>WHITED ELEMENTARY CHARTER</t>
  </si>
  <si>
    <t>WHITEFORD (JUNE) SPECIAL EDUCATION PRESCHOOL</t>
  </si>
  <si>
    <t>WHITETHORN ELEMENTARY</t>
  </si>
  <si>
    <t>WHITMAN CONTINUATION</t>
  </si>
  <si>
    <t>WHITMAN ELEMENTARY</t>
  </si>
  <si>
    <t>WHITMORE CHARTER HIGH</t>
  </si>
  <si>
    <t>WHITMORE CHARTER SCHOOL OF ART &amp; TECHNOLOGY</t>
  </si>
  <si>
    <t>WHITMORE CHARTER SCHOOL OF PERSONALIZED LEARNING</t>
  </si>
  <si>
    <t>WHITMORE ELEMENTARY</t>
  </si>
  <si>
    <t>WHITNEY (GRETCHEN) HIGH</t>
  </si>
  <si>
    <t>WHITNEY AVENUE ELEMENTARY</t>
  </si>
  <si>
    <t>WHITNEY HIGH</t>
  </si>
  <si>
    <t>WHITNEY YOUNG CONTINUATION</t>
  </si>
  <si>
    <t>WHITTIER AREA COMMUNITY DAY</t>
  </si>
  <si>
    <t>WHITTIER ELEMENTARY</t>
  </si>
  <si>
    <t>WHITTIER HIGH</t>
  </si>
  <si>
    <t>WHITTIER INDEPENDENT STUDY</t>
  </si>
  <si>
    <t>WHITTIER K-12</t>
  </si>
  <si>
    <t>WICKLUND ELEMENTARY</t>
  </si>
  <si>
    <t>WILBUR CHARTER FOR ENRICHED ACADEMICS</t>
  </si>
  <si>
    <t>WILCOX ELEMENTARY</t>
  </si>
  <si>
    <t>WILD ROSE ELEMENTARY</t>
  </si>
  <si>
    <t>WILDER'S PREPARATORY ACADEMY CHARTER</t>
  </si>
  <si>
    <t>WILDER'S PREPARATORY ACADEMY CHARTER MIDDLE</t>
  </si>
  <si>
    <t>WILDFLOWER OPEN CLASSROOM</t>
  </si>
  <si>
    <t>WILDOMAR ELEMENTARY</t>
  </si>
  <si>
    <t>WILDWOOD ELEMENTARY</t>
  </si>
  <si>
    <t>WILEY CANYON ELEMENTARY</t>
  </si>
  <si>
    <t>WILHELMINA HENRY ELEMENTARY</t>
  </si>
  <si>
    <t>WILKERSON ELEMENTARY</t>
  </si>
  <si>
    <t>WILL C. WOOD HIGH</t>
  </si>
  <si>
    <t>WILL C. WOOD MIDDLE</t>
  </si>
  <si>
    <t>WILL ROGERS CONTINUATION</t>
  </si>
  <si>
    <t>WILL ROGERS ELEMENTARY</t>
  </si>
  <si>
    <t>WILL ROGERS MIDDLE</t>
  </si>
  <si>
    <t>WILLARD (FRANCES E.) ELEMENTARY</t>
  </si>
  <si>
    <t>WILLARD ELEMENTARY</t>
  </si>
  <si>
    <t>WILLARD F. PAYNE ELEMENTARY</t>
  </si>
  <si>
    <t>WILLARD INTERMEDIATE</t>
  </si>
  <si>
    <t>WILLARD MIDDLE</t>
  </si>
  <si>
    <t>WILLIAM &amp; MARIAN GHIDOTTI HIGH</t>
  </si>
  <si>
    <t>WILLIAM ANDERSON ELEMENTARY</t>
  </si>
  <si>
    <t>WILLIAM B. BIMAT ELEMENTARY</t>
  </si>
  <si>
    <t>WILLIAM B. BRISTOW MIDDLE</t>
  </si>
  <si>
    <t>WILLIAM BROOKS ELEMENTARY</t>
  </si>
  <si>
    <t>WILLIAM BURNETT ELEMENTARY</t>
  </si>
  <si>
    <t>WILLIAM C. OVERFELT HIGH</t>
  </si>
  <si>
    <t>WILLIAM COLLIER ELEMENTARY</t>
  </si>
  <si>
    <t>WILLIAM E. FANNING ELEMENTARY</t>
  </si>
  <si>
    <t>WILLIAM FARIA ELEMENTARY</t>
  </si>
  <si>
    <t>WILLIAM FINCH</t>
  </si>
  <si>
    <t>WILLIAM G. JEHUE MIDDLE</t>
  </si>
  <si>
    <t>WILLIAM G. PADEN ELEMENTARY</t>
  </si>
  <si>
    <t>WILLIAM GARRISON ELEMENTARY</t>
  </si>
  <si>
    <t>WILLIAM GREEN ELEMENTARY</t>
  </si>
  <si>
    <t>WILLIAM H. FRAZIER ELEMENTARY</t>
  </si>
  <si>
    <t>WILLIAM HOPKINS JUNIOR HIGH</t>
  </si>
  <si>
    <t>WILLIAM HOWARD TAFT CHARTER HIGH</t>
  </si>
  <si>
    <t>WILLIAM HOWARD TAFT ELEMENTARY</t>
  </si>
  <si>
    <t>WILLIAM J. (PETE) KNIGHT HIGH</t>
  </si>
  <si>
    <t>WILLIAM J. JOHNSTON COMMUNITY DAY</t>
  </si>
  <si>
    <t>WILLIAM JEFFERSON CLINTON MIDDLE</t>
  </si>
  <si>
    <t>WILLIAM KASEBERG ELEMENTARY</t>
  </si>
  <si>
    <t>WILLIAM LAND ELEMENTARY</t>
  </si>
  <si>
    <t>WILLIAM M. METTEER ELEMENTARY</t>
  </si>
  <si>
    <t>WILLIAM MCKINLEY ELEMENTARY</t>
  </si>
  <si>
    <t>WILLIAM MENDENHALL MIDDLE</t>
  </si>
  <si>
    <t>WILLIAM MORENO JUNIOR HIGH</t>
  </si>
  <si>
    <t>WILLIAM MULHOLLAND MIDDLE</t>
  </si>
  <si>
    <t>WILLIAM NORTHRUP ELEMENTARY</t>
  </si>
  <si>
    <t>WILLIAM PENN ELEMENTARY</t>
  </si>
  <si>
    <t>WILLIAM R. ANTON ELEMENTARY</t>
  </si>
  <si>
    <t>WILLIAM R. BUCKLEY ELEMENTARY</t>
  </si>
  <si>
    <t>WILLIAM R. ROGERS ELEMENTARY</t>
  </si>
  <si>
    <t>WILLIAM R. ROUSE ROP</t>
  </si>
  <si>
    <t>WILLIAM REGNART ELEMENTARY</t>
  </si>
  <si>
    <t>WILLIAM S. HART HIGH</t>
  </si>
  <si>
    <t>WILLIAM SAROYAN ELEMENTARY</t>
  </si>
  <si>
    <t>WILLIAM SHEPPARD MIDDLE</t>
  </si>
  <si>
    <t>WILLIAM TELL AGGELER OPPORTUNITY HIGH</t>
  </si>
  <si>
    <t>WILLIAM W. ORR ELEMENTARY</t>
  </si>
  <si>
    <t>WILLIAM WORKMAN HIGH</t>
  </si>
  <si>
    <t>WILLIAMS ELEMENTARY</t>
  </si>
  <si>
    <t>WILLIAMS JUNIOR HIGH</t>
  </si>
  <si>
    <t>WILLIAMS JUNIOR/SENIOR HIGH</t>
  </si>
  <si>
    <t>WILLIAMS PRIMARY ELEMENTARY</t>
  </si>
  <si>
    <t>WILLIAMS RANCH ELEMENTARY</t>
  </si>
  <si>
    <t>WILLIAMS UPPER ELEMENTARY</t>
  </si>
  <si>
    <t>WILLIAMSON ELEMENTARY</t>
  </si>
  <si>
    <t>WILLIS JEPSON MIDDLE</t>
  </si>
  <si>
    <t>WILLITS CHARTER</t>
  </si>
  <si>
    <t>WILLITS COMMUNITY DAY</t>
  </si>
  <si>
    <t>WILLITS ELEMENTARY CHARTER</t>
  </si>
  <si>
    <t>WILLITS HIGH</t>
  </si>
  <si>
    <t>WILLITS SECONDARY COMMUNITY DAY</t>
  </si>
  <si>
    <t>WILLMA CAVITT JUNIOR HIGH</t>
  </si>
  <si>
    <t>WILLMORE ELEMENTARY</t>
  </si>
  <si>
    <t>WILLOW COMMUNITY DAY</t>
  </si>
  <si>
    <t>WILLOW COVE ELEMENTARY</t>
  </si>
  <si>
    <t>WILLOW CREEK ACADEMY</t>
  </si>
  <si>
    <t>WILLOW CREEK ELEMENTARY</t>
  </si>
  <si>
    <t>WILLOW ELEMENTARY</t>
  </si>
  <si>
    <t>WILLOW GLEN ELEMENTARY</t>
  </si>
  <si>
    <t>WILLOW GLEN HIGH</t>
  </si>
  <si>
    <t>WILLOW GLEN MIDDLE</t>
  </si>
  <si>
    <t>WILLOW GLEN PLUS (CONTINUATION)</t>
  </si>
  <si>
    <t>WILLOW GROVE ELEMENTARY</t>
  </si>
  <si>
    <t>WILLOW HIGH</t>
  </si>
  <si>
    <t>WILLOW OAKS ELEMENTARY</t>
  </si>
  <si>
    <t>WILLOW PARK HIGH</t>
  </si>
  <si>
    <t>WILLOWBROOK MIDDLE</t>
  </si>
  <si>
    <t>WILLOWS COMMUNITY HIGH</t>
  </si>
  <si>
    <t>WILLOWS HIGH</t>
  </si>
  <si>
    <t>WILLOWS INTERMEDIATE</t>
  </si>
  <si>
    <t>WILMER AMINA CARTER HIGH</t>
  </si>
  <si>
    <t>WILMINGTON MIDDLE</t>
  </si>
  <si>
    <t>WILMINGTON PARK ELEMENTARY</t>
  </si>
  <si>
    <t>WILSHIRE CREST ELEMENTARY</t>
  </si>
  <si>
    <t>WILSHIRE PARK ELEMENTARY</t>
  </si>
  <si>
    <t>WILSON ALTERNATIVE</t>
  </si>
  <si>
    <t>WILSON C. RILES MIDDLE</t>
  </si>
  <si>
    <t>WILSON ELEMENTARY</t>
  </si>
  <si>
    <t>WILSON HIGH</t>
  </si>
  <si>
    <t>WILSON JR. HIGH</t>
  </si>
  <si>
    <t>WILSON MIDDLE</t>
  </si>
  <si>
    <t>WILSONA ACHIEVEMENT ACADEMY</t>
  </si>
  <si>
    <t>WILTON PLACE ELEMENTARY</t>
  </si>
  <si>
    <t>WINCHELL ELEMENTARY</t>
  </si>
  <si>
    <t>WINCHESTER ELEMENTARY</t>
  </si>
  <si>
    <t>WINDEMERE RANCH MIDDLE</t>
  </si>
  <si>
    <t>WINDMILL SPRINGS ELEMENTARY</t>
  </si>
  <si>
    <t>WINDROWS ELEMENTARY</t>
  </si>
  <si>
    <t>WINDSOR CREEK ELEMENTARY</t>
  </si>
  <si>
    <t>WINDSOR HIGH</t>
  </si>
  <si>
    <t>WINDSOR HILLS MATH SCIENCE</t>
  </si>
  <si>
    <t>WINDSOR MIDDLE</t>
  </si>
  <si>
    <t>WINDSOR OAKS ACADEMY</t>
  </si>
  <si>
    <t>WINFIELD ELEMENTARY</t>
  </si>
  <si>
    <t>WING LANE ELEMENTARY</t>
  </si>
  <si>
    <t>WINGLAND ELEMENTARY</t>
  </si>
  <si>
    <t>WINIFRED PIFER ELEMENTARY</t>
  </si>
  <si>
    <t>WINNETKA AVENUE ELEMENTARY</t>
  </si>
  <si>
    <t>WINSHIP ELEMENTARY</t>
  </si>
  <si>
    <t>WINSHIP MIDDLE</t>
  </si>
  <si>
    <t>WINSTON CHURCHILL MIDDLE</t>
  </si>
  <si>
    <t>WINTER GARDENS ELEMENTARY</t>
  </si>
  <si>
    <t>WINTERS ELEMENTARY</t>
  </si>
  <si>
    <t>WINTERS HIGH</t>
  </si>
  <si>
    <t>WINTERS MIDDLE</t>
  </si>
  <si>
    <t>WINTON MIDDLE</t>
  </si>
  <si>
    <t>WISDOM ACADEMY FOR YOUNG SCIENTISTS</t>
  </si>
  <si>
    <t>WISDOM ELEMENTARY</t>
  </si>
  <si>
    <t>WISHON ELEMENTARY</t>
  </si>
  <si>
    <t>WITHROW ELEMENTARY</t>
  </si>
  <si>
    <t>WITTER RANCH ELEMENTARY</t>
  </si>
  <si>
    <t>WITTMANN (HELEN) ELEMENTARY</t>
  </si>
  <si>
    <t>WOLF CANYON ELEMENTARY</t>
  </si>
  <si>
    <t>WOLFSKILL HIGH</t>
  </si>
  <si>
    <t>WOLTERS ELEMENTARY</t>
  </si>
  <si>
    <t>WONDERLAND AVENUE ELEMENTARY</t>
  </si>
  <si>
    <t>WOOD CANYON ELEMENTARY</t>
  </si>
  <si>
    <t>WOOD RANCH ELEMENTARY</t>
  </si>
  <si>
    <t>WOODBINE ELEMENTARY</t>
  </si>
  <si>
    <t>WOODBRIDGE</t>
  </si>
  <si>
    <t>WOODBRIDGE HIGH</t>
  </si>
  <si>
    <t>WOODBURY ELEMENTARY</t>
  </si>
  <si>
    <t>WOODCREEK HIGH</t>
  </si>
  <si>
    <t>WOODCREST ELEMENTARY</t>
  </si>
  <si>
    <t>WOODCREST JUNIOR HIGH</t>
  </si>
  <si>
    <t>WOODLAKE COMMUNITY DAY</t>
  </si>
  <si>
    <t>WOODLAKE ELEMENTARY</t>
  </si>
  <si>
    <t>WOODLAKE ELEMENTARY COMMUNITY CHARTER</t>
  </si>
  <si>
    <t>WOODLAKE HIGH</t>
  </si>
  <si>
    <t>WOODLAKE VALLEY MIDDLE</t>
  </si>
  <si>
    <t>WOODLAND ADULT EDUCATION</t>
  </si>
  <si>
    <t>WOODLAND COMMUNITY DAY</t>
  </si>
  <si>
    <t>WOODLAND ELEMENTARY</t>
  </si>
  <si>
    <t>WOODLAND HILLS CHARTER ACADEMY</t>
  </si>
  <si>
    <t>WOODLAND HILLS ELEMENTARY CHARTER FOR ENRICHED STU</t>
  </si>
  <si>
    <t>WOODLAND PARK MIDDLE</t>
  </si>
  <si>
    <t>WOODLAND POLYTECHNIC ACADEMY</t>
  </si>
  <si>
    <t>WOODLAND PRAIRIE ELEMENTARY</t>
  </si>
  <si>
    <t>WOODLAND SENIOR HIGH</t>
  </si>
  <si>
    <t>WOODLAND STAR CHARTER</t>
  </si>
  <si>
    <t>WOODLAWN AVENUE ELEMENTARY</t>
  </si>
  <si>
    <t>WOODRIDGE ELEMENTARY</t>
  </si>
  <si>
    <t>WOODROW ELEMENTARY</t>
  </si>
  <si>
    <t>WOODROW W. WALLACE ELEMENTARY</t>
  </si>
  <si>
    <t>WOODROW WALLACE MIDDLE</t>
  </si>
  <si>
    <t>WOODROW WILSON ELEMENTARY</t>
  </si>
  <si>
    <t>WOODROW WILSON JUNIOR HIGH</t>
  </si>
  <si>
    <t>WOODROW WILSON MIDDLE</t>
  </si>
  <si>
    <t>WOODROW WILSON SENIOR HIGH</t>
  </si>
  <si>
    <t>WOODS (HAROLD L.) ELEMENTARY</t>
  </si>
  <si>
    <t>WOODSBORO ELEMENTARY</t>
  </si>
  <si>
    <t>WOODSIDE ELEMENTARY</t>
  </si>
  <si>
    <t>WOODSIDE HIGH</t>
  </si>
  <si>
    <t>WOODSIDE K-8</t>
  </si>
  <si>
    <t>WOODSON ELEMENTARY</t>
  </si>
  <si>
    <t>WOODVILLE ELEMENTARY</t>
  </si>
  <si>
    <t>WOODWARD LEADERSHIP ACADEMY</t>
  </si>
  <si>
    <t>WOODWORTH (CLYDE) ELEMENTARY</t>
  </si>
  <si>
    <t>WORK TRAINING CENTER</t>
  </si>
  <si>
    <t>WORKFORCE INVESTMENT ACT CHARTER</t>
  </si>
  <si>
    <t>WORKMAN AVENUE ELEMENTARY</t>
  </si>
  <si>
    <t>WORKMAN ELEMENTARY</t>
  </si>
  <si>
    <t>WORLD ACADEMY</t>
  </si>
  <si>
    <t>WORTHINGTON ELEMENTARY</t>
  </si>
  <si>
    <t>WREN AVENUE ELEMENTARY</t>
  </si>
  <si>
    <t>WRIGHT CHARTER</t>
  </si>
  <si>
    <t>WRIGHT ELEMENTARY</t>
  </si>
  <si>
    <t>WRIGHTWOOD ELEMENTARY</t>
  </si>
  <si>
    <t>WSCUHSD COMMUNITY DAY</t>
  </si>
  <si>
    <t>WYANDOTTE AVENUE ELEMENTARY</t>
  </si>
  <si>
    <t>WYEKA VISTA COMMUNITY DAY</t>
  </si>
  <si>
    <t>WYEKA VISTA COMMUNITY DAY SCH 1-5</t>
  </si>
  <si>
    <t>XARA GARDEN</t>
  </si>
  <si>
    <t>XINAXCALMECAC ACADEMIA SEMILLAS DEL PUEBLO</t>
  </si>
  <si>
    <t>YAMATO COLONY ELEMENTARY</t>
  </si>
  <si>
    <t>YAV PEM SUAB ACADEMY - PREPARING FOR THE FUTURE CH</t>
  </si>
  <si>
    <t>YBARRA ACADEMY FOR THE ARTS AND TECHNOLOGY</t>
  </si>
  <si>
    <t>YELLEN LEARNING CENTER</t>
  </si>
  <si>
    <t>YERBA BUENA ELEMENTARY</t>
  </si>
  <si>
    <t>YERBA BUENA HIGH</t>
  </si>
  <si>
    <t>YERMO ELEMENTARY</t>
  </si>
  <si>
    <t>YES ACADEMY</t>
  </si>
  <si>
    <t>YES YOUTH EMPOWERMENT</t>
  </si>
  <si>
    <t>YETTEM CONTINUATION HIGH</t>
  </si>
  <si>
    <t>YGNACIO VALLEY ELEMENTARY</t>
  </si>
  <si>
    <t>YGNACIO VALLEY HIGH</t>
  </si>
  <si>
    <t>YICK WO ELEMENTARY</t>
  </si>
  <si>
    <t>YNEZ ELEMENTARY</t>
  </si>
  <si>
    <t>YOKAYO ELEMENTARY</t>
  </si>
  <si>
    <t>YOLO COUNTY ROP</t>
  </si>
  <si>
    <t>YOLO COUNTY SPECIAL EDUCATION</t>
  </si>
  <si>
    <t>YOLO HIGH</t>
  </si>
  <si>
    <t>YOLO JUNIOR HIGH</t>
  </si>
  <si>
    <t>YORBA LINDA HIGH</t>
  </si>
  <si>
    <t>YORBA LINDA MIDDLE</t>
  </si>
  <si>
    <t>YORBA MIDDLE</t>
  </si>
  <si>
    <t>YORBITA ELEMENTARY</t>
  </si>
  <si>
    <t>YORK</t>
  </si>
  <si>
    <t>YORKDALE ELEMENTARY</t>
  </si>
  <si>
    <t>YOSEMITE FALLS EDUCATION CENTER</t>
  </si>
  <si>
    <t>YOSEMITE HIGH</t>
  </si>
  <si>
    <t>YOSEMITE HIGH (CONTINUATION)</t>
  </si>
  <si>
    <t>YOSEMITE MIDDLE</t>
  </si>
  <si>
    <t>YOSEMITE NATIONAL PARK EL PORTAL</t>
  </si>
  <si>
    <t>YOSEMITE NATIONAL PARK VALLEY ELEMENTARY</t>
  </si>
  <si>
    <t>YOSEMITE PARK HIGH</t>
  </si>
  <si>
    <t>YOSEMITE ROP</t>
  </si>
  <si>
    <t>YOUNG ADULT PROGRAM</t>
  </si>
  <si>
    <t>YOUNG OAK KIM ACADEMY</t>
  </si>
  <si>
    <t>YOUNTVILLE ELEMENTARY</t>
  </si>
  <si>
    <t>YOUTH OPPORTUNITIES UNLIMITED</t>
  </si>
  <si>
    <t>YOUTHBUILD CHARTER SCHOOL OF CALIFORNIA</t>
  </si>
  <si>
    <t>YOUTHBUILD CHARTER SCHOOL OF CALIFORNIA CENTRAL</t>
  </si>
  <si>
    <t>YREKA COMMUNITY DAY</t>
  </si>
  <si>
    <t>YREKA HIGH</t>
  </si>
  <si>
    <t>YREKA UNION HIGH COMMUNITY DAY</t>
  </si>
  <si>
    <t>YSABEL BARNETT ELEMENTARY</t>
  </si>
  <si>
    <t>YSMAEL VILLEGAS MIDDLE</t>
  </si>
  <si>
    <t>YU (ALICE FONG) ELEMENTARY</t>
  </si>
  <si>
    <t>YU MING CHARTER</t>
  </si>
  <si>
    <t>YUBA CITY CHARTER</t>
  </si>
  <si>
    <t>YUBA CITY HIGH</t>
  </si>
  <si>
    <t>YUBA CITY UNIFIED ALTERNATIVE</t>
  </si>
  <si>
    <t>YUBA COUNTY CAREER PREPARATORY CHARTER</t>
  </si>
  <si>
    <t>YUBA COUNTY JUVENILE HALL/COMMUNITY</t>
  </si>
  <si>
    <t>YUBA COUNTY OPPORTUNITY</t>
  </si>
  <si>
    <t>YUBA COUNTY SPECIAL EDUCATION</t>
  </si>
  <si>
    <t>YUBA ENVIRONMENTAL SCIENCE CHARTER ACADEMY</t>
  </si>
  <si>
    <t>YUBA FEATHER ELEMENTARY</t>
  </si>
  <si>
    <t>YUBA GARDENS INTERMEDIATE</t>
  </si>
  <si>
    <t>YUBA RIVER CHARTER</t>
  </si>
  <si>
    <t>YUCAIPA EARLY CHILDHOOD EDUCATION CENTER</t>
  </si>
  <si>
    <t>YUCAIPA ELEMENTARY</t>
  </si>
  <si>
    <t>YUCAIPA HIGH</t>
  </si>
  <si>
    <t>YUCCA ELEMENTARY</t>
  </si>
  <si>
    <t>YUCCA LOMA ELEMENTARY</t>
  </si>
  <si>
    <t>YUCCA MESA ELEMENTARY</t>
  </si>
  <si>
    <t>YUCCA VALLEY ELEMENTARY</t>
  </si>
  <si>
    <t>YUCCA VALLEY HIGH</t>
  </si>
  <si>
    <t>YUKON ELEMENTARY</t>
  </si>
  <si>
    <t>YULUPA ELEMENTARY</t>
  </si>
  <si>
    <t>YVONNE HARMON</t>
  </si>
  <si>
    <t>ZAMORA ELEMENTARY</t>
  </si>
  <si>
    <t>ZAMORANO ELEMENTARY</t>
  </si>
  <si>
    <t>ZANE GREY CONTINUATION</t>
  </si>
  <si>
    <t>ZELA DAVIS</t>
  </si>
  <si>
    <t>ZOE BARNUM HIGH</t>
  </si>
  <si>
    <t>ZUPANIC HIGH</t>
  </si>
  <si>
    <t>Totals:</t>
  </si>
  <si>
    <t>n/a</t>
  </si>
  <si>
    <t>Data Source: U.S. Department of Education National Center for Education Statistics Common Core of Data (CCD) "Public Elementary/Secondary School Universe Survey" 2010-11 v.2a  2011-12 v.1a  2012-13 v.2a; "Public Elementary/Secondary School Universe Survey Directory Data" 2014-15 v.1a.</t>
  </si>
  <si>
    <t>† indicates that the data are not applicable.</t>
  </si>
  <si>
    <t>– indicates that the data are missing.</t>
  </si>
  <si>
    <t>‡ indicates that the data do not meet NCES data quality standards.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</si>
</sst>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43"/>
  <sheetViews>
    <sheetView tabSelected="1" workbookViewId="0"/>
  </sheetViews>
  <sheetFormatPr defaultRowHeight="15" x14ac:dyDescent="0.25"/>
  <sheetData>
    <row r="1" spans="1:9" x14ac:dyDescent="0.25">
      <c r="A1" t="s">
        <v>0</v>
      </c>
    </row>
    <row r="3" spans="1:9" x14ac:dyDescent="0.25">
      <c r="A3" t="s">
        <v>1</v>
      </c>
    </row>
    <row r="5" spans="1:9" x14ac:dyDescent="0.25">
      <c r="A5" t="s">
        <v>2</v>
      </c>
    </row>
    <row r="7" spans="1:9" x14ac:dyDescent="0.25">
      <c r="A7" t="s">
        <v>3</v>
      </c>
      <c r="B7" t="s">
        <v>4</v>
      </c>
      <c r="C7" t="s">
        <v>5</v>
      </c>
      <c r="D7" t="s">
        <v>6</v>
      </c>
      <c r="E7" t="s">
        <v>7</v>
      </c>
      <c r="F7" t="s">
        <v>8</v>
      </c>
      <c r="G7" t="s">
        <v>9</v>
      </c>
      <c r="H7" t="s">
        <v>10</v>
      </c>
      <c r="I7" t="s">
        <v>11</v>
      </c>
    </row>
    <row r="8" spans="1:9" x14ac:dyDescent="0.25">
      <c r="A8" t="s">
        <v>12</v>
      </c>
      <c r="B8" t="s">
        <v>13</v>
      </c>
      <c r="C8">
        <v>5</v>
      </c>
      <c r="D8" t="s">
        <v>14</v>
      </c>
      <c r="E8" t="s">
        <v>14</v>
      </c>
      <c r="F8">
        <v>17.399999999999999</v>
      </c>
      <c r="G8" t="s">
        <v>14</v>
      </c>
      <c r="H8" t="s">
        <v>14</v>
      </c>
      <c r="I8" t="str">
        <f>"062805013190"</f>
        <v>062805013190</v>
      </c>
    </row>
    <row r="9" spans="1:9" x14ac:dyDescent="0.25">
      <c r="A9" t="s">
        <v>15</v>
      </c>
      <c r="B9" t="s">
        <v>13</v>
      </c>
      <c r="C9">
        <v>1.1000000000000001</v>
      </c>
      <c r="D9" t="s">
        <v>14</v>
      </c>
      <c r="E9" t="s">
        <v>14</v>
      </c>
      <c r="F9">
        <v>3.64</v>
      </c>
      <c r="G9" t="s">
        <v>14</v>
      </c>
      <c r="H9" t="s">
        <v>14</v>
      </c>
      <c r="I9" t="str">
        <f>"062772013070"</f>
        <v>062772013070</v>
      </c>
    </row>
    <row r="10" spans="1:9" x14ac:dyDescent="0.25">
      <c r="A10" t="s">
        <v>16</v>
      </c>
      <c r="B10" t="s">
        <v>13</v>
      </c>
      <c r="C10" t="s">
        <v>17</v>
      </c>
      <c r="D10" t="s">
        <v>14</v>
      </c>
      <c r="E10" t="s">
        <v>14</v>
      </c>
      <c r="F10" t="s">
        <v>17</v>
      </c>
      <c r="G10" t="s">
        <v>14</v>
      </c>
      <c r="H10" t="s">
        <v>14</v>
      </c>
      <c r="I10" t="str">
        <f>"062827013394"</f>
        <v>062827013394</v>
      </c>
    </row>
    <row r="11" spans="1:9" x14ac:dyDescent="0.25">
      <c r="A11" t="s">
        <v>18</v>
      </c>
      <c r="B11" t="s">
        <v>13</v>
      </c>
      <c r="C11">
        <v>27.46</v>
      </c>
      <c r="D11">
        <v>27.21</v>
      </c>
      <c r="E11" t="s">
        <v>17</v>
      </c>
      <c r="F11">
        <v>26</v>
      </c>
      <c r="G11">
        <v>26.64</v>
      </c>
      <c r="H11" t="s">
        <v>17</v>
      </c>
      <c r="I11" t="str">
        <f>"061044001166"</f>
        <v>061044001166</v>
      </c>
    </row>
    <row r="12" spans="1:9" x14ac:dyDescent="0.25">
      <c r="A12" t="s">
        <v>19</v>
      </c>
      <c r="B12" t="s">
        <v>13</v>
      </c>
      <c r="C12">
        <v>24.87</v>
      </c>
      <c r="D12">
        <v>26.54</v>
      </c>
      <c r="E12" t="s">
        <v>17</v>
      </c>
      <c r="F12">
        <v>25.73</v>
      </c>
      <c r="G12">
        <v>24.87</v>
      </c>
      <c r="H12" t="s">
        <v>17</v>
      </c>
      <c r="I12" t="str">
        <f>"064015006636"</f>
        <v>064015006636</v>
      </c>
    </row>
    <row r="13" spans="1:9" x14ac:dyDescent="0.25">
      <c r="A13" t="s">
        <v>20</v>
      </c>
      <c r="B13" t="s">
        <v>13</v>
      </c>
      <c r="C13">
        <v>18.899999999999999</v>
      </c>
      <c r="D13">
        <v>17.399999999999999</v>
      </c>
      <c r="E13" t="s">
        <v>17</v>
      </c>
      <c r="F13">
        <v>20.11</v>
      </c>
      <c r="G13">
        <v>21.21</v>
      </c>
      <c r="H13" t="s">
        <v>17</v>
      </c>
      <c r="I13" t="str">
        <f>"061488001834"</f>
        <v>061488001834</v>
      </c>
    </row>
    <row r="14" spans="1:9" x14ac:dyDescent="0.25">
      <c r="A14" t="s">
        <v>21</v>
      </c>
      <c r="B14" t="s">
        <v>13</v>
      </c>
      <c r="C14">
        <v>26.12</v>
      </c>
      <c r="D14">
        <v>27.82</v>
      </c>
      <c r="E14" t="s">
        <v>17</v>
      </c>
      <c r="F14">
        <v>20.100000000000001</v>
      </c>
      <c r="G14">
        <v>19.37</v>
      </c>
      <c r="H14" t="s">
        <v>17</v>
      </c>
      <c r="I14" t="str">
        <f>"060231000103"</f>
        <v>060231000103</v>
      </c>
    </row>
    <row r="15" spans="1:9" x14ac:dyDescent="0.25">
      <c r="A15" t="s">
        <v>22</v>
      </c>
      <c r="B15" t="s">
        <v>13</v>
      </c>
      <c r="C15">
        <v>20</v>
      </c>
      <c r="D15">
        <v>19</v>
      </c>
      <c r="E15" t="s">
        <v>17</v>
      </c>
      <c r="F15">
        <v>20.350000000000001</v>
      </c>
      <c r="G15">
        <v>20.47</v>
      </c>
      <c r="H15" t="s">
        <v>17</v>
      </c>
      <c r="I15" t="str">
        <f>"061970010780"</f>
        <v>061970010780</v>
      </c>
    </row>
    <row r="16" spans="1:9" x14ac:dyDescent="0.25">
      <c r="A16" t="s">
        <v>23</v>
      </c>
      <c r="B16" t="s">
        <v>13</v>
      </c>
      <c r="C16">
        <v>8.1999999999999993</v>
      </c>
      <c r="D16">
        <v>10.199999999999999</v>
      </c>
      <c r="E16" t="s">
        <v>17</v>
      </c>
      <c r="F16">
        <v>18.170000000000002</v>
      </c>
      <c r="G16">
        <v>16.079999999999998</v>
      </c>
      <c r="H16" t="s">
        <v>17</v>
      </c>
      <c r="I16" t="str">
        <f>"062295007772"</f>
        <v>062295007772</v>
      </c>
    </row>
    <row r="17" spans="1:9" x14ac:dyDescent="0.25">
      <c r="A17" t="s">
        <v>24</v>
      </c>
      <c r="B17" t="s">
        <v>13</v>
      </c>
      <c r="C17">
        <v>12</v>
      </c>
      <c r="D17">
        <v>13.3</v>
      </c>
      <c r="E17" t="s">
        <v>17</v>
      </c>
      <c r="F17">
        <v>27.92</v>
      </c>
      <c r="G17">
        <v>28.2</v>
      </c>
      <c r="H17" t="s">
        <v>17</v>
      </c>
      <c r="I17" t="str">
        <f>"063384005217"</f>
        <v>063384005217</v>
      </c>
    </row>
    <row r="18" spans="1:9" x14ac:dyDescent="0.25">
      <c r="A18" t="s">
        <v>25</v>
      </c>
      <c r="B18" t="s">
        <v>13</v>
      </c>
      <c r="C18">
        <v>35.880000000000003</v>
      </c>
      <c r="D18">
        <v>34</v>
      </c>
      <c r="E18" t="s">
        <v>17</v>
      </c>
      <c r="F18">
        <v>21.21</v>
      </c>
      <c r="G18">
        <v>22.74</v>
      </c>
      <c r="H18" t="s">
        <v>17</v>
      </c>
      <c r="I18" t="str">
        <f>"063492005896"</f>
        <v>063492005896</v>
      </c>
    </row>
    <row r="19" spans="1:9" x14ac:dyDescent="0.25">
      <c r="A19" t="s">
        <v>26</v>
      </c>
      <c r="B19" t="s">
        <v>13</v>
      </c>
      <c r="C19">
        <v>33.5</v>
      </c>
      <c r="D19">
        <v>39.5</v>
      </c>
      <c r="E19" t="s">
        <v>17</v>
      </c>
      <c r="F19">
        <v>26.69</v>
      </c>
      <c r="G19">
        <v>23.09</v>
      </c>
      <c r="H19" t="s">
        <v>17</v>
      </c>
      <c r="I19" t="str">
        <f>"060002808271"</f>
        <v>060002808271</v>
      </c>
    </row>
    <row r="20" spans="1:9" x14ac:dyDescent="0.25">
      <c r="A20" t="s">
        <v>27</v>
      </c>
      <c r="B20" t="s">
        <v>13</v>
      </c>
      <c r="C20" t="s">
        <v>14</v>
      </c>
      <c r="D20" t="s">
        <v>17</v>
      </c>
      <c r="E20" t="s">
        <v>17</v>
      </c>
      <c r="F20" t="s">
        <v>17</v>
      </c>
      <c r="G20" t="s">
        <v>17</v>
      </c>
      <c r="H20" t="s">
        <v>17</v>
      </c>
      <c r="I20" t="str">
        <f>"060162012587"</f>
        <v>060162012587</v>
      </c>
    </row>
    <row r="21" spans="1:9" x14ac:dyDescent="0.25">
      <c r="A21" t="s">
        <v>28</v>
      </c>
      <c r="B21" t="s">
        <v>13</v>
      </c>
      <c r="C21">
        <v>3.33</v>
      </c>
      <c r="D21">
        <v>3.91</v>
      </c>
      <c r="E21" t="s">
        <v>17</v>
      </c>
      <c r="F21">
        <v>30.93</v>
      </c>
      <c r="G21">
        <v>27.88</v>
      </c>
      <c r="H21" t="s">
        <v>17</v>
      </c>
      <c r="I21" t="str">
        <f>"060162010232"</f>
        <v>060162010232</v>
      </c>
    </row>
    <row r="22" spans="1:9" x14ac:dyDescent="0.25">
      <c r="A22" t="s">
        <v>29</v>
      </c>
      <c r="B22" t="s">
        <v>13</v>
      </c>
      <c r="C22" t="s">
        <v>17</v>
      </c>
      <c r="D22" t="s">
        <v>14</v>
      </c>
      <c r="E22" t="s">
        <v>14</v>
      </c>
      <c r="F22" t="s">
        <v>17</v>
      </c>
      <c r="G22" t="s">
        <v>14</v>
      </c>
      <c r="H22" t="s">
        <v>14</v>
      </c>
      <c r="I22" t="str">
        <f>"063888013102"</f>
        <v>063888013102</v>
      </c>
    </row>
    <row r="23" spans="1:9" x14ac:dyDescent="0.25">
      <c r="A23" t="s">
        <v>30</v>
      </c>
      <c r="B23" t="s">
        <v>13</v>
      </c>
      <c r="C23">
        <v>19.329999999999998</v>
      </c>
      <c r="D23">
        <v>21</v>
      </c>
      <c r="E23" t="s">
        <v>17</v>
      </c>
      <c r="F23">
        <v>32.44</v>
      </c>
      <c r="G23">
        <v>27.67</v>
      </c>
      <c r="H23" t="s">
        <v>17</v>
      </c>
      <c r="I23" t="str">
        <f>"062985004650"</f>
        <v>062985004650</v>
      </c>
    </row>
    <row r="24" spans="1:9" x14ac:dyDescent="0.25">
      <c r="A24" t="s">
        <v>31</v>
      </c>
      <c r="B24" t="s">
        <v>13</v>
      </c>
      <c r="C24">
        <v>3.1</v>
      </c>
      <c r="D24">
        <v>3.6</v>
      </c>
      <c r="E24" t="s">
        <v>17</v>
      </c>
      <c r="F24">
        <v>40.32</v>
      </c>
      <c r="G24">
        <v>23.33</v>
      </c>
      <c r="H24" t="s">
        <v>17</v>
      </c>
      <c r="I24" t="str">
        <f>"063762002045"</f>
        <v>063762002045</v>
      </c>
    </row>
    <row r="25" spans="1:9" x14ac:dyDescent="0.25">
      <c r="A25" t="s">
        <v>32</v>
      </c>
      <c r="B25" t="s">
        <v>13</v>
      </c>
      <c r="C25">
        <v>9.7100000000000009</v>
      </c>
      <c r="D25">
        <v>11</v>
      </c>
      <c r="E25" t="s">
        <v>17</v>
      </c>
      <c r="F25">
        <v>27.5</v>
      </c>
      <c r="G25">
        <v>26.55</v>
      </c>
      <c r="H25" t="s">
        <v>17</v>
      </c>
      <c r="I25" t="str">
        <f>"063315005148"</f>
        <v>063315005148</v>
      </c>
    </row>
    <row r="26" spans="1:9" x14ac:dyDescent="0.25">
      <c r="A26" t="s">
        <v>33</v>
      </c>
      <c r="B26" t="s">
        <v>13</v>
      </c>
      <c r="C26">
        <v>26</v>
      </c>
      <c r="D26">
        <v>27</v>
      </c>
      <c r="E26" t="s">
        <v>17</v>
      </c>
      <c r="F26">
        <v>28.35</v>
      </c>
      <c r="G26">
        <v>26.67</v>
      </c>
      <c r="H26" t="s">
        <v>17</v>
      </c>
      <c r="I26" t="str">
        <f>"061111001230"</f>
        <v>061111001230</v>
      </c>
    </row>
    <row r="27" spans="1:9" x14ac:dyDescent="0.25">
      <c r="A27" t="s">
        <v>33</v>
      </c>
      <c r="B27" t="s">
        <v>13</v>
      </c>
      <c r="C27">
        <v>29</v>
      </c>
      <c r="D27">
        <v>30</v>
      </c>
      <c r="E27" t="s">
        <v>17</v>
      </c>
      <c r="F27">
        <v>22.69</v>
      </c>
      <c r="G27">
        <v>22.3</v>
      </c>
      <c r="H27" t="s">
        <v>17</v>
      </c>
      <c r="I27" t="str">
        <f>"060939000951"</f>
        <v>060939000951</v>
      </c>
    </row>
    <row r="28" spans="1:9" x14ac:dyDescent="0.25">
      <c r="A28" t="s">
        <v>33</v>
      </c>
      <c r="B28" t="s">
        <v>13</v>
      </c>
      <c r="C28">
        <v>15</v>
      </c>
      <c r="D28">
        <v>15.7</v>
      </c>
      <c r="E28" t="s">
        <v>17</v>
      </c>
      <c r="F28">
        <v>31.53</v>
      </c>
      <c r="G28">
        <v>30.76</v>
      </c>
      <c r="H28" t="s">
        <v>17</v>
      </c>
      <c r="I28" t="str">
        <f>"063384005218"</f>
        <v>063384005218</v>
      </c>
    </row>
    <row r="29" spans="1:9" x14ac:dyDescent="0.25">
      <c r="A29" t="s">
        <v>33</v>
      </c>
      <c r="B29" t="s">
        <v>13</v>
      </c>
      <c r="C29">
        <v>28.5</v>
      </c>
      <c r="D29">
        <v>28.28</v>
      </c>
      <c r="E29" t="s">
        <v>17</v>
      </c>
      <c r="F29">
        <v>25.44</v>
      </c>
      <c r="G29">
        <v>25.99</v>
      </c>
      <c r="H29" t="s">
        <v>17</v>
      </c>
      <c r="I29" t="str">
        <f>"061029001139"</f>
        <v>061029001139</v>
      </c>
    </row>
    <row r="30" spans="1:9" x14ac:dyDescent="0.25">
      <c r="A30" t="s">
        <v>33</v>
      </c>
      <c r="B30" t="s">
        <v>13</v>
      </c>
      <c r="C30">
        <v>24.95</v>
      </c>
      <c r="D30">
        <v>25.15</v>
      </c>
      <c r="E30" t="s">
        <v>17</v>
      </c>
      <c r="F30">
        <v>15.03</v>
      </c>
      <c r="G30">
        <v>15.15</v>
      </c>
      <c r="H30" t="s">
        <v>17</v>
      </c>
      <c r="I30" t="str">
        <f>"063581006125"</f>
        <v>063581006125</v>
      </c>
    </row>
    <row r="31" spans="1:9" x14ac:dyDescent="0.25">
      <c r="A31" t="s">
        <v>33</v>
      </c>
      <c r="B31" t="s">
        <v>13</v>
      </c>
      <c r="C31">
        <v>18.75</v>
      </c>
      <c r="D31">
        <v>18.25</v>
      </c>
      <c r="E31" t="s">
        <v>17</v>
      </c>
      <c r="F31">
        <v>25.12</v>
      </c>
      <c r="G31">
        <v>25.92</v>
      </c>
      <c r="H31" t="s">
        <v>17</v>
      </c>
      <c r="I31" t="str">
        <f>"061524001937"</f>
        <v>061524001937</v>
      </c>
    </row>
    <row r="32" spans="1:9" x14ac:dyDescent="0.25">
      <c r="A32" t="s">
        <v>33</v>
      </c>
      <c r="B32" t="s">
        <v>13</v>
      </c>
      <c r="C32">
        <v>29.2</v>
      </c>
      <c r="D32">
        <v>29</v>
      </c>
      <c r="E32" t="s">
        <v>17</v>
      </c>
      <c r="F32">
        <v>22.91</v>
      </c>
      <c r="G32">
        <v>21.45</v>
      </c>
      <c r="H32" t="s">
        <v>17</v>
      </c>
      <c r="I32" t="str">
        <f>"062724000755"</f>
        <v>062724000755</v>
      </c>
    </row>
    <row r="33" spans="1:9" x14ac:dyDescent="0.25">
      <c r="A33" t="s">
        <v>33</v>
      </c>
      <c r="B33" t="s">
        <v>13</v>
      </c>
      <c r="C33">
        <v>38</v>
      </c>
      <c r="D33">
        <v>38.549999999999997</v>
      </c>
      <c r="E33" t="s">
        <v>17</v>
      </c>
      <c r="F33">
        <v>27.5</v>
      </c>
      <c r="G33">
        <v>26.87</v>
      </c>
      <c r="H33" t="s">
        <v>17</v>
      </c>
      <c r="I33" t="str">
        <f>"063531005993"</f>
        <v>063531005993</v>
      </c>
    </row>
    <row r="34" spans="1:9" x14ac:dyDescent="0.25">
      <c r="A34" t="s">
        <v>34</v>
      </c>
      <c r="B34" t="s">
        <v>13</v>
      </c>
      <c r="C34">
        <v>76.150000000000006</v>
      </c>
      <c r="D34">
        <v>71.25</v>
      </c>
      <c r="E34" t="s">
        <v>17</v>
      </c>
      <c r="F34">
        <v>23.45</v>
      </c>
      <c r="G34">
        <v>24.62</v>
      </c>
      <c r="H34" t="s">
        <v>17</v>
      </c>
      <c r="I34" t="str">
        <f>"063459005696"</f>
        <v>063459005696</v>
      </c>
    </row>
    <row r="35" spans="1:9" x14ac:dyDescent="0.25">
      <c r="A35" t="s">
        <v>35</v>
      </c>
      <c r="B35" t="s">
        <v>13</v>
      </c>
      <c r="C35">
        <v>45.74</v>
      </c>
      <c r="D35">
        <v>45.12</v>
      </c>
      <c r="E35" t="s">
        <v>17</v>
      </c>
      <c r="F35">
        <v>21.45</v>
      </c>
      <c r="G35">
        <v>21.37</v>
      </c>
      <c r="H35" t="s">
        <v>17</v>
      </c>
      <c r="I35" t="str">
        <f>"063627001989"</f>
        <v>063627001989</v>
      </c>
    </row>
    <row r="36" spans="1:9" x14ac:dyDescent="0.25">
      <c r="A36" t="s">
        <v>36</v>
      </c>
      <c r="B36" t="s">
        <v>13</v>
      </c>
      <c r="C36">
        <v>63.01</v>
      </c>
      <c r="D36">
        <v>122.09</v>
      </c>
      <c r="E36" t="s">
        <v>17</v>
      </c>
      <c r="F36">
        <v>24.62</v>
      </c>
      <c r="G36">
        <v>16.75</v>
      </c>
      <c r="H36" t="s">
        <v>17</v>
      </c>
      <c r="I36" t="str">
        <f>"062271003139"</f>
        <v>062271003139</v>
      </c>
    </row>
    <row r="37" spans="1:9" x14ac:dyDescent="0.25">
      <c r="A37" t="s">
        <v>37</v>
      </c>
      <c r="B37" t="s">
        <v>13</v>
      </c>
      <c r="C37">
        <v>14.5</v>
      </c>
      <c r="D37">
        <v>11.3</v>
      </c>
      <c r="E37" t="s">
        <v>17</v>
      </c>
      <c r="F37">
        <v>13.79</v>
      </c>
      <c r="G37">
        <v>19.47</v>
      </c>
      <c r="H37" t="s">
        <v>17</v>
      </c>
      <c r="I37" t="str">
        <f>"063153004883"</f>
        <v>063153004883</v>
      </c>
    </row>
    <row r="38" spans="1:9" x14ac:dyDescent="0.25">
      <c r="A38" t="s">
        <v>38</v>
      </c>
      <c r="B38" t="s">
        <v>13</v>
      </c>
      <c r="C38">
        <v>2.0499999999999998</v>
      </c>
      <c r="D38">
        <v>3.05</v>
      </c>
      <c r="E38" t="s">
        <v>17</v>
      </c>
      <c r="F38">
        <v>13.66</v>
      </c>
      <c r="G38">
        <v>20</v>
      </c>
      <c r="H38" t="s">
        <v>17</v>
      </c>
      <c r="I38" t="str">
        <f>"063583011483"</f>
        <v>063583011483</v>
      </c>
    </row>
    <row r="39" spans="1:9" x14ac:dyDescent="0.25">
      <c r="A39" t="s">
        <v>39</v>
      </c>
      <c r="B39" t="s">
        <v>13</v>
      </c>
      <c r="C39">
        <v>21</v>
      </c>
      <c r="D39">
        <v>21</v>
      </c>
      <c r="E39" t="s">
        <v>17</v>
      </c>
      <c r="F39">
        <v>32.24</v>
      </c>
      <c r="G39">
        <v>30.9</v>
      </c>
      <c r="H39" t="s">
        <v>17</v>
      </c>
      <c r="I39" t="str">
        <f>"061473001790"</f>
        <v>061473001790</v>
      </c>
    </row>
    <row r="40" spans="1:9" x14ac:dyDescent="0.25">
      <c r="A40" t="s">
        <v>39</v>
      </c>
      <c r="B40" t="s">
        <v>13</v>
      </c>
      <c r="C40">
        <v>20</v>
      </c>
      <c r="D40">
        <v>21.05</v>
      </c>
      <c r="E40" t="s">
        <v>17</v>
      </c>
      <c r="F40">
        <v>21.2</v>
      </c>
      <c r="G40">
        <v>21</v>
      </c>
      <c r="H40" t="s">
        <v>17</v>
      </c>
      <c r="I40" t="str">
        <f>"060964001004"</f>
        <v>060964001004</v>
      </c>
    </row>
    <row r="41" spans="1:9" x14ac:dyDescent="0.25">
      <c r="A41" t="s">
        <v>40</v>
      </c>
      <c r="B41" t="s">
        <v>13</v>
      </c>
      <c r="C41">
        <v>33.03</v>
      </c>
      <c r="D41">
        <v>38.4</v>
      </c>
      <c r="E41" t="s">
        <v>17</v>
      </c>
      <c r="F41">
        <v>24.46</v>
      </c>
      <c r="G41">
        <v>23.13</v>
      </c>
      <c r="H41" t="s">
        <v>17</v>
      </c>
      <c r="I41" t="str">
        <f>"061692002148"</f>
        <v>061692002148</v>
      </c>
    </row>
    <row r="42" spans="1:9" x14ac:dyDescent="0.25">
      <c r="A42" t="s">
        <v>41</v>
      </c>
      <c r="B42" t="s">
        <v>13</v>
      </c>
      <c r="C42">
        <v>13</v>
      </c>
      <c r="D42" t="s">
        <v>14</v>
      </c>
      <c r="E42" t="s">
        <v>14</v>
      </c>
      <c r="F42">
        <v>25.23</v>
      </c>
      <c r="G42" t="s">
        <v>14</v>
      </c>
      <c r="H42" t="s">
        <v>14</v>
      </c>
      <c r="I42" t="str">
        <f>"062271013079"</f>
        <v>062271013079</v>
      </c>
    </row>
    <row r="43" spans="1:9" x14ac:dyDescent="0.25">
      <c r="A43" t="s">
        <v>42</v>
      </c>
      <c r="B43" t="s">
        <v>13</v>
      </c>
      <c r="C43" t="str">
        <f>"0.99"</f>
        <v>0.99</v>
      </c>
      <c r="D43" t="s">
        <v>14</v>
      </c>
      <c r="E43" t="s">
        <v>14</v>
      </c>
      <c r="F43">
        <v>16.16</v>
      </c>
      <c r="G43" t="s">
        <v>14</v>
      </c>
      <c r="H43" t="s">
        <v>14</v>
      </c>
      <c r="I43" t="str">
        <f>"062610013186"</f>
        <v>062610013186</v>
      </c>
    </row>
    <row r="44" spans="1:9" x14ac:dyDescent="0.25">
      <c r="A44" t="s">
        <v>43</v>
      </c>
      <c r="B44" t="s">
        <v>13</v>
      </c>
      <c r="C44">
        <v>21.16</v>
      </c>
      <c r="D44">
        <v>16.329999999999998</v>
      </c>
      <c r="E44" t="s">
        <v>17</v>
      </c>
      <c r="F44">
        <v>16.260000000000002</v>
      </c>
      <c r="G44">
        <v>20.64</v>
      </c>
      <c r="H44" t="s">
        <v>17</v>
      </c>
      <c r="I44" t="str">
        <f>"062271012733"</f>
        <v>062271012733</v>
      </c>
    </row>
    <row r="45" spans="1:9" x14ac:dyDescent="0.25">
      <c r="A45" t="s">
        <v>44</v>
      </c>
      <c r="B45" t="s">
        <v>13</v>
      </c>
      <c r="C45">
        <v>24</v>
      </c>
      <c r="D45">
        <v>24.5</v>
      </c>
      <c r="E45" t="s">
        <v>17</v>
      </c>
      <c r="F45">
        <v>19.579999999999998</v>
      </c>
      <c r="G45">
        <v>18.329999999999998</v>
      </c>
      <c r="H45" t="s">
        <v>17</v>
      </c>
      <c r="I45" t="str">
        <f>"069107810895"</f>
        <v>069107810895</v>
      </c>
    </row>
    <row r="46" spans="1:9" x14ac:dyDescent="0.25">
      <c r="A46" t="s">
        <v>45</v>
      </c>
      <c r="B46" t="s">
        <v>13</v>
      </c>
      <c r="C46">
        <v>14</v>
      </c>
      <c r="D46">
        <v>10</v>
      </c>
      <c r="E46" t="s">
        <v>17</v>
      </c>
      <c r="F46">
        <v>25.57</v>
      </c>
      <c r="G46">
        <v>26.3</v>
      </c>
      <c r="H46" t="s">
        <v>17</v>
      </c>
      <c r="I46" t="str">
        <f>"062271012455"</f>
        <v>062271012455</v>
      </c>
    </row>
    <row r="47" spans="1:9" x14ac:dyDescent="0.25">
      <c r="A47" t="s">
        <v>46</v>
      </c>
      <c r="B47" t="s">
        <v>13</v>
      </c>
      <c r="C47">
        <v>4</v>
      </c>
      <c r="D47">
        <v>4</v>
      </c>
      <c r="E47" t="s">
        <v>17</v>
      </c>
      <c r="F47">
        <v>17.75</v>
      </c>
      <c r="G47">
        <v>15.25</v>
      </c>
      <c r="H47" t="s">
        <v>17</v>
      </c>
      <c r="I47" t="str">
        <f>"062949008366"</f>
        <v>062949008366</v>
      </c>
    </row>
    <row r="48" spans="1:9" x14ac:dyDescent="0.25">
      <c r="A48" t="s">
        <v>47</v>
      </c>
      <c r="B48" t="s">
        <v>13</v>
      </c>
      <c r="C48">
        <v>26.5</v>
      </c>
      <c r="D48" t="s">
        <v>14</v>
      </c>
      <c r="E48" t="s">
        <v>14</v>
      </c>
      <c r="F48">
        <v>20.079999999999998</v>
      </c>
      <c r="G48" t="s">
        <v>14</v>
      </c>
      <c r="H48" t="s">
        <v>14</v>
      </c>
      <c r="I48" t="str">
        <f>"062271013040"</f>
        <v>062271013040</v>
      </c>
    </row>
    <row r="49" spans="1:9" x14ac:dyDescent="0.25">
      <c r="A49" t="s">
        <v>48</v>
      </c>
      <c r="B49" t="s">
        <v>13</v>
      </c>
      <c r="C49">
        <v>14.2</v>
      </c>
      <c r="D49" t="s">
        <v>14</v>
      </c>
      <c r="E49" t="s">
        <v>14</v>
      </c>
      <c r="F49">
        <v>18.100000000000001</v>
      </c>
      <c r="G49" t="s">
        <v>14</v>
      </c>
      <c r="H49" t="s">
        <v>14</v>
      </c>
      <c r="I49" t="str">
        <f>"060282013154"</f>
        <v>060282013154</v>
      </c>
    </row>
    <row r="50" spans="1:9" x14ac:dyDescent="0.25">
      <c r="A50" t="s">
        <v>49</v>
      </c>
      <c r="B50" t="s">
        <v>13</v>
      </c>
      <c r="C50">
        <v>62.16</v>
      </c>
      <c r="D50">
        <v>61.75</v>
      </c>
      <c r="E50" t="s">
        <v>17</v>
      </c>
      <c r="F50">
        <v>21.78</v>
      </c>
      <c r="G50">
        <v>22.19</v>
      </c>
      <c r="H50" t="s">
        <v>17</v>
      </c>
      <c r="I50" t="str">
        <f>"060001707296"</f>
        <v>060001707296</v>
      </c>
    </row>
    <row r="51" spans="1:9" x14ac:dyDescent="0.25">
      <c r="A51" t="s">
        <v>50</v>
      </c>
      <c r="B51" t="s">
        <v>13</v>
      </c>
      <c r="C51" t="s">
        <v>14</v>
      </c>
      <c r="D51" t="s">
        <v>14</v>
      </c>
      <c r="E51" t="s">
        <v>17</v>
      </c>
      <c r="F51" t="s">
        <v>14</v>
      </c>
      <c r="G51" t="s">
        <v>14</v>
      </c>
      <c r="H51" t="s">
        <v>17</v>
      </c>
      <c r="I51" t="str">
        <f>"064235008437"</f>
        <v>064235008437</v>
      </c>
    </row>
    <row r="52" spans="1:9" x14ac:dyDescent="0.25">
      <c r="A52" t="s">
        <v>51</v>
      </c>
      <c r="B52" t="s">
        <v>13</v>
      </c>
      <c r="C52">
        <v>4.4000000000000004</v>
      </c>
      <c r="D52">
        <v>4</v>
      </c>
      <c r="E52" t="s">
        <v>17</v>
      </c>
      <c r="F52">
        <v>4.32</v>
      </c>
      <c r="G52">
        <v>7.5</v>
      </c>
      <c r="H52" t="s">
        <v>17</v>
      </c>
      <c r="I52" t="str">
        <f>"060837011853"</f>
        <v>060837011853</v>
      </c>
    </row>
    <row r="53" spans="1:9" x14ac:dyDescent="0.25">
      <c r="A53" t="s">
        <v>52</v>
      </c>
      <c r="B53" t="s">
        <v>13</v>
      </c>
      <c r="C53">
        <v>10</v>
      </c>
      <c r="D53">
        <v>4.01</v>
      </c>
      <c r="E53" t="s">
        <v>14</v>
      </c>
      <c r="F53">
        <v>21.6</v>
      </c>
      <c r="G53">
        <v>25.69</v>
      </c>
      <c r="H53" t="s">
        <v>14</v>
      </c>
      <c r="I53" t="str">
        <f>"062271013006"</f>
        <v>062271013006</v>
      </c>
    </row>
    <row r="54" spans="1:9" x14ac:dyDescent="0.25">
      <c r="A54" t="s">
        <v>53</v>
      </c>
      <c r="B54" t="s">
        <v>13</v>
      </c>
      <c r="C54">
        <v>16.100000000000001</v>
      </c>
      <c r="D54">
        <v>17.55</v>
      </c>
      <c r="E54" t="s">
        <v>17</v>
      </c>
      <c r="F54">
        <v>21.12</v>
      </c>
      <c r="G54">
        <v>19.43</v>
      </c>
      <c r="H54" t="s">
        <v>17</v>
      </c>
      <c r="I54" t="str">
        <f>"063441012526"</f>
        <v>063441012526</v>
      </c>
    </row>
    <row r="55" spans="1:9" x14ac:dyDescent="0.25">
      <c r="A55" t="s">
        <v>54</v>
      </c>
      <c r="B55" t="s">
        <v>13</v>
      </c>
      <c r="C55" t="str">
        <f>"0.18"</f>
        <v>0.18</v>
      </c>
      <c r="D55" t="s">
        <v>14</v>
      </c>
      <c r="E55" t="s">
        <v>14</v>
      </c>
      <c r="F55">
        <v>138.88999999999999</v>
      </c>
      <c r="G55" t="s">
        <v>14</v>
      </c>
      <c r="H55" t="s">
        <v>14</v>
      </c>
      <c r="I55" t="str">
        <f>"062610013068"</f>
        <v>062610013068</v>
      </c>
    </row>
    <row r="56" spans="1:9" x14ac:dyDescent="0.25">
      <c r="A56" t="s">
        <v>55</v>
      </c>
      <c r="B56" t="s">
        <v>13</v>
      </c>
      <c r="C56" t="str">
        <f>"0.99"</f>
        <v>0.99</v>
      </c>
      <c r="D56" t="s">
        <v>14</v>
      </c>
      <c r="E56" t="s">
        <v>14</v>
      </c>
      <c r="F56">
        <v>11.11</v>
      </c>
      <c r="G56" t="s">
        <v>14</v>
      </c>
      <c r="H56" t="s">
        <v>14</v>
      </c>
      <c r="I56" t="str">
        <f>"062610013179"</f>
        <v>062610013179</v>
      </c>
    </row>
    <row r="57" spans="1:9" x14ac:dyDescent="0.25">
      <c r="A57" t="s">
        <v>56</v>
      </c>
      <c r="B57" t="s">
        <v>13</v>
      </c>
      <c r="C57" t="s">
        <v>17</v>
      </c>
      <c r="D57" t="s">
        <v>14</v>
      </c>
      <c r="E57" t="s">
        <v>14</v>
      </c>
      <c r="F57" t="s">
        <v>17</v>
      </c>
      <c r="G57" t="s">
        <v>14</v>
      </c>
      <c r="H57" t="s">
        <v>14</v>
      </c>
      <c r="I57" t="str">
        <f>"062610013140"</f>
        <v>062610013140</v>
      </c>
    </row>
    <row r="58" spans="1:9" x14ac:dyDescent="0.25">
      <c r="A58" t="s">
        <v>57</v>
      </c>
      <c r="B58" t="s">
        <v>13</v>
      </c>
      <c r="C58" t="str">
        <f>"0.18"</f>
        <v>0.18</v>
      </c>
      <c r="D58" t="s">
        <v>14</v>
      </c>
      <c r="E58" t="s">
        <v>14</v>
      </c>
      <c r="F58">
        <v>94.44</v>
      </c>
      <c r="G58" t="s">
        <v>14</v>
      </c>
      <c r="H58" t="s">
        <v>14</v>
      </c>
      <c r="I58" t="str">
        <f>"062646013077"</f>
        <v>062646013077</v>
      </c>
    </row>
    <row r="59" spans="1:9" x14ac:dyDescent="0.25">
      <c r="A59" t="s">
        <v>58</v>
      </c>
      <c r="B59" t="s">
        <v>13</v>
      </c>
      <c r="C59" t="str">
        <f>"0.13"</f>
        <v>0.13</v>
      </c>
      <c r="D59" t="s">
        <v>14</v>
      </c>
      <c r="E59" t="s">
        <v>14</v>
      </c>
      <c r="F59">
        <v>15.38</v>
      </c>
      <c r="G59" t="s">
        <v>14</v>
      </c>
      <c r="H59" t="s">
        <v>14</v>
      </c>
      <c r="I59" t="str">
        <f>"060994013111"</f>
        <v>060994013111</v>
      </c>
    </row>
    <row r="60" spans="1:9" x14ac:dyDescent="0.25">
      <c r="A60" t="s">
        <v>59</v>
      </c>
      <c r="B60" t="s">
        <v>13</v>
      </c>
      <c r="C60" t="str">
        <f>"0.95"</f>
        <v>0.95</v>
      </c>
      <c r="D60" t="s">
        <v>14</v>
      </c>
      <c r="E60" t="s">
        <v>14</v>
      </c>
      <c r="F60">
        <v>53.68</v>
      </c>
      <c r="G60" t="s">
        <v>14</v>
      </c>
      <c r="H60" t="s">
        <v>14</v>
      </c>
      <c r="I60" t="str">
        <f>"062646013069"</f>
        <v>062646013069</v>
      </c>
    </row>
    <row r="61" spans="1:9" x14ac:dyDescent="0.25">
      <c r="A61" t="s">
        <v>60</v>
      </c>
      <c r="B61" t="s">
        <v>13</v>
      </c>
      <c r="C61">
        <v>9.75</v>
      </c>
      <c r="D61">
        <v>10</v>
      </c>
      <c r="E61" t="s">
        <v>17</v>
      </c>
      <c r="F61">
        <v>18.97</v>
      </c>
      <c r="G61">
        <v>21.1</v>
      </c>
      <c r="H61" t="s">
        <v>17</v>
      </c>
      <c r="I61" t="str">
        <f>"061686012368"</f>
        <v>061686012368</v>
      </c>
    </row>
    <row r="62" spans="1:9" x14ac:dyDescent="0.25">
      <c r="A62" t="s">
        <v>61</v>
      </c>
      <c r="B62" t="s">
        <v>13</v>
      </c>
      <c r="C62">
        <v>26.66</v>
      </c>
      <c r="D62">
        <v>30.03</v>
      </c>
      <c r="E62" t="s">
        <v>17</v>
      </c>
      <c r="F62">
        <v>16.32</v>
      </c>
      <c r="G62">
        <v>16.05</v>
      </c>
      <c r="H62" t="s">
        <v>17</v>
      </c>
      <c r="I62" t="str">
        <f>"062271012783"</f>
        <v>062271012783</v>
      </c>
    </row>
    <row r="63" spans="1:9" x14ac:dyDescent="0.25">
      <c r="A63" t="s">
        <v>62</v>
      </c>
      <c r="B63" t="s">
        <v>13</v>
      </c>
      <c r="C63">
        <v>21</v>
      </c>
      <c r="D63" t="s">
        <v>14</v>
      </c>
      <c r="E63" t="s">
        <v>14</v>
      </c>
      <c r="F63">
        <v>24.19</v>
      </c>
      <c r="G63" t="s">
        <v>14</v>
      </c>
      <c r="H63" t="s">
        <v>14</v>
      </c>
      <c r="I63" t="str">
        <f>"062271013104"</f>
        <v>062271013104</v>
      </c>
    </row>
    <row r="64" spans="1:9" x14ac:dyDescent="0.25">
      <c r="A64" t="s">
        <v>63</v>
      </c>
      <c r="B64" t="s">
        <v>13</v>
      </c>
      <c r="C64">
        <v>15</v>
      </c>
      <c r="D64">
        <v>15.5</v>
      </c>
      <c r="E64" t="s">
        <v>17</v>
      </c>
      <c r="F64">
        <v>29.87</v>
      </c>
      <c r="G64">
        <v>29.48</v>
      </c>
      <c r="H64" t="s">
        <v>17</v>
      </c>
      <c r="I64" t="str">
        <f>"064104010367"</f>
        <v>064104010367</v>
      </c>
    </row>
    <row r="65" spans="1:9" x14ac:dyDescent="0.25">
      <c r="A65" t="s">
        <v>64</v>
      </c>
      <c r="B65" t="s">
        <v>13</v>
      </c>
      <c r="C65">
        <v>23.96</v>
      </c>
      <c r="D65">
        <v>21.75</v>
      </c>
      <c r="E65" t="s">
        <v>17</v>
      </c>
      <c r="F65">
        <v>20.03</v>
      </c>
      <c r="G65">
        <v>18.57</v>
      </c>
      <c r="H65" t="s">
        <v>17</v>
      </c>
      <c r="I65" t="str">
        <f>"061495012533"</f>
        <v>061495012533</v>
      </c>
    </row>
    <row r="66" spans="1:9" x14ac:dyDescent="0.25">
      <c r="A66" t="s">
        <v>65</v>
      </c>
      <c r="B66" t="s">
        <v>13</v>
      </c>
      <c r="C66">
        <v>5.7</v>
      </c>
      <c r="D66" t="s">
        <v>14</v>
      </c>
      <c r="E66" t="s">
        <v>14</v>
      </c>
      <c r="F66">
        <v>26.14</v>
      </c>
      <c r="G66" t="s">
        <v>14</v>
      </c>
      <c r="H66" t="s">
        <v>14</v>
      </c>
      <c r="I66" t="str">
        <f>"062271013044"</f>
        <v>062271013044</v>
      </c>
    </row>
    <row r="67" spans="1:9" x14ac:dyDescent="0.25">
      <c r="A67" t="s">
        <v>66</v>
      </c>
      <c r="B67" t="s">
        <v>13</v>
      </c>
      <c r="C67">
        <v>13.3</v>
      </c>
      <c r="D67">
        <v>14.98</v>
      </c>
      <c r="E67" t="s">
        <v>17</v>
      </c>
      <c r="F67">
        <v>26.47</v>
      </c>
      <c r="G67">
        <v>23.97</v>
      </c>
      <c r="H67" t="s">
        <v>17</v>
      </c>
      <c r="I67" t="str">
        <f>"064098006765"</f>
        <v>064098006765</v>
      </c>
    </row>
    <row r="68" spans="1:9" x14ac:dyDescent="0.25">
      <c r="A68" t="s">
        <v>67</v>
      </c>
      <c r="B68" t="s">
        <v>13</v>
      </c>
      <c r="C68">
        <v>12.75</v>
      </c>
      <c r="D68">
        <v>12.75</v>
      </c>
      <c r="E68" t="s">
        <v>17</v>
      </c>
      <c r="F68">
        <v>29.65</v>
      </c>
      <c r="G68">
        <v>30.51</v>
      </c>
      <c r="H68" t="s">
        <v>17</v>
      </c>
      <c r="I68" t="str">
        <f>"064251008517"</f>
        <v>064251008517</v>
      </c>
    </row>
    <row r="69" spans="1:9" x14ac:dyDescent="0.25">
      <c r="A69" t="s">
        <v>68</v>
      </c>
      <c r="B69" t="s">
        <v>13</v>
      </c>
      <c r="C69">
        <v>6.4</v>
      </c>
      <c r="D69">
        <v>8.4</v>
      </c>
      <c r="E69" t="s">
        <v>17</v>
      </c>
      <c r="F69">
        <v>28.75</v>
      </c>
      <c r="G69">
        <v>28.69</v>
      </c>
      <c r="H69" t="s">
        <v>17</v>
      </c>
      <c r="I69" t="str">
        <f>"061419010801"</f>
        <v>061419010801</v>
      </c>
    </row>
    <row r="70" spans="1:9" x14ac:dyDescent="0.25">
      <c r="A70" t="s">
        <v>69</v>
      </c>
      <c r="B70" t="s">
        <v>13</v>
      </c>
      <c r="C70" t="s">
        <v>17</v>
      </c>
      <c r="D70" t="s">
        <v>14</v>
      </c>
      <c r="E70" t="s">
        <v>14</v>
      </c>
      <c r="F70" t="s">
        <v>17</v>
      </c>
      <c r="G70" t="s">
        <v>14</v>
      </c>
      <c r="H70" t="s">
        <v>14</v>
      </c>
      <c r="I70" t="str">
        <f>"064104013396"</f>
        <v>064104013396</v>
      </c>
    </row>
    <row r="71" spans="1:9" x14ac:dyDescent="0.25">
      <c r="A71" t="s">
        <v>70</v>
      </c>
      <c r="B71" t="s">
        <v>13</v>
      </c>
      <c r="C71">
        <v>3.8</v>
      </c>
      <c r="D71">
        <v>6.6</v>
      </c>
      <c r="E71" t="s">
        <v>17</v>
      </c>
      <c r="F71">
        <v>7.63</v>
      </c>
      <c r="G71">
        <v>7.73</v>
      </c>
      <c r="H71" t="s">
        <v>17</v>
      </c>
      <c r="I71" t="str">
        <f>"060165010751"</f>
        <v>060165010751</v>
      </c>
    </row>
    <row r="72" spans="1:9" x14ac:dyDescent="0.25">
      <c r="A72" t="s">
        <v>71</v>
      </c>
      <c r="B72" t="s">
        <v>13</v>
      </c>
      <c r="C72">
        <v>67.400000000000006</v>
      </c>
      <c r="D72">
        <v>66.599999999999994</v>
      </c>
      <c r="E72" t="s">
        <v>17</v>
      </c>
      <c r="F72">
        <v>20.62</v>
      </c>
      <c r="G72">
        <v>20.81</v>
      </c>
      <c r="H72" t="s">
        <v>17</v>
      </c>
      <c r="I72" t="str">
        <f>"060165000032"</f>
        <v>060165000032</v>
      </c>
    </row>
    <row r="73" spans="1:9" x14ac:dyDescent="0.25">
      <c r="A73" t="s">
        <v>72</v>
      </c>
      <c r="B73" t="s">
        <v>13</v>
      </c>
      <c r="C73">
        <v>27</v>
      </c>
      <c r="D73">
        <v>23.5</v>
      </c>
      <c r="E73" t="s">
        <v>17</v>
      </c>
      <c r="F73">
        <v>28.63</v>
      </c>
      <c r="G73">
        <v>30.17</v>
      </c>
      <c r="H73" t="s">
        <v>17</v>
      </c>
      <c r="I73" t="str">
        <f>"062271003245"</f>
        <v>062271003245</v>
      </c>
    </row>
    <row r="74" spans="1:9" x14ac:dyDescent="0.25">
      <c r="A74" t="s">
        <v>73</v>
      </c>
      <c r="B74" t="s">
        <v>13</v>
      </c>
      <c r="C74">
        <v>7.73</v>
      </c>
      <c r="D74">
        <v>7.66</v>
      </c>
      <c r="E74" t="s">
        <v>17</v>
      </c>
      <c r="F74">
        <v>21.35</v>
      </c>
      <c r="G74">
        <v>21.8</v>
      </c>
      <c r="H74" t="s">
        <v>17</v>
      </c>
      <c r="I74" t="str">
        <f>"064030010552"</f>
        <v>064030010552</v>
      </c>
    </row>
    <row r="75" spans="1:9" x14ac:dyDescent="0.25">
      <c r="A75" t="s">
        <v>73</v>
      </c>
      <c r="B75" t="s">
        <v>13</v>
      </c>
      <c r="C75">
        <v>3.25</v>
      </c>
      <c r="D75">
        <v>3.31</v>
      </c>
      <c r="E75" t="s">
        <v>17</v>
      </c>
      <c r="F75">
        <v>28.92</v>
      </c>
      <c r="G75">
        <v>28.1</v>
      </c>
      <c r="H75" t="s">
        <v>17</v>
      </c>
      <c r="I75" t="str">
        <f>"061734012565"</f>
        <v>061734012565</v>
      </c>
    </row>
    <row r="76" spans="1:9" x14ac:dyDescent="0.25">
      <c r="A76" t="s">
        <v>74</v>
      </c>
      <c r="B76" t="s">
        <v>13</v>
      </c>
      <c r="C76">
        <v>10</v>
      </c>
      <c r="D76">
        <v>5</v>
      </c>
      <c r="E76" t="s">
        <v>17</v>
      </c>
      <c r="F76">
        <v>24.7</v>
      </c>
      <c r="G76">
        <v>33.4</v>
      </c>
      <c r="H76" t="s">
        <v>17</v>
      </c>
      <c r="I76" t="str">
        <f>"062271010830"</f>
        <v>062271010830</v>
      </c>
    </row>
    <row r="77" spans="1:9" x14ac:dyDescent="0.25">
      <c r="A77" t="s">
        <v>75</v>
      </c>
      <c r="B77" t="s">
        <v>13</v>
      </c>
      <c r="C77">
        <v>155.5</v>
      </c>
      <c r="D77">
        <v>151</v>
      </c>
      <c r="E77" t="s">
        <v>17</v>
      </c>
      <c r="F77">
        <v>26.24</v>
      </c>
      <c r="G77">
        <v>29.31</v>
      </c>
      <c r="H77" t="s">
        <v>17</v>
      </c>
      <c r="I77" t="str">
        <f>"069102410567"</f>
        <v>069102410567</v>
      </c>
    </row>
    <row r="78" spans="1:9" x14ac:dyDescent="0.25">
      <c r="A78" t="s">
        <v>76</v>
      </c>
      <c r="B78" t="s">
        <v>13</v>
      </c>
      <c r="C78">
        <v>72.5</v>
      </c>
      <c r="D78">
        <v>70</v>
      </c>
      <c r="E78" t="s">
        <v>17</v>
      </c>
      <c r="F78">
        <v>15.46</v>
      </c>
      <c r="G78">
        <v>17.2</v>
      </c>
      <c r="H78" t="s">
        <v>17</v>
      </c>
      <c r="I78" t="str">
        <f>"069102409236"</f>
        <v>069102409236</v>
      </c>
    </row>
    <row r="79" spans="1:9" x14ac:dyDescent="0.25">
      <c r="A79" t="s">
        <v>77</v>
      </c>
      <c r="B79" t="s">
        <v>13</v>
      </c>
      <c r="C79">
        <v>4</v>
      </c>
      <c r="D79" t="s">
        <v>14</v>
      </c>
      <c r="E79" t="s">
        <v>14</v>
      </c>
      <c r="F79">
        <v>24.75</v>
      </c>
      <c r="G79" t="s">
        <v>14</v>
      </c>
      <c r="H79" t="s">
        <v>14</v>
      </c>
      <c r="I79" t="str">
        <f>"061182013023"</f>
        <v>061182013023</v>
      </c>
    </row>
    <row r="80" spans="1:9" x14ac:dyDescent="0.25">
      <c r="A80" t="s">
        <v>78</v>
      </c>
      <c r="B80" t="s">
        <v>13</v>
      </c>
      <c r="C80">
        <v>13</v>
      </c>
      <c r="D80">
        <v>13</v>
      </c>
      <c r="E80" t="s">
        <v>17</v>
      </c>
      <c r="F80">
        <v>35.85</v>
      </c>
      <c r="G80">
        <v>27.62</v>
      </c>
      <c r="H80" t="s">
        <v>17</v>
      </c>
      <c r="I80" t="str">
        <f>"069103512198"</f>
        <v>069103512198</v>
      </c>
    </row>
    <row r="81" spans="1:9" x14ac:dyDescent="0.25">
      <c r="A81" t="s">
        <v>79</v>
      </c>
      <c r="B81" t="s">
        <v>13</v>
      </c>
      <c r="C81">
        <v>8.2799999999999994</v>
      </c>
      <c r="D81">
        <v>8.34</v>
      </c>
      <c r="E81" t="s">
        <v>17</v>
      </c>
      <c r="F81">
        <v>27.29</v>
      </c>
      <c r="G81">
        <v>29.38</v>
      </c>
      <c r="H81" t="s">
        <v>17</v>
      </c>
      <c r="I81" t="str">
        <f>"062805011561"</f>
        <v>062805011561</v>
      </c>
    </row>
    <row r="82" spans="1:9" x14ac:dyDescent="0.25">
      <c r="A82" t="s">
        <v>80</v>
      </c>
      <c r="B82" t="s">
        <v>13</v>
      </c>
      <c r="C82">
        <v>9</v>
      </c>
      <c r="D82">
        <v>9</v>
      </c>
      <c r="E82" t="s">
        <v>17</v>
      </c>
      <c r="F82">
        <v>23</v>
      </c>
      <c r="G82">
        <v>23.56</v>
      </c>
      <c r="H82" t="s">
        <v>17</v>
      </c>
      <c r="I82" t="str">
        <f>"062982011571"</f>
        <v>062982011571</v>
      </c>
    </row>
    <row r="83" spans="1:9" x14ac:dyDescent="0.25">
      <c r="A83" t="s">
        <v>81</v>
      </c>
      <c r="B83" t="s">
        <v>13</v>
      </c>
      <c r="C83">
        <v>14</v>
      </c>
      <c r="D83">
        <v>11.01</v>
      </c>
      <c r="E83" t="s">
        <v>17</v>
      </c>
      <c r="F83">
        <v>19.07</v>
      </c>
      <c r="G83">
        <v>21.44</v>
      </c>
      <c r="H83" t="s">
        <v>17</v>
      </c>
      <c r="I83" t="str">
        <f>"062805010730"</f>
        <v>062805010730</v>
      </c>
    </row>
    <row r="84" spans="1:9" x14ac:dyDescent="0.25">
      <c r="A84" t="s">
        <v>82</v>
      </c>
      <c r="B84" t="s">
        <v>13</v>
      </c>
      <c r="C84">
        <v>22</v>
      </c>
      <c r="D84">
        <v>22</v>
      </c>
      <c r="E84" t="s">
        <v>17</v>
      </c>
      <c r="F84">
        <v>23.77</v>
      </c>
      <c r="G84">
        <v>22.82</v>
      </c>
      <c r="H84" t="s">
        <v>17</v>
      </c>
      <c r="I84" t="str">
        <f>"064215012492"</f>
        <v>064215012492</v>
      </c>
    </row>
    <row r="85" spans="1:9" x14ac:dyDescent="0.25">
      <c r="A85" t="s">
        <v>83</v>
      </c>
      <c r="B85" t="s">
        <v>13</v>
      </c>
      <c r="C85">
        <v>20</v>
      </c>
      <c r="D85">
        <v>19</v>
      </c>
      <c r="E85" t="s">
        <v>17</v>
      </c>
      <c r="F85">
        <v>23.6</v>
      </c>
      <c r="G85">
        <v>24.21</v>
      </c>
      <c r="H85" t="s">
        <v>17</v>
      </c>
      <c r="I85" t="str">
        <f>"062460003686"</f>
        <v>062460003686</v>
      </c>
    </row>
    <row r="86" spans="1:9" x14ac:dyDescent="0.25">
      <c r="A86" t="s">
        <v>84</v>
      </c>
      <c r="B86" t="s">
        <v>13</v>
      </c>
      <c r="C86">
        <v>17</v>
      </c>
      <c r="D86">
        <v>17</v>
      </c>
      <c r="E86" t="s">
        <v>17</v>
      </c>
      <c r="F86">
        <v>30.47</v>
      </c>
      <c r="G86">
        <v>29.53</v>
      </c>
      <c r="H86" t="s">
        <v>17</v>
      </c>
      <c r="I86" t="str">
        <f>"062289003501"</f>
        <v>062289003501</v>
      </c>
    </row>
    <row r="87" spans="1:9" x14ac:dyDescent="0.25">
      <c r="A87" t="s">
        <v>85</v>
      </c>
      <c r="B87" t="s">
        <v>13</v>
      </c>
      <c r="C87">
        <v>18.3</v>
      </c>
      <c r="D87">
        <v>19.05</v>
      </c>
      <c r="E87" t="s">
        <v>17</v>
      </c>
      <c r="F87">
        <v>20.11</v>
      </c>
      <c r="G87">
        <v>20.21</v>
      </c>
      <c r="H87" t="s">
        <v>17</v>
      </c>
      <c r="I87" t="str">
        <f>"060747000706"</f>
        <v>060747000706</v>
      </c>
    </row>
    <row r="88" spans="1:9" x14ac:dyDescent="0.25">
      <c r="A88" t="s">
        <v>86</v>
      </c>
      <c r="B88" t="s">
        <v>13</v>
      </c>
      <c r="C88">
        <v>31.33</v>
      </c>
      <c r="D88">
        <v>31.33</v>
      </c>
      <c r="E88" t="s">
        <v>17</v>
      </c>
      <c r="F88">
        <v>17.010000000000002</v>
      </c>
      <c r="G88">
        <v>16.66</v>
      </c>
      <c r="H88" t="s">
        <v>17</v>
      </c>
      <c r="I88" t="str">
        <f>"061938002329"</f>
        <v>061938002329</v>
      </c>
    </row>
    <row r="89" spans="1:9" x14ac:dyDescent="0.25">
      <c r="A89" t="s">
        <v>87</v>
      </c>
      <c r="B89" t="s">
        <v>13</v>
      </c>
      <c r="C89">
        <v>36.5</v>
      </c>
      <c r="D89">
        <v>35</v>
      </c>
      <c r="E89" t="s">
        <v>17</v>
      </c>
      <c r="F89">
        <v>27.26</v>
      </c>
      <c r="G89">
        <v>26.83</v>
      </c>
      <c r="H89" t="s">
        <v>17</v>
      </c>
      <c r="I89" t="str">
        <f>"060558009312"</f>
        <v>060558009312</v>
      </c>
    </row>
    <row r="90" spans="1:9" x14ac:dyDescent="0.25">
      <c r="A90" t="s">
        <v>88</v>
      </c>
      <c r="B90" t="s">
        <v>13</v>
      </c>
      <c r="C90">
        <v>42.01</v>
      </c>
      <c r="D90">
        <v>41</v>
      </c>
      <c r="E90" t="s">
        <v>17</v>
      </c>
      <c r="F90">
        <v>24.88</v>
      </c>
      <c r="G90">
        <v>25.12</v>
      </c>
      <c r="H90" t="s">
        <v>17</v>
      </c>
      <c r="I90" t="str">
        <f>"060591011574"</f>
        <v>060591011574</v>
      </c>
    </row>
    <row r="91" spans="1:9" x14ac:dyDescent="0.25">
      <c r="A91" t="s">
        <v>89</v>
      </c>
      <c r="B91" t="s">
        <v>13</v>
      </c>
      <c r="C91">
        <v>21</v>
      </c>
      <c r="D91">
        <v>26</v>
      </c>
      <c r="E91" t="s">
        <v>17</v>
      </c>
      <c r="F91">
        <v>27.43</v>
      </c>
      <c r="G91">
        <v>23.31</v>
      </c>
      <c r="H91" t="s">
        <v>17</v>
      </c>
      <c r="I91" t="str">
        <f>"063531005981"</f>
        <v>063531005981</v>
      </c>
    </row>
    <row r="92" spans="1:9" x14ac:dyDescent="0.25">
      <c r="A92" t="s">
        <v>89</v>
      </c>
      <c r="B92" t="s">
        <v>13</v>
      </c>
      <c r="C92">
        <v>23</v>
      </c>
      <c r="D92">
        <v>24</v>
      </c>
      <c r="E92" t="s">
        <v>17</v>
      </c>
      <c r="F92">
        <v>19.52</v>
      </c>
      <c r="G92">
        <v>18.63</v>
      </c>
      <c r="H92" t="s">
        <v>17</v>
      </c>
      <c r="I92" t="str">
        <f>"062724009593"</f>
        <v>062724009593</v>
      </c>
    </row>
    <row r="93" spans="1:9" x14ac:dyDescent="0.25">
      <c r="A93" t="s">
        <v>89</v>
      </c>
      <c r="B93" t="s">
        <v>13</v>
      </c>
      <c r="C93" t="s">
        <v>14</v>
      </c>
      <c r="D93" t="s">
        <v>14</v>
      </c>
      <c r="E93" t="s">
        <v>17</v>
      </c>
      <c r="F93" t="s">
        <v>14</v>
      </c>
      <c r="G93" t="s">
        <v>14</v>
      </c>
      <c r="H93" t="s">
        <v>17</v>
      </c>
      <c r="I93" t="str">
        <f>"063536006015"</f>
        <v>063536006015</v>
      </c>
    </row>
    <row r="94" spans="1:9" x14ac:dyDescent="0.25">
      <c r="A94" t="s">
        <v>89</v>
      </c>
      <c r="B94" t="s">
        <v>13</v>
      </c>
      <c r="C94">
        <v>14.48</v>
      </c>
      <c r="D94">
        <v>20.75</v>
      </c>
      <c r="E94" t="s">
        <v>17</v>
      </c>
      <c r="F94">
        <v>36.6</v>
      </c>
      <c r="G94">
        <v>26.41</v>
      </c>
      <c r="H94" t="s">
        <v>17</v>
      </c>
      <c r="I94" t="str">
        <f>"063801006398"</f>
        <v>063801006398</v>
      </c>
    </row>
    <row r="95" spans="1:9" x14ac:dyDescent="0.25">
      <c r="A95" t="s">
        <v>89</v>
      </c>
      <c r="B95" t="s">
        <v>13</v>
      </c>
      <c r="C95">
        <v>20.010000000000002</v>
      </c>
      <c r="D95">
        <v>21</v>
      </c>
      <c r="E95" t="s">
        <v>17</v>
      </c>
      <c r="F95">
        <v>17.79</v>
      </c>
      <c r="G95">
        <v>15.81</v>
      </c>
      <c r="H95" t="s">
        <v>17</v>
      </c>
      <c r="I95" t="str">
        <f>"063432005407"</f>
        <v>063432005407</v>
      </c>
    </row>
    <row r="96" spans="1:9" x14ac:dyDescent="0.25">
      <c r="A96" t="s">
        <v>89</v>
      </c>
      <c r="B96" t="s">
        <v>13</v>
      </c>
      <c r="C96">
        <v>18.48</v>
      </c>
      <c r="D96">
        <v>19.98</v>
      </c>
      <c r="E96" t="s">
        <v>17</v>
      </c>
      <c r="F96">
        <v>26.89</v>
      </c>
      <c r="G96">
        <v>24.77</v>
      </c>
      <c r="H96" t="s">
        <v>17</v>
      </c>
      <c r="I96" t="str">
        <f>"063315005129"</f>
        <v>063315005129</v>
      </c>
    </row>
    <row r="97" spans="1:9" x14ac:dyDescent="0.25">
      <c r="A97" t="s">
        <v>89</v>
      </c>
      <c r="B97" t="s">
        <v>13</v>
      </c>
      <c r="C97">
        <v>24</v>
      </c>
      <c r="D97">
        <v>22.5</v>
      </c>
      <c r="E97" t="s">
        <v>14</v>
      </c>
      <c r="F97">
        <v>23.54</v>
      </c>
      <c r="G97">
        <v>24.13</v>
      </c>
      <c r="H97" t="s">
        <v>14</v>
      </c>
      <c r="I97" t="str">
        <f>"060141406015"</f>
        <v>060141406015</v>
      </c>
    </row>
    <row r="98" spans="1:9" x14ac:dyDescent="0.25">
      <c r="A98" t="s">
        <v>90</v>
      </c>
      <c r="B98" t="s">
        <v>13</v>
      </c>
      <c r="C98">
        <v>35.79</v>
      </c>
      <c r="D98">
        <v>35.299999999999997</v>
      </c>
      <c r="E98" t="s">
        <v>17</v>
      </c>
      <c r="F98">
        <v>25.76</v>
      </c>
      <c r="G98">
        <v>25.61</v>
      </c>
      <c r="H98" t="s">
        <v>17</v>
      </c>
      <c r="I98" t="str">
        <f>"060003204949"</f>
        <v>060003204949</v>
      </c>
    </row>
    <row r="99" spans="1:9" x14ac:dyDescent="0.25">
      <c r="A99" t="s">
        <v>91</v>
      </c>
      <c r="B99" t="s">
        <v>13</v>
      </c>
      <c r="C99">
        <v>30</v>
      </c>
      <c r="D99">
        <v>31</v>
      </c>
      <c r="E99" t="s">
        <v>17</v>
      </c>
      <c r="F99">
        <v>28.7</v>
      </c>
      <c r="G99">
        <v>27.29</v>
      </c>
      <c r="H99" t="s">
        <v>17</v>
      </c>
      <c r="I99" t="str">
        <f>"061455001703"</f>
        <v>061455001703</v>
      </c>
    </row>
    <row r="100" spans="1:9" x14ac:dyDescent="0.25">
      <c r="A100" t="s">
        <v>91</v>
      </c>
      <c r="B100" t="s">
        <v>13</v>
      </c>
      <c r="C100">
        <v>32</v>
      </c>
      <c r="D100">
        <v>32</v>
      </c>
      <c r="E100" t="s">
        <v>17</v>
      </c>
      <c r="F100">
        <v>30.41</v>
      </c>
      <c r="G100">
        <v>29.22</v>
      </c>
      <c r="H100" t="s">
        <v>17</v>
      </c>
      <c r="I100" t="str">
        <f>"062250002695"</f>
        <v>062250002695</v>
      </c>
    </row>
    <row r="101" spans="1:9" x14ac:dyDescent="0.25">
      <c r="A101" t="s">
        <v>92</v>
      </c>
      <c r="B101" t="s">
        <v>13</v>
      </c>
      <c r="C101">
        <v>23.7</v>
      </c>
      <c r="D101">
        <v>22.06</v>
      </c>
      <c r="E101" t="s">
        <v>17</v>
      </c>
      <c r="F101">
        <v>19.75</v>
      </c>
      <c r="G101">
        <v>21.44</v>
      </c>
      <c r="H101" t="s">
        <v>17</v>
      </c>
      <c r="I101" t="str">
        <f>"062961004579"</f>
        <v>062961004579</v>
      </c>
    </row>
    <row r="102" spans="1:9" x14ac:dyDescent="0.25">
      <c r="A102" t="s">
        <v>93</v>
      </c>
      <c r="B102" t="s">
        <v>13</v>
      </c>
      <c r="C102" t="s">
        <v>14</v>
      </c>
      <c r="D102" t="s">
        <v>14</v>
      </c>
      <c r="E102" t="s">
        <v>17</v>
      </c>
      <c r="F102" t="s">
        <v>14</v>
      </c>
      <c r="G102" t="s">
        <v>14</v>
      </c>
      <c r="H102" t="s">
        <v>17</v>
      </c>
      <c r="I102" t="str">
        <f>"063536008628"</f>
        <v>063536008628</v>
      </c>
    </row>
    <row r="103" spans="1:9" x14ac:dyDescent="0.25">
      <c r="A103" t="s">
        <v>93</v>
      </c>
      <c r="B103" t="s">
        <v>13</v>
      </c>
      <c r="C103">
        <v>9</v>
      </c>
      <c r="D103">
        <v>10</v>
      </c>
      <c r="E103" t="s">
        <v>14</v>
      </c>
      <c r="F103">
        <v>25</v>
      </c>
      <c r="G103">
        <v>21.6</v>
      </c>
      <c r="H103" t="s">
        <v>14</v>
      </c>
      <c r="I103" t="str">
        <f>"060141408628"</f>
        <v>060141408628</v>
      </c>
    </row>
    <row r="104" spans="1:9" x14ac:dyDescent="0.25">
      <c r="A104" t="s">
        <v>94</v>
      </c>
      <c r="B104" t="s">
        <v>13</v>
      </c>
      <c r="C104">
        <v>24.75</v>
      </c>
      <c r="D104">
        <v>22.3</v>
      </c>
      <c r="E104" t="s">
        <v>17</v>
      </c>
      <c r="F104">
        <v>20.65</v>
      </c>
      <c r="G104">
        <v>20.81</v>
      </c>
      <c r="H104" t="s">
        <v>17</v>
      </c>
      <c r="I104" t="str">
        <f>"060231011793"</f>
        <v>060231011793</v>
      </c>
    </row>
    <row r="105" spans="1:9" x14ac:dyDescent="0.25">
      <c r="A105" t="s">
        <v>95</v>
      </c>
      <c r="B105" t="s">
        <v>13</v>
      </c>
      <c r="C105">
        <v>1</v>
      </c>
      <c r="D105" t="str">
        <f>"0.50"</f>
        <v>0.50</v>
      </c>
      <c r="E105" t="s">
        <v>17</v>
      </c>
      <c r="F105">
        <v>4</v>
      </c>
      <c r="G105">
        <v>14</v>
      </c>
      <c r="H105" t="s">
        <v>17</v>
      </c>
      <c r="I105" t="str">
        <f>"063227002047"</f>
        <v>063227002047</v>
      </c>
    </row>
    <row r="106" spans="1:9" x14ac:dyDescent="0.25">
      <c r="A106" t="s">
        <v>95</v>
      </c>
      <c r="B106" t="s">
        <v>13</v>
      </c>
      <c r="C106">
        <v>3.2</v>
      </c>
      <c r="D106">
        <v>3</v>
      </c>
      <c r="E106" t="s">
        <v>17</v>
      </c>
      <c r="F106">
        <v>20.63</v>
      </c>
      <c r="G106">
        <v>21.33</v>
      </c>
      <c r="H106" t="s">
        <v>17</v>
      </c>
      <c r="I106" t="str">
        <f>"060006111814"</f>
        <v>060006111814</v>
      </c>
    </row>
    <row r="107" spans="1:9" x14ac:dyDescent="0.25">
      <c r="A107" t="s">
        <v>96</v>
      </c>
      <c r="B107" t="s">
        <v>13</v>
      </c>
      <c r="C107">
        <v>11.95</v>
      </c>
      <c r="D107">
        <v>12.05</v>
      </c>
      <c r="E107" t="s">
        <v>17</v>
      </c>
      <c r="F107">
        <v>14.23</v>
      </c>
      <c r="G107">
        <v>11.37</v>
      </c>
      <c r="H107" t="s">
        <v>17</v>
      </c>
      <c r="I107" t="str">
        <f>"063363005189"</f>
        <v>063363005189</v>
      </c>
    </row>
    <row r="108" spans="1:9" x14ac:dyDescent="0.25">
      <c r="A108" t="s">
        <v>97</v>
      </c>
      <c r="B108" t="s">
        <v>13</v>
      </c>
      <c r="C108">
        <v>21.2</v>
      </c>
      <c r="D108">
        <v>21.6</v>
      </c>
      <c r="E108" t="s">
        <v>17</v>
      </c>
      <c r="F108">
        <v>26.75</v>
      </c>
      <c r="G108">
        <v>26.81</v>
      </c>
      <c r="H108" t="s">
        <v>17</v>
      </c>
      <c r="I108" t="str">
        <f>"063213007421"</f>
        <v>063213007421</v>
      </c>
    </row>
    <row r="109" spans="1:9" x14ac:dyDescent="0.25">
      <c r="A109" t="s">
        <v>98</v>
      </c>
      <c r="B109" t="s">
        <v>13</v>
      </c>
      <c r="C109" t="s">
        <v>14</v>
      </c>
      <c r="D109">
        <v>1</v>
      </c>
      <c r="E109" t="s">
        <v>17</v>
      </c>
      <c r="F109" t="s">
        <v>17</v>
      </c>
      <c r="G109">
        <v>43</v>
      </c>
      <c r="H109" t="s">
        <v>17</v>
      </c>
      <c r="I109" t="str">
        <f>"060171012454"</f>
        <v>060171012454</v>
      </c>
    </row>
    <row r="110" spans="1:9" x14ac:dyDescent="0.25">
      <c r="A110" t="s">
        <v>99</v>
      </c>
      <c r="B110" t="s">
        <v>13</v>
      </c>
      <c r="C110">
        <v>19</v>
      </c>
      <c r="D110">
        <v>20</v>
      </c>
      <c r="E110" t="s">
        <v>17</v>
      </c>
      <c r="F110">
        <v>30.05</v>
      </c>
      <c r="G110">
        <v>28.2</v>
      </c>
      <c r="H110" t="s">
        <v>17</v>
      </c>
      <c r="I110" t="str">
        <f>"060171000038"</f>
        <v>060171000038</v>
      </c>
    </row>
    <row r="111" spans="1:9" x14ac:dyDescent="0.25">
      <c r="A111" t="s">
        <v>100</v>
      </c>
      <c r="B111" t="s">
        <v>13</v>
      </c>
      <c r="C111">
        <v>35.5</v>
      </c>
      <c r="D111" t="s">
        <v>14</v>
      </c>
      <c r="E111" t="s">
        <v>14</v>
      </c>
      <c r="F111">
        <v>27.97</v>
      </c>
      <c r="G111" t="s">
        <v>14</v>
      </c>
      <c r="H111" t="s">
        <v>14</v>
      </c>
      <c r="I111" t="str">
        <f>"063697212990"</f>
        <v>063697212990</v>
      </c>
    </row>
    <row r="112" spans="1:9" x14ac:dyDescent="0.25">
      <c r="A112" t="s">
        <v>101</v>
      </c>
      <c r="B112" t="s">
        <v>13</v>
      </c>
      <c r="C112">
        <v>21.8</v>
      </c>
      <c r="D112">
        <v>21.04</v>
      </c>
      <c r="E112" t="s">
        <v>17</v>
      </c>
      <c r="F112">
        <v>20.78</v>
      </c>
      <c r="G112">
        <v>21.34</v>
      </c>
      <c r="H112" t="s">
        <v>17</v>
      </c>
      <c r="I112" t="str">
        <f>"063720010436"</f>
        <v>063720010436</v>
      </c>
    </row>
    <row r="113" spans="1:9" x14ac:dyDescent="0.25">
      <c r="A113" t="s">
        <v>102</v>
      </c>
      <c r="B113" t="s">
        <v>13</v>
      </c>
      <c r="C113">
        <v>17</v>
      </c>
      <c r="D113">
        <v>17</v>
      </c>
      <c r="E113" t="s">
        <v>17</v>
      </c>
      <c r="F113">
        <v>23.24</v>
      </c>
      <c r="G113">
        <v>22.35</v>
      </c>
      <c r="H113" t="s">
        <v>17</v>
      </c>
      <c r="I113" t="str">
        <f>"063153001203"</f>
        <v>063153001203</v>
      </c>
    </row>
    <row r="114" spans="1:9" x14ac:dyDescent="0.25">
      <c r="A114" t="s">
        <v>103</v>
      </c>
      <c r="B114" t="s">
        <v>13</v>
      </c>
      <c r="C114">
        <v>90.63</v>
      </c>
      <c r="D114">
        <v>93.84</v>
      </c>
      <c r="E114" t="s">
        <v>17</v>
      </c>
      <c r="F114">
        <v>27.82</v>
      </c>
      <c r="G114">
        <v>26.57</v>
      </c>
      <c r="H114" t="s">
        <v>17</v>
      </c>
      <c r="I114" t="str">
        <f>"062927004516"</f>
        <v>062927004516</v>
      </c>
    </row>
    <row r="115" spans="1:9" x14ac:dyDescent="0.25">
      <c r="A115" t="s">
        <v>104</v>
      </c>
      <c r="B115" t="s">
        <v>13</v>
      </c>
      <c r="C115">
        <v>83.25</v>
      </c>
      <c r="D115">
        <v>83.35</v>
      </c>
      <c r="E115" t="s">
        <v>17</v>
      </c>
      <c r="F115">
        <v>22.22</v>
      </c>
      <c r="G115">
        <v>22.46</v>
      </c>
      <c r="H115" t="s">
        <v>17</v>
      </c>
      <c r="I115" t="str">
        <f>"063543006055"</f>
        <v>063543006055</v>
      </c>
    </row>
    <row r="116" spans="1:9" x14ac:dyDescent="0.25">
      <c r="A116" t="s">
        <v>105</v>
      </c>
      <c r="B116" t="s">
        <v>13</v>
      </c>
      <c r="C116" t="s">
        <v>14</v>
      </c>
      <c r="D116" t="s">
        <v>17</v>
      </c>
      <c r="E116" t="s">
        <v>17</v>
      </c>
      <c r="F116" t="s">
        <v>17</v>
      </c>
      <c r="G116" t="s">
        <v>17</v>
      </c>
      <c r="H116" t="s">
        <v>17</v>
      </c>
      <c r="I116" t="str">
        <f>"060813012588"</f>
        <v>060813012588</v>
      </c>
    </row>
    <row r="117" spans="1:9" x14ac:dyDescent="0.25">
      <c r="A117" t="s">
        <v>105</v>
      </c>
      <c r="B117" t="s">
        <v>13</v>
      </c>
      <c r="C117" t="s">
        <v>14</v>
      </c>
      <c r="D117" t="s">
        <v>17</v>
      </c>
      <c r="E117" t="s">
        <v>17</v>
      </c>
      <c r="F117" t="s">
        <v>17</v>
      </c>
      <c r="G117" t="s">
        <v>17</v>
      </c>
      <c r="H117" t="s">
        <v>17</v>
      </c>
      <c r="I117" t="str">
        <f>"061488012598"</f>
        <v>061488012598</v>
      </c>
    </row>
    <row r="118" spans="1:9" x14ac:dyDescent="0.25">
      <c r="A118" t="s">
        <v>106</v>
      </c>
      <c r="B118" t="s">
        <v>13</v>
      </c>
      <c r="C118">
        <v>19</v>
      </c>
      <c r="D118">
        <v>26</v>
      </c>
      <c r="E118" t="s">
        <v>17</v>
      </c>
      <c r="F118">
        <v>29.37</v>
      </c>
      <c r="G118">
        <v>20.69</v>
      </c>
      <c r="H118" t="s">
        <v>17</v>
      </c>
      <c r="I118" t="str">
        <f>"062289003499"</f>
        <v>062289003499</v>
      </c>
    </row>
    <row r="119" spans="1:9" x14ac:dyDescent="0.25">
      <c r="A119" t="s">
        <v>107</v>
      </c>
      <c r="B119" t="s">
        <v>13</v>
      </c>
      <c r="C119">
        <v>18</v>
      </c>
      <c r="D119">
        <v>12.5</v>
      </c>
      <c r="E119" t="s">
        <v>17</v>
      </c>
      <c r="F119">
        <v>10.11</v>
      </c>
      <c r="G119">
        <v>11.28</v>
      </c>
      <c r="H119" t="s">
        <v>17</v>
      </c>
      <c r="I119" t="str">
        <f>"069107812710"</f>
        <v>069107812710</v>
      </c>
    </row>
    <row r="120" spans="1:9" x14ac:dyDescent="0.25">
      <c r="A120" t="s">
        <v>108</v>
      </c>
      <c r="B120" t="s">
        <v>13</v>
      </c>
      <c r="C120">
        <v>8</v>
      </c>
      <c r="D120">
        <v>9.01</v>
      </c>
      <c r="E120" t="s">
        <v>17</v>
      </c>
      <c r="F120">
        <v>10.25</v>
      </c>
      <c r="G120">
        <v>9.2100000000000009</v>
      </c>
      <c r="H120" t="s">
        <v>17</v>
      </c>
      <c r="I120" t="str">
        <f>"062271011315"</f>
        <v>062271011315</v>
      </c>
    </row>
    <row r="121" spans="1:9" x14ac:dyDescent="0.25">
      <c r="A121" t="s">
        <v>109</v>
      </c>
      <c r="B121" t="s">
        <v>13</v>
      </c>
      <c r="C121">
        <v>3</v>
      </c>
      <c r="D121">
        <v>3</v>
      </c>
      <c r="E121" t="s">
        <v>17</v>
      </c>
      <c r="F121">
        <v>20.67</v>
      </c>
      <c r="G121">
        <v>16</v>
      </c>
      <c r="H121" t="s">
        <v>17</v>
      </c>
      <c r="I121" t="str">
        <f>"063759006363"</f>
        <v>063759006363</v>
      </c>
    </row>
    <row r="122" spans="1:9" x14ac:dyDescent="0.25">
      <c r="A122" t="s">
        <v>110</v>
      </c>
      <c r="B122" t="s">
        <v>13</v>
      </c>
      <c r="C122">
        <v>32</v>
      </c>
      <c r="D122">
        <v>30</v>
      </c>
      <c r="E122" t="s">
        <v>17</v>
      </c>
      <c r="F122">
        <v>26.63</v>
      </c>
      <c r="G122">
        <v>29.53</v>
      </c>
      <c r="H122" t="s">
        <v>17</v>
      </c>
      <c r="I122" t="str">
        <f>"061803002224"</f>
        <v>061803002224</v>
      </c>
    </row>
    <row r="123" spans="1:9" x14ac:dyDescent="0.25">
      <c r="A123" t="s">
        <v>111</v>
      </c>
      <c r="B123" t="s">
        <v>13</v>
      </c>
      <c r="C123">
        <v>19.07</v>
      </c>
      <c r="D123">
        <v>21</v>
      </c>
      <c r="E123" t="s">
        <v>17</v>
      </c>
      <c r="F123">
        <v>28.47</v>
      </c>
      <c r="G123">
        <v>28.43</v>
      </c>
      <c r="H123" t="s">
        <v>17</v>
      </c>
      <c r="I123" t="str">
        <f>"063795009643"</f>
        <v>063795009643</v>
      </c>
    </row>
    <row r="124" spans="1:9" x14ac:dyDescent="0.25">
      <c r="A124" t="s">
        <v>112</v>
      </c>
      <c r="B124" t="s">
        <v>13</v>
      </c>
      <c r="C124">
        <v>15</v>
      </c>
      <c r="D124">
        <v>16</v>
      </c>
      <c r="E124" t="s">
        <v>17</v>
      </c>
      <c r="F124">
        <v>26</v>
      </c>
      <c r="G124">
        <v>25.88</v>
      </c>
      <c r="H124" t="s">
        <v>17</v>
      </c>
      <c r="I124" t="str">
        <f>"061488001882"</f>
        <v>061488001882</v>
      </c>
    </row>
    <row r="125" spans="1:9" x14ac:dyDescent="0.25">
      <c r="A125" t="s">
        <v>113</v>
      </c>
      <c r="B125" t="s">
        <v>13</v>
      </c>
      <c r="C125">
        <v>90.49</v>
      </c>
      <c r="D125">
        <v>87.4</v>
      </c>
      <c r="E125" t="s">
        <v>17</v>
      </c>
      <c r="F125">
        <v>24.09</v>
      </c>
      <c r="G125">
        <v>24.99</v>
      </c>
      <c r="H125" t="s">
        <v>17</v>
      </c>
      <c r="I125" t="str">
        <f>"062100002518"</f>
        <v>062100002518</v>
      </c>
    </row>
    <row r="126" spans="1:9" x14ac:dyDescent="0.25">
      <c r="A126" t="s">
        <v>114</v>
      </c>
      <c r="B126" t="s">
        <v>13</v>
      </c>
      <c r="C126">
        <v>23</v>
      </c>
      <c r="D126">
        <v>24</v>
      </c>
      <c r="E126" t="s">
        <v>17</v>
      </c>
      <c r="F126">
        <v>27.78</v>
      </c>
      <c r="G126">
        <v>27.33</v>
      </c>
      <c r="H126" t="s">
        <v>17</v>
      </c>
      <c r="I126" t="str">
        <f>"062955004559"</f>
        <v>062955004559</v>
      </c>
    </row>
    <row r="127" spans="1:9" x14ac:dyDescent="0.25">
      <c r="A127" t="s">
        <v>115</v>
      </c>
      <c r="B127" t="s">
        <v>13</v>
      </c>
      <c r="C127">
        <v>6.8</v>
      </c>
      <c r="D127">
        <v>8.6999999999999993</v>
      </c>
      <c r="E127" t="s">
        <v>17</v>
      </c>
      <c r="F127">
        <v>25.59</v>
      </c>
      <c r="G127">
        <v>23.33</v>
      </c>
      <c r="H127" t="s">
        <v>17</v>
      </c>
      <c r="I127" t="str">
        <f>"060000106294"</f>
        <v>060000106294</v>
      </c>
    </row>
    <row r="128" spans="1:9" x14ac:dyDescent="0.25">
      <c r="A128" t="s">
        <v>116</v>
      </c>
      <c r="B128" t="s">
        <v>13</v>
      </c>
      <c r="C128">
        <v>1.17</v>
      </c>
      <c r="D128">
        <v>1.17</v>
      </c>
      <c r="E128" t="s">
        <v>17</v>
      </c>
      <c r="F128">
        <v>15.38</v>
      </c>
      <c r="G128">
        <v>17.95</v>
      </c>
      <c r="H128" t="s">
        <v>17</v>
      </c>
      <c r="I128" t="str">
        <f>"060016007902"</f>
        <v>060016007902</v>
      </c>
    </row>
    <row r="129" spans="1:9" x14ac:dyDescent="0.25">
      <c r="A129" t="s">
        <v>117</v>
      </c>
      <c r="B129" t="s">
        <v>13</v>
      </c>
      <c r="C129">
        <v>32.81</v>
      </c>
      <c r="D129">
        <v>31.8</v>
      </c>
      <c r="E129" t="s">
        <v>17</v>
      </c>
      <c r="F129">
        <v>19.72</v>
      </c>
      <c r="G129">
        <v>22.83</v>
      </c>
      <c r="H129" t="s">
        <v>17</v>
      </c>
      <c r="I129" t="str">
        <f>"061455001704"</f>
        <v>061455001704</v>
      </c>
    </row>
    <row r="130" spans="1:9" x14ac:dyDescent="0.25">
      <c r="A130" t="s">
        <v>118</v>
      </c>
      <c r="B130" t="s">
        <v>13</v>
      </c>
      <c r="C130">
        <v>18</v>
      </c>
      <c r="D130">
        <v>16</v>
      </c>
      <c r="E130" t="s">
        <v>17</v>
      </c>
      <c r="F130">
        <v>24.89</v>
      </c>
      <c r="G130">
        <v>24.81</v>
      </c>
      <c r="H130" t="s">
        <v>17</v>
      </c>
      <c r="I130" t="str">
        <f>"060342000256"</f>
        <v>060342000256</v>
      </c>
    </row>
    <row r="131" spans="1:9" x14ac:dyDescent="0.25">
      <c r="A131" t="s">
        <v>119</v>
      </c>
      <c r="B131" t="s">
        <v>13</v>
      </c>
      <c r="C131">
        <v>35</v>
      </c>
      <c r="D131">
        <v>36</v>
      </c>
      <c r="E131" t="s">
        <v>17</v>
      </c>
      <c r="F131">
        <v>19.059999999999999</v>
      </c>
      <c r="G131">
        <v>19.690000000000001</v>
      </c>
      <c r="H131" t="s">
        <v>17</v>
      </c>
      <c r="I131" t="str">
        <f>"060798000765"</f>
        <v>060798000765</v>
      </c>
    </row>
    <row r="132" spans="1:9" x14ac:dyDescent="0.25">
      <c r="A132" t="s">
        <v>120</v>
      </c>
      <c r="B132" t="s">
        <v>13</v>
      </c>
      <c r="C132">
        <v>31</v>
      </c>
      <c r="D132">
        <v>32</v>
      </c>
      <c r="E132" t="s">
        <v>17</v>
      </c>
      <c r="F132">
        <v>27.45</v>
      </c>
      <c r="G132">
        <v>27.34</v>
      </c>
      <c r="H132" t="s">
        <v>17</v>
      </c>
      <c r="I132" t="str">
        <f>"061455010778"</f>
        <v>061455010778</v>
      </c>
    </row>
    <row r="133" spans="1:9" x14ac:dyDescent="0.25">
      <c r="A133" t="s">
        <v>121</v>
      </c>
      <c r="B133" t="s">
        <v>13</v>
      </c>
      <c r="C133" t="s">
        <v>17</v>
      </c>
      <c r="D133" t="s">
        <v>17</v>
      </c>
      <c r="E133" t="s">
        <v>17</v>
      </c>
      <c r="F133" t="s">
        <v>17</v>
      </c>
      <c r="G133" t="s">
        <v>17</v>
      </c>
      <c r="H133" t="s">
        <v>17</v>
      </c>
      <c r="I133" t="str">
        <f>"069101108490"</f>
        <v>069101108490</v>
      </c>
    </row>
    <row r="134" spans="1:9" x14ac:dyDescent="0.25">
      <c r="A134" t="s">
        <v>122</v>
      </c>
      <c r="B134" t="s">
        <v>13</v>
      </c>
      <c r="C134">
        <v>42</v>
      </c>
      <c r="D134">
        <v>36.4</v>
      </c>
      <c r="E134" t="s">
        <v>17</v>
      </c>
      <c r="F134">
        <v>19.260000000000002</v>
      </c>
      <c r="G134">
        <v>21.46</v>
      </c>
      <c r="H134" t="s">
        <v>17</v>
      </c>
      <c r="I134" t="str">
        <f>"062271012248"</f>
        <v>062271012248</v>
      </c>
    </row>
    <row r="135" spans="1:9" x14ac:dyDescent="0.25">
      <c r="A135" t="s">
        <v>123</v>
      </c>
      <c r="B135" t="s">
        <v>13</v>
      </c>
      <c r="C135">
        <v>12.37</v>
      </c>
      <c r="D135">
        <v>9.94</v>
      </c>
      <c r="E135" t="s">
        <v>17</v>
      </c>
      <c r="F135">
        <v>24.49</v>
      </c>
      <c r="G135">
        <v>30.99</v>
      </c>
      <c r="H135" t="s">
        <v>17</v>
      </c>
      <c r="I135" t="str">
        <f>"060177008673"</f>
        <v>060177008673</v>
      </c>
    </row>
    <row r="136" spans="1:9" x14ac:dyDescent="0.25">
      <c r="A136" t="s">
        <v>124</v>
      </c>
      <c r="B136" t="s">
        <v>13</v>
      </c>
      <c r="C136">
        <v>13</v>
      </c>
      <c r="D136">
        <v>10</v>
      </c>
      <c r="E136" t="s">
        <v>17</v>
      </c>
      <c r="F136">
        <v>16.149999999999999</v>
      </c>
      <c r="G136">
        <v>18.2</v>
      </c>
      <c r="H136" t="s">
        <v>17</v>
      </c>
      <c r="I136" t="str">
        <f>"069105106830"</f>
        <v>069105106830</v>
      </c>
    </row>
    <row r="137" spans="1:9" x14ac:dyDescent="0.25">
      <c r="A137" t="s">
        <v>125</v>
      </c>
      <c r="B137" t="s">
        <v>13</v>
      </c>
      <c r="C137">
        <v>25</v>
      </c>
      <c r="D137">
        <v>23</v>
      </c>
      <c r="E137" t="s">
        <v>17</v>
      </c>
      <c r="F137">
        <v>7.72</v>
      </c>
      <c r="G137">
        <v>9.6999999999999993</v>
      </c>
      <c r="H137" t="s">
        <v>17</v>
      </c>
      <c r="I137" t="str">
        <f>"069105109264"</f>
        <v>069105109264</v>
      </c>
    </row>
    <row r="138" spans="1:9" x14ac:dyDescent="0.25">
      <c r="A138" t="s">
        <v>126</v>
      </c>
      <c r="B138" t="s">
        <v>13</v>
      </c>
      <c r="C138">
        <v>3</v>
      </c>
      <c r="D138">
        <v>3</v>
      </c>
      <c r="E138" t="s">
        <v>17</v>
      </c>
      <c r="F138">
        <v>21</v>
      </c>
      <c r="G138">
        <v>25.67</v>
      </c>
      <c r="H138" t="s">
        <v>17</v>
      </c>
      <c r="I138" t="str">
        <f>"069105109265"</f>
        <v>069105109265</v>
      </c>
    </row>
    <row r="139" spans="1:9" x14ac:dyDescent="0.25">
      <c r="A139" t="s">
        <v>127</v>
      </c>
      <c r="B139" t="s">
        <v>13</v>
      </c>
      <c r="C139" t="s">
        <v>17</v>
      </c>
      <c r="D139" t="s">
        <v>17</v>
      </c>
      <c r="E139" t="s">
        <v>17</v>
      </c>
      <c r="F139" t="s">
        <v>17</v>
      </c>
      <c r="G139" t="s">
        <v>17</v>
      </c>
      <c r="H139" t="s">
        <v>17</v>
      </c>
      <c r="I139" t="str">
        <f>"069105108672"</f>
        <v>069105108672</v>
      </c>
    </row>
    <row r="140" spans="1:9" x14ac:dyDescent="0.25">
      <c r="A140" t="s">
        <v>128</v>
      </c>
      <c r="B140" t="s">
        <v>13</v>
      </c>
      <c r="C140">
        <v>32</v>
      </c>
      <c r="D140">
        <v>29.6</v>
      </c>
      <c r="E140" t="s">
        <v>17</v>
      </c>
      <c r="F140">
        <v>19.84</v>
      </c>
      <c r="G140">
        <v>21.01</v>
      </c>
      <c r="H140" t="s">
        <v>17</v>
      </c>
      <c r="I140" t="str">
        <f>"061146001260"</f>
        <v>061146001260</v>
      </c>
    </row>
    <row r="141" spans="1:9" x14ac:dyDescent="0.25">
      <c r="A141" t="s">
        <v>129</v>
      </c>
      <c r="B141" t="s">
        <v>13</v>
      </c>
      <c r="C141">
        <v>78.8</v>
      </c>
      <c r="D141">
        <v>78.8</v>
      </c>
      <c r="E141" t="s">
        <v>17</v>
      </c>
      <c r="F141">
        <v>22.73</v>
      </c>
      <c r="G141">
        <v>23.52</v>
      </c>
      <c r="H141" t="s">
        <v>17</v>
      </c>
      <c r="I141" t="str">
        <f>"060177000041"</f>
        <v>060177000041</v>
      </c>
    </row>
    <row r="142" spans="1:9" x14ac:dyDescent="0.25">
      <c r="A142" t="s">
        <v>130</v>
      </c>
      <c r="B142" t="s">
        <v>13</v>
      </c>
      <c r="C142">
        <v>6.05</v>
      </c>
      <c r="D142">
        <v>7</v>
      </c>
      <c r="E142" t="s">
        <v>17</v>
      </c>
      <c r="F142">
        <v>26.94</v>
      </c>
      <c r="G142">
        <v>24.29</v>
      </c>
      <c r="H142" t="s">
        <v>17</v>
      </c>
      <c r="I142" t="str">
        <f>"060177010547"</f>
        <v>060177010547</v>
      </c>
    </row>
    <row r="143" spans="1:9" x14ac:dyDescent="0.25">
      <c r="A143" t="s">
        <v>131</v>
      </c>
      <c r="B143" t="s">
        <v>13</v>
      </c>
      <c r="C143">
        <v>27.84</v>
      </c>
      <c r="D143">
        <v>28.87</v>
      </c>
      <c r="E143" t="s">
        <v>17</v>
      </c>
      <c r="F143">
        <v>31</v>
      </c>
      <c r="G143">
        <v>30.1</v>
      </c>
      <c r="H143" t="s">
        <v>17</v>
      </c>
      <c r="I143" t="str">
        <f>"061488001822"</f>
        <v>061488001822</v>
      </c>
    </row>
    <row r="144" spans="1:9" x14ac:dyDescent="0.25">
      <c r="A144" t="s">
        <v>132</v>
      </c>
      <c r="B144" t="s">
        <v>13</v>
      </c>
      <c r="C144">
        <v>23</v>
      </c>
      <c r="D144">
        <v>22.7</v>
      </c>
      <c r="E144" t="s">
        <v>17</v>
      </c>
      <c r="F144">
        <v>27.22</v>
      </c>
      <c r="G144">
        <v>25.55</v>
      </c>
      <c r="H144" t="s">
        <v>17</v>
      </c>
      <c r="I144" t="str">
        <f>"064059006697"</f>
        <v>064059006697</v>
      </c>
    </row>
    <row r="145" spans="1:9" x14ac:dyDescent="0.25">
      <c r="A145" t="s">
        <v>132</v>
      </c>
      <c r="B145" t="s">
        <v>13</v>
      </c>
      <c r="C145">
        <v>23</v>
      </c>
      <c r="D145">
        <v>23</v>
      </c>
      <c r="E145" t="s">
        <v>17</v>
      </c>
      <c r="F145">
        <v>22.78</v>
      </c>
      <c r="G145">
        <v>22.22</v>
      </c>
      <c r="H145" t="s">
        <v>17</v>
      </c>
      <c r="I145" t="str">
        <f>"063441005582"</f>
        <v>063441005582</v>
      </c>
    </row>
    <row r="146" spans="1:9" x14ac:dyDescent="0.25">
      <c r="A146" t="s">
        <v>132</v>
      </c>
      <c r="B146" t="s">
        <v>13</v>
      </c>
      <c r="C146">
        <v>13.54</v>
      </c>
      <c r="D146">
        <v>15.07</v>
      </c>
      <c r="E146" t="s">
        <v>17</v>
      </c>
      <c r="F146">
        <v>23.93</v>
      </c>
      <c r="G146">
        <v>21.43</v>
      </c>
      <c r="H146" t="s">
        <v>17</v>
      </c>
      <c r="I146" t="str">
        <f>"063513005942"</f>
        <v>063513005942</v>
      </c>
    </row>
    <row r="147" spans="1:9" x14ac:dyDescent="0.25">
      <c r="A147" t="s">
        <v>133</v>
      </c>
      <c r="B147" t="s">
        <v>13</v>
      </c>
      <c r="C147">
        <v>27.5</v>
      </c>
      <c r="D147">
        <v>31.5</v>
      </c>
      <c r="E147" t="s">
        <v>17</v>
      </c>
      <c r="F147">
        <v>26.33</v>
      </c>
      <c r="G147">
        <v>22</v>
      </c>
      <c r="H147" t="s">
        <v>17</v>
      </c>
      <c r="I147" t="str">
        <f>"060002811039"</f>
        <v>060002811039</v>
      </c>
    </row>
    <row r="148" spans="1:9" x14ac:dyDescent="0.25">
      <c r="A148" t="s">
        <v>134</v>
      </c>
      <c r="B148" t="s">
        <v>13</v>
      </c>
      <c r="C148">
        <v>22</v>
      </c>
      <c r="D148">
        <v>25</v>
      </c>
      <c r="E148" t="s">
        <v>17</v>
      </c>
      <c r="F148">
        <v>26.32</v>
      </c>
      <c r="G148">
        <v>25.48</v>
      </c>
      <c r="H148" t="s">
        <v>17</v>
      </c>
      <c r="I148" t="str">
        <f>"064119009204"</f>
        <v>064119009204</v>
      </c>
    </row>
    <row r="149" spans="1:9" x14ac:dyDescent="0.25">
      <c r="A149" t="s">
        <v>135</v>
      </c>
      <c r="B149" t="s">
        <v>13</v>
      </c>
      <c r="C149">
        <v>15</v>
      </c>
      <c r="D149">
        <v>16</v>
      </c>
      <c r="E149" t="s">
        <v>17</v>
      </c>
      <c r="F149">
        <v>1.73</v>
      </c>
      <c r="G149">
        <v>2.25</v>
      </c>
      <c r="H149" t="s">
        <v>17</v>
      </c>
      <c r="I149" t="str">
        <f>"063432007682"</f>
        <v>063432007682</v>
      </c>
    </row>
    <row r="150" spans="1:9" x14ac:dyDescent="0.25">
      <c r="A150" t="s">
        <v>136</v>
      </c>
      <c r="B150" t="s">
        <v>13</v>
      </c>
      <c r="C150">
        <v>1</v>
      </c>
      <c r="D150" t="s">
        <v>14</v>
      </c>
      <c r="E150" t="s">
        <v>14</v>
      </c>
      <c r="F150">
        <v>20</v>
      </c>
      <c r="G150" t="s">
        <v>14</v>
      </c>
      <c r="H150" t="s">
        <v>14</v>
      </c>
      <c r="I150" t="str">
        <f>"060186013188"</f>
        <v>060186013188</v>
      </c>
    </row>
    <row r="151" spans="1:9" x14ac:dyDescent="0.25">
      <c r="A151" t="s">
        <v>137</v>
      </c>
      <c r="B151" t="s">
        <v>13</v>
      </c>
      <c r="C151">
        <v>55.52</v>
      </c>
      <c r="D151">
        <v>55.1</v>
      </c>
      <c r="E151" t="s">
        <v>17</v>
      </c>
      <c r="F151">
        <v>20.93</v>
      </c>
      <c r="G151">
        <v>21.78</v>
      </c>
      <c r="H151" t="s">
        <v>17</v>
      </c>
      <c r="I151" t="str">
        <f>"060186000059"</f>
        <v>060186000059</v>
      </c>
    </row>
    <row r="152" spans="1:9" x14ac:dyDescent="0.25">
      <c r="A152" t="s">
        <v>138</v>
      </c>
      <c r="B152" t="s">
        <v>13</v>
      </c>
      <c r="C152">
        <v>43.5</v>
      </c>
      <c r="D152">
        <v>45</v>
      </c>
      <c r="E152" t="s">
        <v>17</v>
      </c>
      <c r="F152">
        <v>20.46</v>
      </c>
      <c r="G152">
        <v>20</v>
      </c>
      <c r="H152" t="s">
        <v>17</v>
      </c>
      <c r="I152" t="str">
        <f>"060186000060"</f>
        <v>060186000060</v>
      </c>
    </row>
    <row r="153" spans="1:9" x14ac:dyDescent="0.25">
      <c r="A153" t="s">
        <v>139</v>
      </c>
      <c r="B153" t="s">
        <v>13</v>
      </c>
      <c r="C153">
        <v>30.5</v>
      </c>
      <c r="D153">
        <v>31.5</v>
      </c>
      <c r="E153" t="s">
        <v>17</v>
      </c>
      <c r="F153">
        <v>22.1</v>
      </c>
      <c r="G153">
        <v>19.84</v>
      </c>
      <c r="H153" t="s">
        <v>17</v>
      </c>
      <c r="I153" t="str">
        <f>"061089007275"</f>
        <v>061089007275</v>
      </c>
    </row>
    <row r="154" spans="1:9" x14ac:dyDescent="0.25">
      <c r="A154" t="s">
        <v>140</v>
      </c>
      <c r="B154" t="s">
        <v>13</v>
      </c>
      <c r="C154">
        <v>11.5</v>
      </c>
      <c r="D154">
        <v>11</v>
      </c>
      <c r="E154" t="s">
        <v>17</v>
      </c>
      <c r="F154">
        <v>19.48</v>
      </c>
      <c r="G154">
        <v>21.09</v>
      </c>
      <c r="H154" t="s">
        <v>17</v>
      </c>
      <c r="I154" t="str">
        <f>"064068006715"</f>
        <v>064068006715</v>
      </c>
    </row>
    <row r="155" spans="1:9" x14ac:dyDescent="0.25">
      <c r="A155" t="s">
        <v>141</v>
      </c>
      <c r="B155" t="s">
        <v>13</v>
      </c>
      <c r="C155">
        <v>16.5</v>
      </c>
      <c r="D155">
        <v>17</v>
      </c>
      <c r="E155" t="s">
        <v>17</v>
      </c>
      <c r="F155">
        <v>30.36</v>
      </c>
      <c r="G155">
        <v>30.71</v>
      </c>
      <c r="H155" t="s">
        <v>17</v>
      </c>
      <c r="I155" t="str">
        <f>"060444005836"</f>
        <v>060444005836</v>
      </c>
    </row>
    <row r="156" spans="1:9" x14ac:dyDescent="0.25">
      <c r="A156" t="s">
        <v>142</v>
      </c>
      <c r="B156" t="s">
        <v>13</v>
      </c>
      <c r="C156" t="s">
        <v>17</v>
      </c>
      <c r="D156" t="s">
        <v>14</v>
      </c>
      <c r="E156" t="s">
        <v>14</v>
      </c>
      <c r="F156" t="s">
        <v>17</v>
      </c>
      <c r="G156" t="s">
        <v>14</v>
      </c>
      <c r="H156" t="s">
        <v>14</v>
      </c>
      <c r="I156" t="str">
        <f>"069104713266"</f>
        <v>069104713266</v>
      </c>
    </row>
    <row r="157" spans="1:9" x14ac:dyDescent="0.25">
      <c r="A157" t="s">
        <v>143</v>
      </c>
      <c r="B157" t="s">
        <v>13</v>
      </c>
      <c r="C157">
        <v>11.92</v>
      </c>
      <c r="D157">
        <v>13.35</v>
      </c>
      <c r="E157" t="s">
        <v>17</v>
      </c>
      <c r="F157">
        <v>26.76</v>
      </c>
      <c r="G157">
        <v>22.47</v>
      </c>
      <c r="H157" t="s">
        <v>17</v>
      </c>
      <c r="I157" t="str">
        <f>"063432011766"</f>
        <v>063432011766</v>
      </c>
    </row>
    <row r="158" spans="1:9" x14ac:dyDescent="0.25">
      <c r="A158" t="s">
        <v>144</v>
      </c>
      <c r="B158" t="s">
        <v>13</v>
      </c>
      <c r="C158">
        <v>18.86</v>
      </c>
      <c r="D158">
        <v>10</v>
      </c>
      <c r="E158" t="s">
        <v>17</v>
      </c>
      <c r="F158">
        <v>17.66</v>
      </c>
      <c r="G158">
        <v>25.9</v>
      </c>
      <c r="H158" t="s">
        <v>17</v>
      </c>
      <c r="I158" t="str">
        <f>"064251012655"</f>
        <v>064251012655</v>
      </c>
    </row>
    <row r="159" spans="1:9" x14ac:dyDescent="0.25">
      <c r="A159" t="s">
        <v>145</v>
      </c>
      <c r="B159" t="s">
        <v>13</v>
      </c>
      <c r="C159">
        <v>3</v>
      </c>
      <c r="D159">
        <v>4.01</v>
      </c>
      <c r="E159" t="s">
        <v>17</v>
      </c>
      <c r="F159">
        <v>29.67</v>
      </c>
      <c r="G159">
        <v>26.93</v>
      </c>
      <c r="H159" t="s">
        <v>17</v>
      </c>
      <c r="I159" t="str">
        <f>"062271002976"</f>
        <v>062271002976</v>
      </c>
    </row>
    <row r="160" spans="1:9" x14ac:dyDescent="0.25">
      <c r="A160" t="s">
        <v>146</v>
      </c>
      <c r="B160" t="s">
        <v>13</v>
      </c>
      <c r="C160">
        <v>28.7</v>
      </c>
      <c r="D160">
        <v>18</v>
      </c>
      <c r="E160" t="s">
        <v>17</v>
      </c>
      <c r="F160">
        <v>25.02</v>
      </c>
      <c r="G160">
        <v>40.89</v>
      </c>
      <c r="H160" t="s">
        <v>17</v>
      </c>
      <c r="I160" t="str">
        <f>"063384005219"</f>
        <v>063384005219</v>
      </c>
    </row>
    <row r="161" spans="1:9" x14ac:dyDescent="0.25">
      <c r="A161" t="s">
        <v>147</v>
      </c>
      <c r="B161" t="s">
        <v>13</v>
      </c>
      <c r="C161">
        <v>26.84</v>
      </c>
      <c r="D161">
        <v>25.14</v>
      </c>
      <c r="E161" t="s">
        <v>17</v>
      </c>
      <c r="F161">
        <v>17.59</v>
      </c>
      <c r="G161">
        <v>19.29</v>
      </c>
      <c r="H161" t="s">
        <v>17</v>
      </c>
      <c r="I161" t="str">
        <f>"063581009635"</f>
        <v>063581009635</v>
      </c>
    </row>
    <row r="162" spans="1:9" x14ac:dyDescent="0.25">
      <c r="A162" t="s">
        <v>148</v>
      </c>
      <c r="B162" t="s">
        <v>13</v>
      </c>
      <c r="C162">
        <v>11.5</v>
      </c>
      <c r="D162">
        <v>11.9</v>
      </c>
      <c r="E162" t="s">
        <v>17</v>
      </c>
      <c r="F162">
        <v>21.3</v>
      </c>
      <c r="G162">
        <v>17.309999999999999</v>
      </c>
      <c r="H162" t="s">
        <v>17</v>
      </c>
      <c r="I162" t="str">
        <f>"064347007028"</f>
        <v>064347007028</v>
      </c>
    </row>
    <row r="163" spans="1:9" x14ac:dyDescent="0.25">
      <c r="A163" t="s">
        <v>149</v>
      </c>
      <c r="B163" t="s">
        <v>13</v>
      </c>
      <c r="C163">
        <v>14.02</v>
      </c>
      <c r="D163">
        <v>16</v>
      </c>
      <c r="E163" t="s">
        <v>17</v>
      </c>
      <c r="F163">
        <v>25.46</v>
      </c>
      <c r="G163">
        <v>24.13</v>
      </c>
      <c r="H163" t="s">
        <v>17</v>
      </c>
      <c r="I163" t="str">
        <f>"063462005818"</f>
        <v>063462005818</v>
      </c>
    </row>
    <row r="164" spans="1:9" x14ac:dyDescent="0.25">
      <c r="A164" t="s">
        <v>149</v>
      </c>
      <c r="B164" t="s">
        <v>13</v>
      </c>
      <c r="C164">
        <v>27</v>
      </c>
      <c r="D164">
        <v>28</v>
      </c>
      <c r="E164" t="s">
        <v>17</v>
      </c>
      <c r="F164">
        <v>24.89</v>
      </c>
      <c r="G164">
        <v>24.21</v>
      </c>
      <c r="H164" t="s">
        <v>17</v>
      </c>
      <c r="I164" t="str">
        <f>"062343003564"</f>
        <v>062343003564</v>
      </c>
    </row>
    <row r="165" spans="1:9" x14ac:dyDescent="0.25">
      <c r="A165" t="s">
        <v>150</v>
      </c>
      <c r="B165" t="s">
        <v>13</v>
      </c>
      <c r="C165">
        <v>29</v>
      </c>
      <c r="D165">
        <v>33</v>
      </c>
      <c r="E165" t="s">
        <v>17</v>
      </c>
      <c r="F165">
        <v>25.69</v>
      </c>
      <c r="G165">
        <v>22.58</v>
      </c>
      <c r="H165" t="s">
        <v>17</v>
      </c>
      <c r="I165" t="str">
        <f>"062513009156"</f>
        <v>062513009156</v>
      </c>
    </row>
    <row r="166" spans="1:9" x14ac:dyDescent="0.25">
      <c r="A166" t="s">
        <v>151</v>
      </c>
      <c r="B166" t="s">
        <v>13</v>
      </c>
      <c r="C166">
        <v>1</v>
      </c>
      <c r="D166">
        <v>1</v>
      </c>
      <c r="E166" t="s">
        <v>17</v>
      </c>
      <c r="F166">
        <v>24</v>
      </c>
      <c r="G166">
        <v>15</v>
      </c>
      <c r="H166" t="s">
        <v>17</v>
      </c>
      <c r="I166" t="str">
        <f>"062448008196"</f>
        <v>062448008196</v>
      </c>
    </row>
    <row r="167" spans="1:9" x14ac:dyDescent="0.25">
      <c r="A167" t="s">
        <v>152</v>
      </c>
      <c r="B167" t="s">
        <v>13</v>
      </c>
      <c r="C167">
        <v>13</v>
      </c>
      <c r="D167">
        <v>16.010000000000002</v>
      </c>
      <c r="E167" t="s">
        <v>17</v>
      </c>
      <c r="F167">
        <v>22.38</v>
      </c>
      <c r="G167">
        <v>21.86</v>
      </c>
      <c r="H167" t="s">
        <v>17</v>
      </c>
      <c r="I167" t="str">
        <f>"062271002803"</f>
        <v>062271002803</v>
      </c>
    </row>
    <row r="168" spans="1:9" x14ac:dyDescent="0.25">
      <c r="A168" t="s">
        <v>153</v>
      </c>
      <c r="B168" t="s">
        <v>13</v>
      </c>
      <c r="C168">
        <v>35.5</v>
      </c>
      <c r="D168">
        <v>38.83</v>
      </c>
      <c r="E168" t="s">
        <v>17</v>
      </c>
      <c r="F168">
        <v>27.01</v>
      </c>
      <c r="G168">
        <v>24.39</v>
      </c>
      <c r="H168" t="s">
        <v>17</v>
      </c>
      <c r="I168" t="str">
        <f>"063132004834"</f>
        <v>063132004834</v>
      </c>
    </row>
    <row r="169" spans="1:9" x14ac:dyDescent="0.25">
      <c r="A169" t="s">
        <v>153</v>
      </c>
      <c r="B169" t="s">
        <v>13</v>
      </c>
      <c r="C169">
        <v>33.369999999999997</v>
      </c>
      <c r="D169">
        <v>33.56</v>
      </c>
      <c r="E169" t="s">
        <v>17</v>
      </c>
      <c r="F169">
        <v>27.06</v>
      </c>
      <c r="G169">
        <v>25.63</v>
      </c>
      <c r="H169" t="s">
        <v>17</v>
      </c>
      <c r="I169" t="str">
        <f>"063315005130"</f>
        <v>063315005130</v>
      </c>
    </row>
    <row r="170" spans="1:9" x14ac:dyDescent="0.25">
      <c r="A170" t="s">
        <v>153</v>
      </c>
      <c r="B170" t="s">
        <v>13</v>
      </c>
      <c r="C170">
        <v>10.8</v>
      </c>
      <c r="D170">
        <v>11.8</v>
      </c>
      <c r="E170" t="s">
        <v>17</v>
      </c>
      <c r="F170">
        <v>18.149999999999999</v>
      </c>
      <c r="G170">
        <v>15.93</v>
      </c>
      <c r="H170" t="s">
        <v>17</v>
      </c>
      <c r="I170" t="str">
        <f>"063432005408"</f>
        <v>063432005408</v>
      </c>
    </row>
    <row r="171" spans="1:9" x14ac:dyDescent="0.25">
      <c r="A171" t="s">
        <v>154</v>
      </c>
      <c r="B171" t="s">
        <v>13</v>
      </c>
      <c r="C171">
        <v>27</v>
      </c>
      <c r="D171">
        <v>29</v>
      </c>
      <c r="E171" t="s">
        <v>17</v>
      </c>
      <c r="F171">
        <v>24.07</v>
      </c>
      <c r="G171">
        <v>23.24</v>
      </c>
      <c r="H171" t="s">
        <v>17</v>
      </c>
      <c r="I171" t="str">
        <f>"062271002804"</f>
        <v>062271002804</v>
      </c>
    </row>
    <row r="172" spans="1:9" x14ac:dyDescent="0.25">
      <c r="A172" t="s">
        <v>155</v>
      </c>
      <c r="B172" t="s">
        <v>13</v>
      </c>
      <c r="C172">
        <v>26.5</v>
      </c>
      <c r="D172">
        <v>28.2</v>
      </c>
      <c r="E172" t="s">
        <v>17</v>
      </c>
      <c r="F172">
        <v>20.53</v>
      </c>
      <c r="G172">
        <v>19.010000000000002</v>
      </c>
      <c r="H172" t="s">
        <v>17</v>
      </c>
      <c r="I172" t="str">
        <f>"063877011005"</f>
        <v>063877011005</v>
      </c>
    </row>
    <row r="173" spans="1:9" x14ac:dyDescent="0.25">
      <c r="A173" t="s">
        <v>156</v>
      </c>
      <c r="B173" t="s">
        <v>13</v>
      </c>
      <c r="C173">
        <v>11.79</v>
      </c>
      <c r="D173">
        <v>10.99</v>
      </c>
      <c r="E173" t="s">
        <v>17</v>
      </c>
      <c r="F173">
        <v>26.21</v>
      </c>
      <c r="G173">
        <v>21.66</v>
      </c>
      <c r="H173" t="s">
        <v>17</v>
      </c>
      <c r="I173" t="str">
        <f>"063735011593"</f>
        <v>063735011593</v>
      </c>
    </row>
    <row r="174" spans="1:9" x14ac:dyDescent="0.25">
      <c r="A174" t="s">
        <v>157</v>
      </c>
      <c r="B174" t="s">
        <v>13</v>
      </c>
      <c r="C174">
        <v>66.12</v>
      </c>
      <c r="D174">
        <v>65.430000000000007</v>
      </c>
      <c r="E174" t="s">
        <v>17</v>
      </c>
      <c r="F174">
        <v>19.04</v>
      </c>
      <c r="G174">
        <v>19.7</v>
      </c>
      <c r="H174" t="s">
        <v>17</v>
      </c>
      <c r="I174" t="str">
        <f>"061392001585"</f>
        <v>061392001585</v>
      </c>
    </row>
    <row r="175" spans="1:9" x14ac:dyDescent="0.25">
      <c r="A175" t="s">
        <v>158</v>
      </c>
      <c r="B175" t="s">
        <v>13</v>
      </c>
      <c r="C175">
        <v>26</v>
      </c>
      <c r="D175">
        <v>27</v>
      </c>
      <c r="E175" t="s">
        <v>17</v>
      </c>
      <c r="F175">
        <v>30.85</v>
      </c>
      <c r="G175">
        <v>30.78</v>
      </c>
      <c r="H175" t="s">
        <v>17</v>
      </c>
      <c r="I175" t="str">
        <f>"068450007373"</f>
        <v>068450007373</v>
      </c>
    </row>
    <row r="176" spans="1:9" x14ac:dyDescent="0.25">
      <c r="A176" t="s">
        <v>159</v>
      </c>
      <c r="B176" t="s">
        <v>13</v>
      </c>
      <c r="C176">
        <v>9.0500000000000007</v>
      </c>
      <c r="D176">
        <v>9.0500000000000007</v>
      </c>
      <c r="E176" t="s">
        <v>17</v>
      </c>
      <c r="F176">
        <v>8.84</v>
      </c>
      <c r="G176">
        <v>7.85</v>
      </c>
      <c r="H176" t="s">
        <v>17</v>
      </c>
      <c r="I176" t="str">
        <f>"062580011025"</f>
        <v>062580011025</v>
      </c>
    </row>
    <row r="177" spans="1:9" x14ac:dyDescent="0.25">
      <c r="A177" t="s">
        <v>160</v>
      </c>
      <c r="B177" t="s">
        <v>13</v>
      </c>
      <c r="C177">
        <v>20.05</v>
      </c>
      <c r="D177">
        <v>19.600000000000001</v>
      </c>
      <c r="E177" t="s">
        <v>17</v>
      </c>
      <c r="F177">
        <v>26.53</v>
      </c>
      <c r="G177">
        <v>24.59</v>
      </c>
      <c r="H177" t="s">
        <v>17</v>
      </c>
      <c r="I177" t="str">
        <f>"061692002149"</f>
        <v>061692002149</v>
      </c>
    </row>
    <row r="178" spans="1:9" x14ac:dyDescent="0.25">
      <c r="A178" t="s">
        <v>161</v>
      </c>
      <c r="B178" t="s">
        <v>13</v>
      </c>
      <c r="C178">
        <v>60</v>
      </c>
      <c r="D178">
        <v>67</v>
      </c>
      <c r="E178" t="s">
        <v>17</v>
      </c>
      <c r="F178">
        <v>26.05</v>
      </c>
      <c r="G178">
        <v>25.06</v>
      </c>
      <c r="H178" t="s">
        <v>17</v>
      </c>
      <c r="I178" t="str">
        <f>"062271003011"</f>
        <v>062271003011</v>
      </c>
    </row>
    <row r="179" spans="1:9" x14ac:dyDescent="0.25">
      <c r="A179" t="s">
        <v>162</v>
      </c>
      <c r="B179" t="s">
        <v>13</v>
      </c>
      <c r="C179">
        <v>25.28</v>
      </c>
      <c r="D179">
        <v>31.17</v>
      </c>
      <c r="E179" t="s">
        <v>17</v>
      </c>
      <c r="F179">
        <v>33.229999999999997</v>
      </c>
      <c r="G179">
        <v>27.53</v>
      </c>
      <c r="H179" t="s">
        <v>17</v>
      </c>
      <c r="I179" t="str">
        <f>"063801011783"</f>
        <v>063801011783</v>
      </c>
    </row>
    <row r="180" spans="1:9" x14ac:dyDescent="0.25">
      <c r="A180" t="s">
        <v>163</v>
      </c>
      <c r="B180" t="s">
        <v>13</v>
      </c>
      <c r="C180">
        <v>122.34</v>
      </c>
      <c r="D180">
        <v>123.15</v>
      </c>
      <c r="E180" t="s">
        <v>17</v>
      </c>
      <c r="F180">
        <v>24.91</v>
      </c>
      <c r="G180">
        <v>24.32</v>
      </c>
      <c r="H180" t="s">
        <v>17</v>
      </c>
      <c r="I180" t="str">
        <f>"062271003064"</f>
        <v>062271003064</v>
      </c>
    </row>
    <row r="181" spans="1:9" x14ac:dyDescent="0.25">
      <c r="A181" t="s">
        <v>164</v>
      </c>
      <c r="B181" t="s">
        <v>13</v>
      </c>
      <c r="C181">
        <v>18</v>
      </c>
      <c r="D181">
        <v>16</v>
      </c>
      <c r="E181" t="s">
        <v>17</v>
      </c>
      <c r="F181">
        <v>26.22</v>
      </c>
      <c r="G181">
        <v>27.69</v>
      </c>
      <c r="H181" t="s">
        <v>17</v>
      </c>
      <c r="I181" t="str">
        <f>"062450003672"</f>
        <v>062450003672</v>
      </c>
    </row>
    <row r="182" spans="1:9" x14ac:dyDescent="0.25">
      <c r="A182" t="s">
        <v>165</v>
      </c>
      <c r="B182" t="s">
        <v>13</v>
      </c>
      <c r="C182">
        <v>8.82</v>
      </c>
      <c r="D182">
        <v>9.92</v>
      </c>
      <c r="E182" t="s">
        <v>17</v>
      </c>
      <c r="F182">
        <v>12.93</v>
      </c>
      <c r="G182">
        <v>13.21</v>
      </c>
      <c r="H182" t="s">
        <v>17</v>
      </c>
      <c r="I182" t="str">
        <f>"060189000064"</f>
        <v>060189000064</v>
      </c>
    </row>
    <row r="183" spans="1:9" x14ac:dyDescent="0.25">
      <c r="A183" t="s">
        <v>166</v>
      </c>
      <c r="B183" t="s">
        <v>13</v>
      </c>
      <c r="C183">
        <v>30</v>
      </c>
      <c r="D183">
        <v>32</v>
      </c>
      <c r="E183" t="s">
        <v>17</v>
      </c>
      <c r="F183">
        <v>23.73</v>
      </c>
      <c r="G183">
        <v>24.81</v>
      </c>
      <c r="H183" t="s">
        <v>17</v>
      </c>
      <c r="I183" t="str">
        <f>"062271002805"</f>
        <v>062271002805</v>
      </c>
    </row>
    <row r="184" spans="1:9" x14ac:dyDescent="0.25">
      <c r="A184" t="s">
        <v>167</v>
      </c>
      <c r="B184" t="s">
        <v>13</v>
      </c>
      <c r="C184">
        <v>77.83</v>
      </c>
      <c r="D184">
        <v>81.19</v>
      </c>
      <c r="E184" t="s">
        <v>17</v>
      </c>
      <c r="F184">
        <v>32.020000000000003</v>
      </c>
      <c r="G184">
        <v>29.89</v>
      </c>
      <c r="H184" t="s">
        <v>17</v>
      </c>
      <c r="I184" t="str">
        <f>"062271003225"</f>
        <v>062271003225</v>
      </c>
    </row>
    <row r="185" spans="1:9" x14ac:dyDescent="0.25">
      <c r="A185" t="s">
        <v>168</v>
      </c>
      <c r="B185" t="s">
        <v>13</v>
      </c>
      <c r="C185">
        <v>38.200000000000003</v>
      </c>
      <c r="D185">
        <v>38.75</v>
      </c>
      <c r="E185" t="s">
        <v>17</v>
      </c>
      <c r="F185">
        <v>22.96</v>
      </c>
      <c r="G185">
        <v>23.15</v>
      </c>
      <c r="H185" t="s">
        <v>17</v>
      </c>
      <c r="I185" t="str">
        <f>"062619000454"</f>
        <v>062619000454</v>
      </c>
    </row>
    <row r="186" spans="1:9" x14ac:dyDescent="0.25">
      <c r="A186" t="s">
        <v>169</v>
      </c>
      <c r="B186" t="s">
        <v>13</v>
      </c>
      <c r="C186">
        <v>101.72</v>
      </c>
      <c r="D186">
        <v>109.6</v>
      </c>
      <c r="E186" t="s">
        <v>17</v>
      </c>
      <c r="F186">
        <v>27.34</v>
      </c>
      <c r="G186">
        <v>26.39</v>
      </c>
      <c r="H186" t="s">
        <v>17</v>
      </c>
      <c r="I186" t="str">
        <f>"060015310929"</f>
        <v>060015310929</v>
      </c>
    </row>
    <row r="187" spans="1:9" x14ac:dyDescent="0.25">
      <c r="A187" t="s">
        <v>170</v>
      </c>
      <c r="B187" t="s">
        <v>13</v>
      </c>
      <c r="C187">
        <v>56.6</v>
      </c>
      <c r="D187">
        <v>56</v>
      </c>
      <c r="E187" t="s">
        <v>17</v>
      </c>
      <c r="F187">
        <v>22.01</v>
      </c>
      <c r="G187">
        <v>23.18</v>
      </c>
      <c r="H187" t="s">
        <v>17</v>
      </c>
      <c r="I187" t="str">
        <f>"062403003612"</f>
        <v>062403003612</v>
      </c>
    </row>
    <row r="188" spans="1:9" x14ac:dyDescent="0.25">
      <c r="A188" t="s">
        <v>171</v>
      </c>
      <c r="B188" t="s">
        <v>13</v>
      </c>
      <c r="C188">
        <v>28</v>
      </c>
      <c r="D188">
        <v>27</v>
      </c>
      <c r="E188" t="s">
        <v>17</v>
      </c>
      <c r="F188">
        <v>23.29</v>
      </c>
      <c r="G188">
        <v>23.44</v>
      </c>
      <c r="H188" t="s">
        <v>17</v>
      </c>
      <c r="I188" t="str">
        <f>"062949004554"</f>
        <v>062949004554</v>
      </c>
    </row>
    <row r="189" spans="1:9" x14ac:dyDescent="0.25">
      <c r="A189" t="s">
        <v>172</v>
      </c>
      <c r="B189" t="s">
        <v>13</v>
      </c>
      <c r="C189">
        <v>44</v>
      </c>
      <c r="D189">
        <v>42.25</v>
      </c>
      <c r="E189" t="s">
        <v>17</v>
      </c>
      <c r="F189">
        <v>27.05</v>
      </c>
      <c r="G189">
        <v>27.31</v>
      </c>
      <c r="H189" t="s">
        <v>17</v>
      </c>
      <c r="I189" t="str">
        <f>"062085002501"</f>
        <v>062085002501</v>
      </c>
    </row>
    <row r="190" spans="1:9" x14ac:dyDescent="0.25">
      <c r="A190" t="s">
        <v>173</v>
      </c>
      <c r="B190" t="s">
        <v>13</v>
      </c>
      <c r="C190">
        <v>22.4</v>
      </c>
      <c r="D190">
        <v>21.4</v>
      </c>
      <c r="E190" t="s">
        <v>17</v>
      </c>
      <c r="F190">
        <v>20.49</v>
      </c>
      <c r="G190">
        <v>22.1</v>
      </c>
      <c r="H190" t="s">
        <v>17</v>
      </c>
      <c r="I190" t="str">
        <f>"060005201475"</f>
        <v>060005201475</v>
      </c>
    </row>
    <row r="191" spans="1:9" x14ac:dyDescent="0.25">
      <c r="A191" t="s">
        <v>173</v>
      </c>
      <c r="B191" t="s">
        <v>13</v>
      </c>
      <c r="C191">
        <v>34</v>
      </c>
      <c r="D191">
        <v>33</v>
      </c>
      <c r="E191" t="s">
        <v>17</v>
      </c>
      <c r="F191">
        <v>22.85</v>
      </c>
      <c r="G191">
        <v>23.76</v>
      </c>
      <c r="H191" t="s">
        <v>17</v>
      </c>
      <c r="I191" t="str">
        <f>"060939007687"</f>
        <v>060939007687</v>
      </c>
    </row>
    <row r="192" spans="1:9" x14ac:dyDescent="0.25">
      <c r="A192" t="s">
        <v>174</v>
      </c>
      <c r="B192" t="s">
        <v>13</v>
      </c>
      <c r="C192">
        <v>18</v>
      </c>
      <c r="D192">
        <v>16.399999999999999</v>
      </c>
      <c r="E192" t="s">
        <v>17</v>
      </c>
      <c r="F192">
        <v>30.56</v>
      </c>
      <c r="G192">
        <v>29.63</v>
      </c>
      <c r="H192" t="s">
        <v>17</v>
      </c>
      <c r="I192" t="str">
        <f>"063384007242"</f>
        <v>063384007242</v>
      </c>
    </row>
    <row r="193" spans="1:9" x14ac:dyDescent="0.25">
      <c r="A193" t="s">
        <v>175</v>
      </c>
      <c r="B193" t="s">
        <v>13</v>
      </c>
      <c r="C193">
        <v>31.91</v>
      </c>
      <c r="D193">
        <v>34.299999999999997</v>
      </c>
      <c r="E193" t="s">
        <v>17</v>
      </c>
      <c r="F193">
        <v>26.04</v>
      </c>
      <c r="G193">
        <v>25.34</v>
      </c>
      <c r="H193" t="s">
        <v>17</v>
      </c>
      <c r="I193" t="str">
        <f>"062100011298"</f>
        <v>062100011298</v>
      </c>
    </row>
    <row r="194" spans="1:9" x14ac:dyDescent="0.25">
      <c r="A194" t="s">
        <v>176</v>
      </c>
      <c r="B194" t="s">
        <v>13</v>
      </c>
      <c r="C194">
        <v>19</v>
      </c>
      <c r="D194">
        <v>22.5</v>
      </c>
      <c r="E194" t="s">
        <v>17</v>
      </c>
      <c r="F194">
        <v>26.16</v>
      </c>
      <c r="G194">
        <v>23.78</v>
      </c>
      <c r="H194" t="s">
        <v>17</v>
      </c>
      <c r="I194" t="str">
        <f>"061218001369"</f>
        <v>061218001369</v>
      </c>
    </row>
    <row r="195" spans="1:9" x14ac:dyDescent="0.25">
      <c r="A195" t="s">
        <v>177</v>
      </c>
      <c r="B195" t="s">
        <v>13</v>
      </c>
      <c r="C195">
        <v>15</v>
      </c>
      <c r="D195">
        <v>16</v>
      </c>
      <c r="E195" t="s">
        <v>17</v>
      </c>
      <c r="F195">
        <v>23.4</v>
      </c>
      <c r="G195">
        <v>22.81</v>
      </c>
      <c r="H195" t="s">
        <v>17</v>
      </c>
      <c r="I195" t="str">
        <f>"060360000271"</f>
        <v>060360000271</v>
      </c>
    </row>
    <row r="196" spans="1:9" x14ac:dyDescent="0.25">
      <c r="A196" t="s">
        <v>178</v>
      </c>
      <c r="B196" t="s">
        <v>13</v>
      </c>
      <c r="C196">
        <v>18.02</v>
      </c>
      <c r="D196">
        <v>16.8</v>
      </c>
      <c r="E196" t="s">
        <v>17</v>
      </c>
      <c r="F196">
        <v>24.75</v>
      </c>
      <c r="G196">
        <v>24.82</v>
      </c>
      <c r="H196" t="s">
        <v>17</v>
      </c>
      <c r="I196" t="str">
        <f>"061269004134"</f>
        <v>061269004134</v>
      </c>
    </row>
    <row r="197" spans="1:9" x14ac:dyDescent="0.25">
      <c r="A197" t="s">
        <v>179</v>
      </c>
      <c r="B197" t="s">
        <v>13</v>
      </c>
      <c r="C197">
        <v>24</v>
      </c>
      <c r="D197">
        <v>23.45</v>
      </c>
      <c r="E197" t="s">
        <v>17</v>
      </c>
      <c r="F197">
        <v>27.13</v>
      </c>
      <c r="G197">
        <v>26.52</v>
      </c>
      <c r="H197" t="s">
        <v>17</v>
      </c>
      <c r="I197" t="str">
        <f>"062871004468"</f>
        <v>062871004468</v>
      </c>
    </row>
    <row r="198" spans="1:9" x14ac:dyDescent="0.25">
      <c r="A198" t="s">
        <v>180</v>
      </c>
      <c r="B198" t="s">
        <v>13</v>
      </c>
      <c r="C198">
        <v>29.95</v>
      </c>
      <c r="D198">
        <v>28.5</v>
      </c>
      <c r="E198" t="s">
        <v>17</v>
      </c>
      <c r="F198">
        <v>26.44</v>
      </c>
      <c r="G198">
        <v>28.67</v>
      </c>
      <c r="H198" t="s">
        <v>17</v>
      </c>
      <c r="I198" t="str">
        <f>"060846000836"</f>
        <v>060846000836</v>
      </c>
    </row>
    <row r="199" spans="1:9" x14ac:dyDescent="0.25">
      <c r="A199" t="s">
        <v>181</v>
      </c>
      <c r="B199" t="s">
        <v>13</v>
      </c>
      <c r="C199">
        <v>22</v>
      </c>
      <c r="D199">
        <v>23</v>
      </c>
      <c r="E199" t="s">
        <v>17</v>
      </c>
      <c r="F199">
        <v>24.86</v>
      </c>
      <c r="G199">
        <v>25.22</v>
      </c>
      <c r="H199" t="s">
        <v>17</v>
      </c>
      <c r="I199" t="str">
        <f>"062460009581"</f>
        <v>062460009581</v>
      </c>
    </row>
    <row r="200" spans="1:9" x14ac:dyDescent="0.25">
      <c r="A200" t="s">
        <v>182</v>
      </c>
      <c r="B200" t="s">
        <v>13</v>
      </c>
      <c r="C200">
        <v>25</v>
      </c>
      <c r="D200">
        <v>25</v>
      </c>
      <c r="E200" t="s">
        <v>17</v>
      </c>
      <c r="F200">
        <v>26.56</v>
      </c>
      <c r="G200">
        <v>25.92</v>
      </c>
      <c r="H200" t="s">
        <v>17</v>
      </c>
      <c r="I200" t="str">
        <f>"061176010446"</f>
        <v>061176010446</v>
      </c>
    </row>
    <row r="201" spans="1:9" x14ac:dyDescent="0.25">
      <c r="A201" t="s">
        <v>183</v>
      </c>
      <c r="B201" t="s">
        <v>13</v>
      </c>
      <c r="C201">
        <v>24</v>
      </c>
      <c r="D201">
        <v>23</v>
      </c>
      <c r="E201" t="s">
        <v>17</v>
      </c>
      <c r="F201">
        <v>29.71</v>
      </c>
      <c r="G201">
        <v>28.91</v>
      </c>
      <c r="H201" t="s">
        <v>17</v>
      </c>
      <c r="I201" t="str">
        <f>"060195000082"</f>
        <v>060195000082</v>
      </c>
    </row>
    <row r="202" spans="1:9" x14ac:dyDescent="0.25">
      <c r="A202" t="s">
        <v>184</v>
      </c>
      <c r="B202" t="s">
        <v>13</v>
      </c>
      <c r="C202">
        <v>26.42</v>
      </c>
      <c r="D202">
        <v>30.03</v>
      </c>
      <c r="E202" t="s">
        <v>17</v>
      </c>
      <c r="F202">
        <v>22.45</v>
      </c>
      <c r="G202">
        <v>21.08</v>
      </c>
      <c r="H202" t="s">
        <v>17</v>
      </c>
      <c r="I202" t="str">
        <f>"060002009285"</f>
        <v>060002009285</v>
      </c>
    </row>
    <row r="203" spans="1:9" x14ac:dyDescent="0.25">
      <c r="A203" t="s">
        <v>185</v>
      </c>
      <c r="B203" t="s">
        <v>13</v>
      </c>
      <c r="C203">
        <v>98.64</v>
      </c>
      <c r="D203">
        <v>100.75</v>
      </c>
      <c r="E203" t="s">
        <v>17</v>
      </c>
      <c r="F203">
        <v>24.58</v>
      </c>
      <c r="G203">
        <v>23.65</v>
      </c>
      <c r="H203" t="s">
        <v>17</v>
      </c>
      <c r="I203" t="str">
        <f>"063398005332"</f>
        <v>063398005332</v>
      </c>
    </row>
    <row r="204" spans="1:9" x14ac:dyDescent="0.25">
      <c r="A204" t="s">
        <v>186</v>
      </c>
      <c r="B204" t="s">
        <v>13</v>
      </c>
      <c r="C204">
        <v>17</v>
      </c>
      <c r="D204">
        <v>19</v>
      </c>
      <c r="E204" t="s">
        <v>17</v>
      </c>
      <c r="F204">
        <v>26.06</v>
      </c>
      <c r="G204">
        <v>23.58</v>
      </c>
      <c r="H204" t="s">
        <v>17</v>
      </c>
      <c r="I204" t="str">
        <f>"060756000724"</f>
        <v>060756000724</v>
      </c>
    </row>
    <row r="205" spans="1:9" x14ac:dyDescent="0.25">
      <c r="A205" t="s">
        <v>186</v>
      </c>
      <c r="B205" t="s">
        <v>13</v>
      </c>
      <c r="C205" t="s">
        <v>14</v>
      </c>
      <c r="D205" t="s">
        <v>14</v>
      </c>
      <c r="E205" t="s">
        <v>17</v>
      </c>
      <c r="F205" t="s">
        <v>14</v>
      </c>
      <c r="G205" t="s">
        <v>14</v>
      </c>
      <c r="H205" t="s">
        <v>17</v>
      </c>
      <c r="I205" t="str">
        <f>"063386005292"</f>
        <v>063386005292</v>
      </c>
    </row>
    <row r="206" spans="1:9" x14ac:dyDescent="0.25">
      <c r="A206" t="s">
        <v>187</v>
      </c>
      <c r="B206" t="s">
        <v>13</v>
      </c>
      <c r="C206">
        <v>97.12</v>
      </c>
      <c r="D206">
        <v>105.47</v>
      </c>
      <c r="E206" t="s">
        <v>17</v>
      </c>
      <c r="F206">
        <v>30.82</v>
      </c>
      <c r="G206">
        <v>28.18</v>
      </c>
      <c r="H206" t="s">
        <v>17</v>
      </c>
      <c r="I206" t="str">
        <f>"060744002328"</f>
        <v>060744002328</v>
      </c>
    </row>
    <row r="207" spans="1:9" x14ac:dyDescent="0.25">
      <c r="A207" t="s">
        <v>188</v>
      </c>
      <c r="B207" t="s">
        <v>13</v>
      </c>
      <c r="C207">
        <v>39.25</v>
      </c>
      <c r="D207">
        <v>40.450000000000003</v>
      </c>
      <c r="E207" t="s">
        <v>17</v>
      </c>
      <c r="F207">
        <v>27.77</v>
      </c>
      <c r="G207">
        <v>26.72</v>
      </c>
      <c r="H207" t="s">
        <v>17</v>
      </c>
      <c r="I207" t="str">
        <f>"060744002334"</f>
        <v>060744002334</v>
      </c>
    </row>
    <row r="208" spans="1:9" x14ac:dyDescent="0.25">
      <c r="A208" t="s">
        <v>189</v>
      </c>
      <c r="B208" t="s">
        <v>13</v>
      </c>
      <c r="C208">
        <v>4</v>
      </c>
      <c r="D208" t="s">
        <v>17</v>
      </c>
      <c r="E208" t="s">
        <v>17</v>
      </c>
      <c r="F208">
        <v>17</v>
      </c>
      <c r="G208" t="s">
        <v>17</v>
      </c>
      <c r="H208" t="s">
        <v>17</v>
      </c>
      <c r="I208" t="str">
        <f>"060004210387"</f>
        <v>060004210387</v>
      </c>
    </row>
    <row r="209" spans="1:9" x14ac:dyDescent="0.25">
      <c r="A209" t="s">
        <v>190</v>
      </c>
      <c r="B209" t="s">
        <v>13</v>
      </c>
      <c r="C209">
        <v>1.6</v>
      </c>
      <c r="D209" t="s">
        <v>17</v>
      </c>
      <c r="E209" t="s">
        <v>17</v>
      </c>
      <c r="F209">
        <v>18.75</v>
      </c>
      <c r="G209" t="s">
        <v>17</v>
      </c>
      <c r="H209" t="s">
        <v>17</v>
      </c>
      <c r="I209" t="str">
        <f>"060004212735"</f>
        <v>060004212735</v>
      </c>
    </row>
    <row r="210" spans="1:9" x14ac:dyDescent="0.25">
      <c r="A210" t="s">
        <v>191</v>
      </c>
      <c r="B210" t="s">
        <v>13</v>
      </c>
      <c r="C210">
        <v>20</v>
      </c>
      <c r="D210">
        <v>22</v>
      </c>
      <c r="E210" t="s">
        <v>17</v>
      </c>
      <c r="F210">
        <v>30.4</v>
      </c>
      <c r="G210">
        <v>29.82</v>
      </c>
      <c r="H210" t="s">
        <v>17</v>
      </c>
      <c r="I210" t="str">
        <f>"060243000138"</f>
        <v>060243000138</v>
      </c>
    </row>
    <row r="211" spans="1:9" x14ac:dyDescent="0.25">
      <c r="A211" t="s">
        <v>192</v>
      </c>
      <c r="B211" t="s">
        <v>13</v>
      </c>
      <c r="C211">
        <v>30</v>
      </c>
      <c r="D211">
        <v>30</v>
      </c>
      <c r="E211" t="s">
        <v>17</v>
      </c>
      <c r="F211">
        <v>25.47</v>
      </c>
      <c r="G211">
        <v>25.33</v>
      </c>
      <c r="H211" t="s">
        <v>17</v>
      </c>
      <c r="I211" t="str">
        <f>"062460008899"</f>
        <v>062460008899</v>
      </c>
    </row>
    <row r="212" spans="1:9" x14ac:dyDescent="0.25">
      <c r="A212" t="s">
        <v>193</v>
      </c>
      <c r="B212" t="s">
        <v>13</v>
      </c>
      <c r="C212">
        <v>11.5</v>
      </c>
      <c r="D212">
        <v>12.5</v>
      </c>
      <c r="E212" t="s">
        <v>17</v>
      </c>
      <c r="F212">
        <v>30.17</v>
      </c>
      <c r="G212">
        <v>29.68</v>
      </c>
      <c r="H212" t="s">
        <v>17</v>
      </c>
      <c r="I212" t="str">
        <f>"063423005393"</f>
        <v>063423005393</v>
      </c>
    </row>
    <row r="213" spans="1:9" x14ac:dyDescent="0.25">
      <c r="A213" t="s">
        <v>194</v>
      </c>
      <c r="B213" t="s">
        <v>13</v>
      </c>
      <c r="C213">
        <v>23</v>
      </c>
      <c r="D213">
        <v>20</v>
      </c>
      <c r="E213" t="s">
        <v>17</v>
      </c>
      <c r="F213">
        <v>17.91</v>
      </c>
      <c r="G213">
        <v>20</v>
      </c>
      <c r="H213" t="s">
        <v>17</v>
      </c>
      <c r="I213" t="str">
        <f>"060861000855"</f>
        <v>060861000855</v>
      </c>
    </row>
    <row r="214" spans="1:9" x14ac:dyDescent="0.25">
      <c r="A214" t="s">
        <v>195</v>
      </c>
      <c r="B214" t="s">
        <v>13</v>
      </c>
      <c r="C214">
        <v>35.950000000000003</v>
      </c>
      <c r="D214">
        <v>39.33</v>
      </c>
      <c r="E214" t="s">
        <v>17</v>
      </c>
      <c r="F214">
        <v>22.45</v>
      </c>
      <c r="G214">
        <v>21.71</v>
      </c>
      <c r="H214" t="s">
        <v>17</v>
      </c>
      <c r="I214" t="str">
        <f>"063459005697"</f>
        <v>063459005697</v>
      </c>
    </row>
    <row r="215" spans="1:9" x14ac:dyDescent="0.25">
      <c r="A215" t="s">
        <v>196</v>
      </c>
      <c r="B215" t="s">
        <v>13</v>
      </c>
      <c r="C215">
        <v>15</v>
      </c>
      <c r="D215">
        <v>17.8</v>
      </c>
      <c r="E215" t="s">
        <v>17</v>
      </c>
      <c r="F215">
        <v>24.67</v>
      </c>
      <c r="G215">
        <v>22.08</v>
      </c>
      <c r="H215" t="s">
        <v>17</v>
      </c>
      <c r="I215" t="str">
        <f>"060561000503"</f>
        <v>060561000503</v>
      </c>
    </row>
    <row r="216" spans="1:9" x14ac:dyDescent="0.25">
      <c r="A216" t="s">
        <v>197</v>
      </c>
      <c r="B216" t="s">
        <v>13</v>
      </c>
      <c r="C216">
        <v>16</v>
      </c>
      <c r="D216">
        <v>16</v>
      </c>
      <c r="E216" t="s">
        <v>17</v>
      </c>
      <c r="F216">
        <v>26.56</v>
      </c>
      <c r="G216">
        <v>26.38</v>
      </c>
      <c r="H216" t="s">
        <v>17</v>
      </c>
      <c r="I216" t="str">
        <f>"062805004238"</f>
        <v>062805004238</v>
      </c>
    </row>
    <row r="217" spans="1:9" x14ac:dyDescent="0.25">
      <c r="A217" t="s">
        <v>198</v>
      </c>
      <c r="B217" t="s">
        <v>13</v>
      </c>
      <c r="C217">
        <v>4.33</v>
      </c>
      <c r="D217">
        <v>3.67</v>
      </c>
      <c r="E217" t="s">
        <v>17</v>
      </c>
      <c r="F217">
        <v>18.239999999999998</v>
      </c>
      <c r="G217">
        <v>22.07</v>
      </c>
      <c r="H217" t="s">
        <v>17</v>
      </c>
      <c r="I217" t="str">
        <f>"060198000086"</f>
        <v>060198000086</v>
      </c>
    </row>
    <row r="218" spans="1:9" x14ac:dyDescent="0.25">
      <c r="A218" t="s">
        <v>199</v>
      </c>
      <c r="B218" t="s">
        <v>13</v>
      </c>
      <c r="C218">
        <v>19</v>
      </c>
      <c r="D218">
        <v>20</v>
      </c>
      <c r="E218" t="s">
        <v>17</v>
      </c>
      <c r="F218">
        <v>23.63</v>
      </c>
      <c r="G218">
        <v>22.7</v>
      </c>
      <c r="H218" t="s">
        <v>17</v>
      </c>
      <c r="I218" t="str">
        <f>"062271002807"</f>
        <v>062271002807</v>
      </c>
    </row>
    <row r="219" spans="1:9" x14ac:dyDescent="0.25">
      <c r="A219" t="s">
        <v>200</v>
      </c>
      <c r="B219" t="s">
        <v>13</v>
      </c>
      <c r="C219">
        <v>14.26</v>
      </c>
      <c r="D219">
        <v>12.51</v>
      </c>
      <c r="E219" t="s">
        <v>17</v>
      </c>
      <c r="F219">
        <v>24.75</v>
      </c>
      <c r="G219">
        <v>29.1</v>
      </c>
      <c r="H219" t="s">
        <v>17</v>
      </c>
      <c r="I219" t="str">
        <f>"062805012027"</f>
        <v>062805012027</v>
      </c>
    </row>
    <row r="220" spans="1:9" x14ac:dyDescent="0.25">
      <c r="A220" t="s">
        <v>201</v>
      </c>
      <c r="B220" t="s">
        <v>13</v>
      </c>
      <c r="C220">
        <v>18</v>
      </c>
      <c r="D220">
        <v>19</v>
      </c>
      <c r="E220" t="s">
        <v>17</v>
      </c>
      <c r="F220">
        <v>25</v>
      </c>
      <c r="G220">
        <v>23.26</v>
      </c>
      <c r="H220" t="s">
        <v>17</v>
      </c>
      <c r="I220" t="str">
        <f>"062271012297"</f>
        <v>062271012297</v>
      </c>
    </row>
    <row r="221" spans="1:9" x14ac:dyDescent="0.25">
      <c r="A221" t="s">
        <v>202</v>
      </c>
      <c r="B221" t="s">
        <v>13</v>
      </c>
      <c r="C221">
        <v>18</v>
      </c>
      <c r="D221">
        <v>14</v>
      </c>
      <c r="E221" t="s">
        <v>17</v>
      </c>
      <c r="F221">
        <v>22.56</v>
      </c>
      <c r="G221">
        <v>22.57</v>
      </c>
      <c r="H221" t="s">
        <v>17</v>
      </c>
      <c r="I221" t="str">
        <f>"062271012567"</f>
        <v>062271012567</v>
      </c>
    </row>
    <row r="222" spans="1:9" x14ac:dyDescent="0.25">
      <c r="A222" t="s">
        <v>203</v>
      </c>
      <c r="B222" t="s">
        <v>13</v>
      </c>
      <c r="C222">
        <v>9.1</v>
      </c>
      <c r="D222">
        <v>6.15</v>
      </c>
      <c r="E222" t="s">
        <v>14</v>
      </c>
      <c r="F222">
        <v>20.55</v>
      </c>
      <c r="G222">
        <v>15.93</v>
      </c>
      <c r="H222" t="s">
        <v>14</v>
      </c>
      <c r="I222" t="str">
        <f>"062271012766"</f>
        <v>062271012766</v>
      </c>
    </row>
    <row r="223" spans="1:9" x14ac:dyDescent="0.25">
      <c r="A223" t="s">
        <v>204</v>
      </c>
      <c r="B223" t="s">
        <v>13</v>
      </c>
      <c r="C223" t="s">
        <v>17</v>
      </c>
      <c r="D223" t="s">
        <v>14</v>
      </c>
      <c r="E223" t="s">
        <v>14</v>
      </c>
      <c r="F223" t="s">
        <v>17</v>
      </c>
      <c r="G223" t="s">
        <v>14</v>
      </c>
      <c r="H223" t="s">
        <v>14</v>
      </c>
      <c r="I223" t="str">
        <f>"062271012924"</f>
        <v>062271012924</v>
      </c>
    </row>
    <row r="224" spans="1:9" x14ac:dyDescent="0.25">
      <c r="A224" t="s">
        <v>205</v>
      </c>
      <c r="B224" t="s">
        <v>13</v>
      </c>
      <c r="C224" t="s">
        <v>17</v>
      </c>
      <c r="D224" t="s">
        <v>14</v>
      </c>
      <c r="E224" t="s">
        <v>14</v>
      </c>
      <c r="F224" t="s">
        <v>17</v>
      </c>
      <c r="G224" t="s">
        <v>14</v>
      </c>
      <c r="H224" t="s">
        <v>14</v>
      </c>
      <c r="I224" t="str">
        <f>"062271013099"</f>
        <v>062271013099</v>
      </c>
    </row>
    <row r="225" spans="1:9" x14ac:dyDescent="0.25">
      <c r="A225" t="s">
        <v>206</v>
      </c>
      <c r="B225" t="s">
        <v>13</v>
      </c>
      <c r="C225">
        <v>33.200000000000003</v>
      </c>
      <c r="D225">
        <v>31.2</v>
      </c>
      <c r="E225" t="s">
        <v>17</v>
      </c>
      <c r="F225">
        <v>18.309999999999999</v>
      </c>
      <c r="G225">
        <v>20</v>
      </c>
      <c r="H225" t="s">
        <v>17</v>
      </c>
      <c r="I225" t="str">
        <f>"062271011632"</f>
        <v>062271011632</v>
      </c>
    </row>
    <row r="226" spans="1:9" x14ac:dyDescent="0.25">
      <c r="A226" t="s">
        <v>207</v>
      </c>
      <c r="B226" t="s">
        <v>13</v>
      </c>
      <c r="C226" t="s">
        <v>14</v>
      </c>
      <c r="D226">
        <v>23.67</v>
      </c>
      <c r="E226" t="s">
        <v>17</v>
      </c>
      <c r="F226" t="s">
        <v>17</v>
      </c>
      <c r="G226">
        <v>19.77</v>
      </c>
      <c r="H226" t="s">
        <v>17</v>
      </c>
      <c r="I226" t="str">
        <f>"062271011844"</f>
        <v>062271011844</v>
      </c>
    </row>
    <row r="227" spans="1:9" x14ac:dyDescent="0.25">
      <c r="A227" t="s">
        <v>208</v>
      </c>
      <c r="B227" t="s">
        <v>13</v>
      </c>
      <c r="C227" t="s">
        <v>17</v>
      </c>
      <c r="D227" t="s">
        <v>14</v>
      </c>
      <c r="E227" t="s">
        <v>14</v>
      </c>
      <c r="F227" t="s">
        <v>17</v>
      </c>
      <c r="G227" t="s">
        <v>14</v>
      </c>
      <c r="H227" t="s">
        <v>14</v>
      </c>
      <c r="I227" t="str">
        <f>"062271013597"</f>
        <v>062271013597</v>
      </c>
    </row>
    <row r="228" spans="1:9" x14ac:dyDescent="0.25">
      <c r="A228" t="s">
        <v>209</v>
      </c>
      <c r="B228" t="s">
        <v>13</v>
      </c>
      <c r="C228" t="s">
        <v>17</v>
      </c>
      <c r="D228" t="s">
        <v>14</v>
      </c>
      <c r="E228" t="s">
        <v>14</v>
      </c>
      <c r="F228" t="s">
        <v>17</v>
      </c>
      <c r="G228" t="s">
        <v>14</v>
      </c>
      <c r="H228" t="s">
        <v>14</v>
      </c>
      <c r="I228" t="str">
        <f>"062271013403"</f>
        <v>062271013403</v>
      </c>
    </row>
    <row r="229" spans="1:9" x14ac:dyDescent="0.25">
      <c r="A229" t="s">
        <v>210</v>
      </c>
      <c r="B229" t="s">
        <v>13</v>
      </c>
      <c r="C229">
        <v>17</v>
      </c>
      <c r="D229">
        <v>16</v>
      </c>
      <c r="E229" t="s">
        <v>17</v>
      </c>
      <c r="F229">
        <v>29.41</v>
      </c>
      <c r="G229">
        <v>30.31</v>
      </c>
      <c r="H229" t="s">
        <v>17</v>
      </c>
      <c r="I229" t="str">
        <f>"062271012528"</f>
        <v>062271012528</v>
      </c>
    </row>
    <row r="230" spans="1:9" x14ac:dyDescent="0.25">
      <c r="A230" t="s">
        <v>211</v>
      </c>
      <c r="B230" t="s">
        <v>13</v>
      </c>
      <c r="C230">
        <v>11</v>
      </c>
      <c r="D230">
        <v>11</v>
      </c>
      <c r="E230" t="s">
        <v>17</v>
      </c>
      <c r="F230">
        <v>25.36</v>
      </c>
      <c r="G230">
        <v>23.55</v>
      </c>
      <c r="H230" t="s">
        <v>17</v>
      </c>
      <c r="I230" t="str">
        <f>"062271012474"</f>
        <v>062271012474</v>
      </c>
    </row>
    <row r="231" spans="1:9" x14ac:dyDescent="0.25">
      <c r="A231" t="s">
        <v>212</v>
      </c>
      <c r="B231" t="s">
        <v>13</v>
      </c>
      <c r="C231">
        <v>15</v>
      </c>
      <c r="D231">
        <v>11</v>
      </c>
      <c r="E231" t="s">
        <v>17</v>
      </c>
      <c r="F231">
        <v>29.6</v>
      </c>
      <c r="G231">
        <v>26.55</v>
      </c>
      <c r="H231" t="s">
        <v>17</v>
      </c>
      <c r="I231" t="str">
        <f>"062271012573"</f>
        <v>062271012573</v>
      </c>
    </row>
    <row r="232" spans="1:9" x14ac:dyDescent="0.25">
      <c r="A232" t="s">
        <v>213</v>
      </c>
      <c r="B232" t="s">
        <v>13</v>
      </c>
      <c r="C232" t="s">
        <v>17</v>
      </c>
      <c r="D232" t="s">
        <v>14</v>
      </c>
      <c r="E232" t="s">
        <v>14</v>
      </c>
      <c r="F232" t="s">
        <v>17</v>
      </c>
      <c r="G232" t="s">
        <v>14</v>
      </c>
      <c r="H232" t="s">
        <v>14</v>
      </c>
      <c r="I232" t="str">
        <f>"062271013273"</f>
        <v>062271013273</v>
      </c>
    </row>
    <row r="233" spans="1:9" x14ac:dyDescent="0.25">
      <c r="A233" t="s">
        <v>214</v>
      </c>
      <c r="B233" t="s">
        <v>13</v>
      </c>
      <c r="C233" t="s">
        <v>17</v>
      </c>
      <c r="D233" t="s">
        <v>14</v>
      </c>
      <c r="E233" t="s">
        <v>14</v>
      </c>
      <c r="F233" t="s">
        <v>17</v>
      </c>
      <c r="G233" t="s">
        <v>14</v>
      </c>
      <c r="H233" t="s">
        <v>14</v>
      </c>
      <c r="I233" t="str">
        <f>"062271013487"</f>
        <v>062271013487</v>
      </c>
    </row>
    <row r="234" spans="1:9" x14ac:dyDescent="0.25">
      <c r="A234" t="s">
        <v>215</v>
      </c>
      <c r="B234" t="s">
        <v>13</v>
      </c>
      <c r="C234">
        <v>25.2</v>
      </c>
      <c r="D234">
        <v>25</v>
      </c>
      <c r="E234" t="s">
        <v>17</v>
      </c>
      <c r="F234">
        <v>18.170000000000002</v>
      </c>
      <c r="G234">
        <v>17.760000000000002</v>
      </c>
      <c r="H234" t="s">
        <v>17</v>
      </c>
      <c r="I234" t="str">
        <f>"062271011633"</f>
        <v>062271011633</v>
      </c>
    </row>
    <row r="235" spans="1:9" x14ac:dyDescent="0.25">
      <c r="A235" t="s">
        <v>216</v>
      </c>
      <c r="B235" t="s">
        <v>13</v>
      </c>
      <c r="C235">
        <v>27</v>
      </c>
      <c r="D235">
        <v>21</v>
      </c>
      <c r="E235" t="s">
        <v>17</v>
      </c>
      <c r="F235">
        <v>20.329999999999998</v>
      </c>
      <c r="G235">
        <v>21.76</v>
      </c>
      <c r="H235" t="s">
        <v>17</v>
      </c>
      <c r="I235" t="str">
        <f>"062271012342"</f>
        <v>062271012342</v>
      </c>
    </row>
    <row r="236" spans="1:9" x14ac:dyDescent="0.25">
      <c r="A236" t="s">
        <v>217</v>
      </c>
      <c r="B236" t="s">
        <v>13</v>
      </c>
      <c r="C236">
        <v>27</v>
      </c>
      <c r="D236">
        <v>27</v>
      </c>
      <c r="E236" t="s">
        <v>17</v>
      </c>
      <c r="F236">
        <v>19.440000000000001</v>
      </c>
      <c r="G236">
        <v>19.78</v>
      </c>
      <c r="H236" t="s">
        <v>17</v>
      </c>
      <c r="I236" t="str">
        <f>"062271010851"</f>
        <v>062271010851</v>
      </c>
    </row>
    <row r="237" spans="1:9" x14ac:dyDescent="0.25">
      <c r="A237" t="s">
        <v>218</v>
      </c>
      <c r="B237" t="s">
        <v>13</v>
      </c>
      <c r="C237">
        <v>24</v>
      </c>
      <c r="D237">
        <v>22</v>
      </c>
      <c r="E237" t="s">
        <v>17</v>
      </c>
      <c r="F237">
        <v>19.75</v>
      </c>
      <c r="G237">
        <v>18.55</v>
      </c>
      <c r="H237" t="s">
        <v>17</v>
      </c>
      <c r="I237" t="str">
        <f>"062271012378"</f>
        <v>062271012378</v>
      </c>
    </row>
    <row r="238" spans="1:9" x14ac:dyDescent="0.25">
      <c r="A238" t="s">
        <v>219</v>
      </c>
      <c r="B238" t="s">
        <v>13</v>
      </c>
      <c r="C238">
        <v>29.5</v>
      </c>
      <c r="D238">
        <v>29.05</v>
      </c>
      <c r="E238" t="s">
        <v>17</v>
      </c>
      <c r="F238">
        <v>20.14</v>
      </c>
      <c r="G238">
        <v>19.760000000000002</v>
      </c>
      <c r="H238" t="s">
        <v>17</v>
      </c>
      <c r="I238" t="str">
        <f>"062271010871"</f>
        <v>062271010871</v>
      </c>
    </row>
    <row r="239" spans="1:9" x14ac:dyDescent="0.25">
      <c r="A239" t="s">
        <v>220</v>
      </c>
      <c r="B239" t="s">
        <v>13</v>
      </c>
      <c r="C239">
        <v>17.670000000000002</v>
      </c>
      <c r="D239">
        <v>17.670000000000002</v>
      </c>
      <c r="E239" t="s">
        <v>17</v>
      </c>
      <c r="F239">
        <v>25.01</v>
      </c>
      <c r="G239">
        <v>25.41</v>
      </c>
      <c r="H239" t="s">
        <v>17</v>
      </c>
      <c r="I239" t="str">
        <f>"062271011634"</f>
        <v>062271011634</v>
      </c>
    </row>
    <row r="240" spans="1:9" x14ac:dyDescent="0.25">
      <c r="A240" t="s">
        <v>221</v>
      </c>
      <c r="B240" t="s">
        <v>13</v>
      </c>
      <c r="C240">
        <v>26</v>
      </c>
      <c r="D240">
        <v>25</v>
      </c>
      <c r="E240" t="s">
        <v>17</v>
      </c>
      <c r="F240">
        <v>22.08</v>
      </c>
      <c r="G240">
        <v>23.8</v>
      </c>
      <c r="H240" t="s">
        <v>17</v>
      </c>
      <c r="I240" t="str">
        <f>"062271010867"</f>
        <v>062271010867</v>
      </c>
    </row>
    <row r="241" spans="1:9" x14ac:dyDescent="0.25">
      <c r="A241" t="s">
        <v>222</v>
      </c>
      <c r="B241" t="s">
        <v>13</v>
      </c>
      <c r="C241">
        <v>29</v>
      </c>
      <c r="D241">
        <v>32</v>
      </c>
      <c r="E241" t="s">
        <v>17</v>
      </c>
      <c r="F241">
        <v>20.97</v>
      </c>
      <c r="G241">
        <v>17.75</v>
      </c>
      <c r="H241" t="s">
        <v>17</v>
      </c>
      <c r="I241" t="str">
        <f>"062271011642"</f>
        <v>062271011642</v>
      </c>
    </row>
    <row r="242" spans="1:9" x14ac:dyDescent="0.25">
      <c r="A242" t="s">
        <v>223</v>
      </c>
      <c r="B242" t="s">
        <v>13</v>
      </c>
      <c r="C242">
        <v>15.5</v>
      </c>
      <c r="D242">
        <v>15</v>
      </c>
      <c r="E242" t="s">
        <v>17</v>
      </c>
      <c r="F242">
        <v>21.61</v>
      </c>
      <c r="G242">
        <v>20.13</v>
      </c>
      <c r="H242" t="s">
        <v>17</v>
      </c>
      <c r="I242" t="str">
        <f>"062271012259"</f>
        <v>062271012259</v>
      </c>
    </row>
    <row r="243" spans="1:9" x14ac:dyDescent="0.25">
      <c r="A243" t="s">
        <v>224</v>
      </c>
      <c r="B243" t="s">
        <v>13</v>
      </c>
      <c r="C243">
        <v>25</v>
      </c>
      <c r="D243">
        <v>22</v>
      </c>
      <c r="E243" t="s">
        <v>17</v>
      </c>
      <c r="F243">
        <v>21.8</v>
      </c>
      <c r="G243">
        <v>23.41</v>
      </c>
      <c r="H243" t="s">
        <v>17</v>
      </c>
      <c r="I243" t="str">
        <f>"062271011641"</f>
        <v>062271011641</v>
      </c>
    </row>
    <row r="244" spans="1:9" x14ac:dyDescent="0.25">
      <c r="A244" t="s">
        <v>225</v>
      </c>
      <c r="B244" t="s">
        <v>13</v>
      </c>
      <c r="C244">
        <v>22</v>
      </c>
      <c r="D244" t="s">
        <v>14</v>
      </c>
      <c r="E244" t="s">
        <v>14</v>
      </c>
      <c r="F244">
        <v>19.64</v>
      </c>
      <c r="G244" t="s">
        <v>14</v>
      </c>
      <c r="H244" t="s">
        <v>14</v>
      </c>
      <c r="I244" t="str">
        <f>"062271012848"</f>
        <v>062271012848</v>
      </c>
    </row>
    <row r="245" spans="1:9" x14ac:dyDescent="0.25">
      <c r="A245" t="s">
        <v>226</v>
      </c>
      <c r="B245" t="s">
        <v>13</v>
      </c>
      <c r="C245">
        <v>17</v>
      </c>
      <c r="D245">
        <v>18.8</v>
      </c>
      <c r="E245" t="s">
        <v>17</v>
      </c>
      <c r="F245">
        <v>27.53</v>
      </c>
      <c r="G245">
        <v>25.05</v>
      </c>
      <c r="H245" t="s">
        <v>17</v>
      </c>
      <c r="I245" t="str">
        <f>"062271010868"</f>
        <v>062271010868</v>
      </c>
    </row>
    <row r="246" spans="1:9" x14ac:dyDescent="0.25">
      <c r="A246" t="s">
        <v>227</v>
      </c>
      <c r="B246" t="s">
        <v>13</v>
      </c>
      <c r="C246">
        <v>6</v>
      </c>
      <c r="D246" t="s">
        <v>14</v>
      </c>
      <c r="E246" t="s">
        <v>14</v>
      </c>
      <c r="F246">
        <v>23.67</v>
      </c>
      <c r="G246" t="s">
        <v>14</v>
      </c>
      <c r="H246" t="s">
        <v>14</v>
      </c>
      <c r="I246" t="str">
        <f>"062271012817"</f>
        <v>062271012817</v>
      </c>
    </row>
    <row r="247" spans="1:9" x14ac:dyDescent="0.25">
      <c r="A247" t="s">
        <v>228</v>
      </c>
      <c r="B247" t="s">
        <v>13</v>
      </c>
      <c r="C247">
        <v>14.95</v>
      </c>
      <c r="D247">
        <v>8</v>
      </c>
      <c r="E247" t="s">
        <v>14</v>
      </c>
      <c r="F247">
        <v>27.56</v>
      </c>
      <c r="G247">
        <v>28.88</v>
      </c>
      <c r="H247" t="s">
        <v>14</v>
      </c>
      <c r="I247" t="str">
        <f>"062271012572"</f>
        <v>062271012572</v>
      </c>
    </row>
    <row r="248" spans="1:9" x14ac:dyDescent="0.25">
      <c r="A248" t="s">
        <v>229</v>
      </c>
      <c r="B248" t="s">
        <v>13</v>
      </c>
      <c r="C248">
        <v>17</v>
      </c>
      <c r="D248">
        <v>19.5</v>
      </c>
      <c r="E248" t="s">
        <v>17</v>
      </c>
      <c r="F248">
        <v>23</v>
      </c>
      <c r="G248">
        <v>20.72</v>
      </c>
      <c r="H248" t="s">
        <v>17</v>
      </c>
      <c r="I248" t="str">
        <f>"063132004835"</f>
        <v>063132004835</v>
      </c>
    </row>
    <row r="249" spans="1:9" x14ac:dyDescent="0.25">
      <c r="A249" t="s">
        <v>230</v>
      </c>
      <c r="B249" t="s">
        <v>13</v>
      </c>
      <c r="C249" t="s">
        <v>17</v>
      </c>
      <c r="D249" t="s">
        <v>17</v>
      </c>
      <c r="E249" t="s">
        <v>17</v>
      </c>
      <c r="F249" t="s">
        <v>17</v>
      </c>
      <c r="G249" t="s">
        <v>17</v>
      </c>
      <c r="H249" t="s">
        <v>17</v>
      </c>
      <c r="I249" t="str">
        <f>"060780012607"</f>
        <v>060780012607</v>
      </c>
    </row>
    <row r="250" spans="1:9" x14ac:dyDescent="0.25">
      <c r="A250" t="s">
        <v>231</v>
      </c>
      <c r="B250" t="s">
        <v>13</v>
      </c>
      <c r="C250">
        <v>19.95</v>
      </c>
      <c r="D250">
        <v>19</v>
      </c>
      <c r="E250" t="s">
        <v>17</v>
      </c>
      <c r="F250">
        <v>20.8</v>
      </c>
      <c r="G250">
        <v>22.21</v>
      </c>
      <c r="H250" t="s">
        <v>17</v>
      </c>
      <c r="I250" t="str">
        <f>"063459005698"</f>
        <v>063459005698</v>
      </c>
    </row>
    <row r="251" spans="1:9" x14ac:dyDescent="0.25">
      <c r="A251" t="s">
        <v>232</v>
      </c>
      <c r="B251" t="s">
        <v>13</v>
      </c>
      <c r="C251">
        <v>1</v>
      </c>
      <c r="D251" t="s">
        <v>17</v>
      </c>
      <c r="E251" t="s">
        <v>17</v>
      </c>
      <c r="F251">
        <v>4</v>
      </c>
      <c r="G251" t="s">
        <v>17</v>
      </c>
      <c r="H251" t="s">
        <v>17</v>
      </c>
      <c r="I251" t="str">
        <f>"063117007824"</f>
        <v>063117007824</v>
      </c>
    </row>
    <row r="252" spans="1:9" x14ac:dyDescent="0.25">
      <c r="A252" t="s">
        <v>233</v>
      </c>
      <c r="B252" t="s">
        <v>13</v>
      </c>
      <c r="C252">
        <v>43.11</v>
      </c>
      <c r="D252">
        <v>40.15</v>
      </c>
      <c r="E252" t="s">
        <v>17</v>
      </c>
      <c r="F252">
        <v>22.76</v>
      </c>
      <c r="G252">
        <v>24.86</v>
      </c>
      <c r="H252" t="s">
        <v>17</v>
      </c>
      <c r="I252" t="str">
        <f>"061392009544"</f>
        <v>061392009544</v>
      </c>
    </row>
    <row r="253" spans="1:9" x14ac:dyDescent="0.25">
      <c r="A253" t="s">
        <v>234</v>
      </c>
      <c r="B253" t="s">
        <v>13</v>
      </c>
      <c r="C253">
        <v>7</v>
      </c>
      <c r="D253" t="s">
        <v>14</v>
      </c>
      <c r="E253" t="s">
        <v>14</v>
      </c>
      <c r="F253">
        <v>21.43</v>
      </c>
      <c r="G253" t="s">
        <v>14</v>
      </c>
      <c r="H253" t="s">
        <v>14</v>
      </c>
      <c r="I253" t="str">
        <f>"063501013176"</f>
        <v>063501013176</v>
      </c>
    </row>
    <row r="254" spans="1:9" x14ac:dyDescent="0.25">
      <c r="A254" t="s">
        <v>235</v>
      </c>
      <c r="B254" t="s">
        <v>13</v>
      </c>
      <c r="C254">
        <v>23.15</v>
      </c>
      <c r="D254">
        <v>23.02</v>
      </c>
      <c r="E254" t="s">
        <v>17</v>
      </c>
      <c r="F254">
        <v>23.33</v>
      </c>
      <c r="G254">
        <v>22.85</v>
      </c>
      <c r="H254" t="s">
        <v>17</v>
      </c>
      <c r="I254" t="str">
        <f>"062265002782"</f>
        <v>062265002782</v>
      </c>
    </row>
    <row r="255" spans="1:9" x14ac:dyDescent="0.25">
      <c r="A255" t="s">
        <v>235</v>
      </c>
      <c r="B255" t="s">
        <v>13</v>
      </c>
      <c r="C255">
        <v>22.58</v>
      </c>
      <c r="D255">
        <v>23.5</v>
      </c>
      <c r="E255" t="s">
        <v>17</v>
      </c>
      <c r="F255">
        <v>27.64</v>
      </c>
      <c r="G255">
        <v>27.49</v>
      </c>
      <c r="H255" t="s">
        <v>17</v>
      </c>
      <c r="I255" t="str">
        <f>"061392011362"</f>
        <v>061392011362</v>
      </c>
    </row>
    <row r="256" spans="1:9" x14ac:dyDescent="0.25">
      <c r="A256" t="s">
        <v>236</v>
      </c>
      <c r="B256" t="s">
        <v>13</v>
      </c>
      <c r="C256">
        <v>33</v>
      </c>
      <c r="D256">
        <v>33</v>
      </c>
      <c r="E256" t="s">
        <v>17</v>
      </c>
      <c r="F256">
        <v>22.48</v>
      </c>
      <c r="G256">
        <v>21.76</v>
      </c>
      <c r="H256" t="s">
        <v>17</v>
      </c>
      <c r="I256" t="str">
        <f>"061089007504"</f>
        <v>061089007504</v>
      </c>
    </row>
    <row r="257" spans="1:9" x14ac:dyDescent="0.25">
      <c r="A257" t="s">
        <v>237</v>
      </c>
      <c r="B257" t="s">
        <v>13</v>
      </c>
      <c r="C257">
        <v>27</v>
      </c>
      <c r="D257">
        <v>26</v>
      </c>
      <c r="E257" t="s">
        <v>17</v>
      </c>
      <c r="F257">
        <v>23.67</v>
      </c>
      <c r="G257">
        <v>23.62</v>
      </c>
      <c r="H257" t="s">
        <v>17</v>
      </c>
      <c r="I257" t="str">
        <f>"063348003149"</f>
        <v>063348003149</v>
      </c>
    </row>
    <row r="258" spans="1:9" x14ac:dyDescent="0.25">
      <c r="A258" t="s">
        <v>238</v>
      </c>
      <c r="B258" t="s">
        <v>13</v>
      </c>
      <c r="C258">
        <v>17</v>
      </c>
      <c r="D258">
        <v>14.5</v>
      </c>
      <c r="E258" t="s">
        <v>17</v>
      </c>
      <c r="F258">
        <v>22.41</v>
      </c>
      <c r="G258">
        <v>26.76</v>
      </c>
      <c r="H258" t="s">
        <v>17</v>
      </c>
      <c r="I258" t="str">
        <f>"060162000001"</f>
        <v>060162000001</v>
      </c>
    </row>
    <row r="259" spans="1:9" x14ac:dyDescent="0.25">
      <c r="A259" t="s">
        <v>239</v>
      </c>
      <c r="B259" t="s">
        <v>13</v>
      </c>
      <c r="C259">
        <v>28.5</v>
      </c>
      <c r="D259">
        <v>32.5</v>
      </c>
      <c r="E259" t="s">
        <v>17</v>
      </c>
      <c r="F259">
        <v>33.58</v>
      </c>
      <c r="G259">
        <v>28.77</v>
      </c>
      <c r="H259" t="s">
        <v>17</v>
      </c>
      <c r="I259" t="str">
        <f>"062985012423"</f>
        <v>062985012423</v>
      </c>
    </row>
    <row r="260" spans="1:9" x14ac:dyDescent="0.25">
      <c r="A260" t="s">
        <v>240</v>
      </c>
      <c r="B260" t="s">
        <v>13</v>
      </c>
      <c r="C260" t="s">
        <v>17</v>
      </c>
      <c r="D260" t="s">
        <v>17</v>
      </c>
      <c r="E260" t="s">
        <v>17</v>
      </c>
      <c r="F260" t="s">
        <v>17</v>
      </c>
      <c r="G260" t="s">
        <v>17</v>
      </c>
      <c r="H260" t="s">
        <v>17</v>
      </c>
      <c r="I260" t="str">
        <f>"060201011820"</f>
        <v>060201011820</v>
      </c>
    </row>
    <row r="261" spans="1:9" x14ac:dyDescent="0.25">
      <c r="A261" t="s">
        <v>241</v>
      </c>
      <c r="B261" t="s">
        <v>13</v>
      </c>
      <c r="C261">
        <v>9</v>
      </c>
      <c r="D261">
        <v>10</v>
      </c>
      <c r="E261" t="s">
        <v>17</v>
      </c>
      <c r="F261">
        <v>19.559999999999999</v>
      </c>
      <c r="G261">
        <v>19.100000000000001</v>
      </c>
      <c r="H261" t="s">
        <v>17</v>
      </c>
      <c r="I261" t="str">
        <f>"060201000087"</f>
        <v>060201000087</v>
      </c>
    </row>
    <row r="262" spans="1:9" x14ac:dyDescent="0.25">
      <c r="A262" t="s">
        <v>242</v>
      </c>
      <c r="B262" t="s">
        <v>13</v>
      </c>
      <c r="C262">
        <v>11.5</v>
      </c>
      <c r="D262">
        <v>11.5</v>
      </c>
      <c r="E262" t="s">
        <v>17</v>
      </c>
      <c r="F262">
        <v>12.17</v>
      </c>
      <c r="G262">
        <v>11.57</v>
      </c>
      <c r="H262" t="s">
        <v>17</v>
      </c>
      <c r="I262" t="str">
        <f>"060201000088"</f>
        <v>060201000088</v>
      </c>
    </row>
    <row r="263" spans="1:9" x14ac:dyDescent="0.25">
      <c r="A263" t="s">
        <v>243</v>
      </c>
      <c r="B263" t="s">
        <v>13</v>
      </c>
      <c r="C263" t="s">
        <v>17</v>
      </c>
      <c r="D263" t="s">
        <v>14</v>
      </c>
      <c r="E263" t="s">
        <v>14</v>
      </c>
      <c r="F263" t="s">
        <v>17</v>
      </c>
      <c r="G263" t="s">
        <v>14</v>
      </c>
      <c r="H263" t="s">
        <v>14</v>
      </c>
      <c r="I263" t="str">
        <f>"061260013554"</f>
        <v>061260013554</v>
      </c>
    </row>
    <row r="264" spans="1:9" x14ac:dyDescent="0.25">
      <c r="A264" t="s">
        <v>244</v>
      </c>
      <c r="B264" t="s">
        <v>13</v>
      </c>
      <c r="C264">
        <v>25.5</v>
      </c>
      <c r="D264">
        <v>26</v>
      </c>
      <c r="E264" t="s">
        <v>17</v>
      </c>
      <c r="F264">
        <v>28</v>
      </c>
      <c r="G264">
        <v>27.35</v>
      </c>
      <c r="H264" t="s">
        <v>17</v>
      </c>
      <c r="I264" t="str">
        <f>"062334009397"</f>
        <v>062334009397</v>
      </c>
    </row>
    <row r="265" spans="1:9" x14ac:dyDescent="0.25">
      <c r="A265" t="s">
        <v>245</v>
      </c>
      <c r="B265" t="s">
        <v>13</v>
      </c>
      <c r="C265">
        <v>4.2</v>
      </c>
      <c r="D265">
        <v>4.7699999999999996</v>
      </c>
      <c r="E265" t="s">
        <v>17</v>
      </c>
      <c r="F265">
        <v>27.86</v>
      </c>
      <c r="G265">
        <v>19.5</v>
      </c>
      <c r="H265" t="s">
        <v>17</v>
      </c>
      <c r="I265" t="str">
        <f>"061260001423"</f>
        <v>061260001423</v>
      </c>
    </row>
    <row r="266" spans="1:9" x14ac:dyDescent="0.25">
      <c r="A266" t="s">
        <v>246</v>
      </c>
      <c r="B266" t="s">
        <v>13</v>
      </c>
      <c r="C266">
        <v>5</v>
      </c>
      <c r="D266" t="s">
        <v>14</v>
      </c>
      <c r="E266" t="s">
        <v>14</v>
      </c>
      <c r="F266">
        <v>35.4</v>
      </c>
      <c r="G266" t="s">
        <v>14</v>
      </c>
      <c r="H266" t="s">
        <v>14</v>
      </c>
      <c r="I266" t="str">
        <f>"060231012989"</f>
        <v>060231012989</v>
      </c>
    </row>
    <row r="267" spans="1:9" x14ac:dyDescent="0.25">
      <c r="A267" t="s">
        <v>247</v>
      </c>
      <c r="B267" t="s">
        <v>13</v>
      </c>
      <c r="C267">
        <v>36</v>
      </c>
      <c r="D267">
        <v>37.049999999999997</v>
      </c>
      <c r="E267" t="s">
        <v>17</v>
      </c>
      <c r="F267">
        <v>9.64</v>
      </c>
      <c r="G267">
        <v>9.5</v>
      </c>
      <c r="H267" t="s">
        <v>17</v>
      </c>
      <c r="I267" t="str">
        <f>"062271007762"</f>
        <v>062271007762</v>
      </c>
    </row>
    <row r="268" spans="1:9" x14ac:dyDescent="0.25">
      <c r="A268" t="s">
        <v>248</v>
      </c>
      <c r="B268" t="s">
        <v>13</v>
      </c>
      <c r="C268" t="s">
        <v>14</v>
      </c>
      <c r="D268" t="s">
        <v>14</v>
      </c>
      <c r="E268" t="s">
        <v>17</v>
      </c>
      <c r="F268" t="s">
        <v>14</v>
      </c>
      <c r="G268" t="s">
        <v>14</v>
      </c>
      <c r="H268" t="s">
        <v>17</v>
      </c>
      <c r="I268" t="str">
        <f>"060207006969"</f>
        <v>060207006969</v>
      </c>
    </row>
    <row r="269" spans="1:9" x14ac:dyDescent="0.25">
      <c r="A269" t="s">
        <v>249</v>
      </c>
      <c r="B269" t="s">
        <v>13</v>
      </c>
      <c r="C269" t="s">
        <v>17</v>
      </c>
      <c r="D269">
        <v>1</v>
      </c>
      <c r="E269" t="s">
        <v>17</v>
      </c>
      <c r="F269" t="s">
        <v>17</v>
      </c>
      <c r="G269">
        <v>1</v>
      </c>
      <c r="H269" t="s">
        <v>17</v>
      </c>
      <c r="I269" t="str">
        <f>"060210010623"</f>
        <v>060210010623</v>
      </c>
    </row>
    <row r="270" spans="1:9" x14ac:dyDescent="0.25">
      <c r="A270" t="s">
        <v>250</v>
      </c>
      <c r="B270" t="s">
        <v>13</v>
      </c>
      <c r="C270">
        <v>2</v>
      </c>
      <c r="D270" t="s">
        <v>17</v>
      </c>
      <c r="E270" t="s">
        <v>17</v>
      </c>
      <c r="F270">
        <v>1</v>
      </c>
      <c r="G270" t="s">
        <v>17</v>
      </c>
      <c r="H270" t="s">
        <v>17</v>
      </c>
      <c r="I270" t="str">
        <f>"069105806965"</f>
        <v>069105806965</v>
      </c>
    </row>
    <row r="271" spans="1:9" x14ac:dyDescent="0.25">
      <c r="A271" t="s">
        <v>251</v>
      </c>
      <c r="B271" t="s">
        <v>13</v>
      </c>
      <c r="C271">
        <v>1</v>
      </c>
      <c r="D271">
        <v>2</v>
      </c>
      <c r="E271" t="s">
        <v>17</v>
      </c>
      <c r="F271">
        <v>2</v>
      </c>
      <c r="G271">
        <v>1.5</v>
      </c>
      <c r="H271" t="s">
        <v>17</v>
      </c>
      <c r="I271" t="str">
        <f>"060207006968"</f>
        <v>060207006968</v>
      </c>
    </row>
    <row r="272" spans="1:9" x14ac:dyDescent="0.25">
      <c r="A272" t="s">
        <v>252</v>
      </c>
      <c r="B272" t="s">
        <v>13</v>
      </c>
      <c r="C272">
        <v>20</v>
      </c>
      <c r="D272">
        <v>22</v>
      </c>
      <c r="E272" t="s">
        <v>17</v>
      </c>
      <c r="F272">
        <v>27.05</v>
      </c>
      <c r="G272">
        <v>26.18</v>
      </c>
      <c r="H272" t="s">
        <v>17</v>
      </c>
      <c r="I272" t="str">
        <f>"061944002332"</f>
        <v>061944002332</v>
      </c>
    </row>
    <row r="273" spans="1:9" x14ac:dyDescent="0.25">
      <c r="A273" t="s">
        <v>252</v>
      </c>
      <c r="B273" t="s">
        <v>13</v>
      </c>
      <c r="C273">
        <v>12.06</v>
      </c>
      <c r="D273">
        <v>14.4</v>
      </c>
      <c r="E273" t="s">
        <v>17</v>
      </c>
      <c r="F273">
        <v>34.49</v>
      </c>
      <c r="G273">
        <v>27.78</v>
      </c>
      <c r="H273" t="s">
        <v>17</v>
      </c>
      <c r="I273" t="str">
        <f>"060210000091"</f>
        <v>060210000091</v>
      </c>
    </row>
    <row r="274" spans="1:9" x14ac:dyDescent="0.25">
      <c r="A274" t="s">
        <v>253</v>
      </c>
      <c r="B274" t="s">
        <v>13</v>
      </c>
      <c r="C274" t="s">
        <v>17</v>
      </c>
      <c r="D274" t="s">
        <v>14</v>
      </c>
      <c r="E274" t="s">
        <v>14</v>
      </c>
      <c r="F274" t="s">
        <v>17</v>
      </c>
      <c r="G274" t="s">
        <v>14</v>
      </c>
      <c r="H274" t="s">
        <v>14</v>
      </c>
      <c r="I274" t="str">
        <f>"063987013286"</f>
        <v>063987013286</v>
      </c>
    </row>
    <row r="275" spans="1:9" x14ac:dyDescent="0.25">
      <c r="A275" t="s">
        <v>254</v>
      </c>
      <c r="B275" t="s">
        <v>13</v>
      </c>
      <c r="C275" t="str">
        <f>"0.79"</f>
        <v>0.79</v>
      </c>
      <c r="D275" t="str">
        <f>"0.79"</f>
        <v>0.79</v>
      </c>
      <c r="E275" t="s">
        <v>17</v>
      </c>
      <c r="F275">
        <v>10.130000000000001</v>
      </c>
      <c r="G275">
        <v>8.86</v>
      </c>
      <c r="H275" t="s">
        <v>17</v>
      </c>
      <c r="I275" t="str">
        <f>"060133106604"</f>
        <v>060133106604</v>
      </c>
    </row>
    <row r="276" spans="1:9" x14ac:dyDescent="0.25">
      <c r="A276" t="s">
        <v>255</v>
      </c>
      <c r="B276" t="s">
        <v>13</v>
      </c>
      <c r="C276">
        <v>34</v>
      </c>
      <c r="D276">
        <v>34</v>
      </c>
      <c r="E276" t="s">
        <v>17</v>
      </c>
      <c r="F276">
        <v>24.26</v>
      </c>
      <c r="G276">
        <v>23.85</v>
      </c>
      <c r="H276" t="s">
        <v>17</v>
      </c>
      <c r="I276" t="str">
        <f>"062271012806"</f>
        <v>062271012806</v>
      </c>
    </row>
    <row r="277" spans="1:9" x14ac:dyDescent="0.25">
      <c r="A277" t="s">
        <v>256</v>
      </c>
      <c r="B277" t="s">
        <v>13</v>
      </c>
      <c r="C277">
        <v>16</v>
      </c>
      <c r="D277">
        <v>15</v>
      </c>
      <c r="E277" t="s">
        <v>17</v>
      </c>
      <c r="F277">
        <v>25.94</v>
      </c>
      <c r="G277">
        <v>25.87</v>
      </c>
      <c r="H277" t="s">
        <v>17</v>
      </c>
      <c r="I277" t="str">
        <f>"061970002363"</f>
        <v>061970002363</v>
      </c>
    </row>
    <row r="278" spans="1:9" x14ac:dyDescent="0.25">
      <c r="A278" t="s">
        <v>257</v>
      </c>
      <c r="B278" t="s">
        <v>13</v>
      </c>
      <c r="C278">
        <v>15</v>
      </c>
      <c r="D278">
        <v>15.4</v>
      </c>
      <c r="E278" t="s">
        <v>17</v>
      </c>
      <c r="F278">
        <v>25.07</v>
      </c>
      <c r="G278">
        <v>23.77</v>
      </c>
      <c r="H278" t="s">
        <v>17</v>
      </c>
      <c r="I278" t="str">
        <f>"062664004011"</f>
        <v>062664004011</v>
      </c>
    </row>
    <row r="279" spans="1:9" x14ac:dyDescent="0.25">
      <c r="A279" t="s">
        <v>258</v>
      </c>
      <c r="B279" t="s">
        <v>13</v>
      </c>
      <c r="C279">
        <v>29</v>
      </c>
      <c r="D279">
        <v>30</v>
      </c>
      <c r="E279" t="s">
        <v>17</v>
      </c>
      <c r="F279">
        <v>24.34</v>
      </c>
      <c r="G279">
        <v>23.3</v>
      </c>
      <c r="H279" t="s">
        <v>17</v>
      </c>
      <c r="I279" t="str">
        <f>"062271002808"</f>
        <v>062271002808</v>
      </c>
    </row>
    <row r="280" spans="1:9" x14ac:dyDescent="0.25">
      <c r="A280" t="s">
        <v>258</v>
      </c>
      <c r="B280" t="s">
        <v>13</v>
      </c>
      <c r="C280">
        <v>17</v>
      </c>
      <c r="D280">
        <v>18</v>
      </c>
      <c r="E280" t="s">
        <v>17</v>
      </c>
      <c r="F280">
        <v>27.76</v>
      </c>
      <c r="G280">
        <v>27.61</v>
      </c>
      <c r="H280" t="s">
        <v>17</v>
      </c>
      <c r="I280" t="str">
        <f>"060216000093"</f>
        <v>060216000093</v>
      </c>
    </row>
    <row r="281" spans="1:9" x14ac:dyDescent="0.25">
      <c r="A281" t="s">
        <v>259</v>
      </c>
      <c r="B281" t="s">
        <v>13</v>
      </c>
      <c r="C281">
        <v>99.91</v>
      </c>
      <c r="D281">
        <v>98.31</v>
      </c>
      <c r="E281" t="s">
        <v>17</v>
      </c>
      <c r="F281">
        <v>26.52</v>
      </c>
      <c r="G281">
        <v>27.95</v>
      </c>
      <c r="H281" t="s">
        <v>17</v>
      </c>
      <c r="I281" t="str">
        <f>"060816000790"</f>
        <v>060816000790</v>
      </c>
    </row>
    <row r="282" spans="1:9" x14ac:dyDescent="0.25">
      <c r="A282" t="s">
        <v>260</v>
      </c>
      <c r="B282" t="s">
        <v>13</v>
      </c>
      <c r="C282">
        <v>29</v>
      </c>
      <c r="D282">
        <v>28.5</v>
      </c>
      <c r="E282" t="s">
        <v>17</v>
      </c>
      <c r="F282">
        <v>26.41</v>
      </c>
      <c r="G282">
        <v>26.77</v>
      </c>
      <c r="H282" t="s">
        <v>17</v>
      </c>
      <c r="I282" t="str">
        <f>"060216000094"</f>
        <v>060216000094</v>
      </c>
    </row>
    <row r="283" spans="1:9" x14ac:dyDescent="0.25">
      <c r="A283" t="s">
        <v>261</v>
      </c>
      <c r="B283" t="s">
        <v>13</v>
      </c>
      <c r="C283">
        <v>33.21</v>
      </c>
      <c r="D283">
        <v>33.25</v>
      </c>
      <c r="E283" t="s">
        <v>17</v>
      </c>
      <c r="F283">
        <v>24.36</v>
      </c>
      <c r="G283">
        <v>23.73</v>
      </c>
      <c r="H283" t="s">
        <v>17</v>
      </c>
      <c r="I283" t="str">
        <f>"063753006339"</f>
        <v>063753006339</v>
      </c>
    </row>
    <row r="284" spans="1:9" x14ac:dyDescent="0.25">
      <c r="A284" t="s">
        <v>262</v>
      </c>
      <c r="B284" t="s">
        <v>13</v>
      </c>
      <c r="C284">
        <v>8.6</v>
      </c>
      <c r="D284">
        <v>11.6</v>
      </c>
      <c r="E284" t="s">
        <v>17</v>
      </c>
      <c r="F284">
        <v>27.21</v>
      </c>
      <c r="G284">
        <v>18.71</v>
      </c>
      <c r="H284" t="s">
        <v>17</v>
      </c>
      <c r="I284" t="str">
        <f>"061281001439"</f>
        <v>061281001439</v>
      </c>
    </row>
    <row r="285" spans="1:9" x14ac:dyDescent="0.25">
      <c r="A285" t="s">
        <v>263</v>
      </c>
      <c r="B285" t="s">
        <v>13</v>
      </c>
      <c r="C285">
        <v>23</v>
      </c>
      <c r="D285">
        <v>25.5</v>
      </c>
      <c r="E285" t="s">
        <v>17</v>
      </c>
      <c r="F285">
        <v>29.91</v>
      </c>
      <c r="G285">
        <v>25.65</v>
      </c>
      <c r="H285" t="s">
        <v>17</v>
      </c>
      <c r="I285" t="str">
        <f>"060002909509"</f>
        <v>060002909509</v>
      </c>
    </row>
    <row r="286" spans="1:9" x14ac:dyDescent="0.25">
      <c r="A286" t="s">
        <v>264</v>
      </c>
      <c r="B286" t="s">
        <v>13</v>
      </c>
      <c r="C286">
        <v>17</v>
      </c>
      <c r="D286">
        <v>16</v>
      </c>
      <c r="E286" t="s">
        <v>17</v>
      </c>
      <c r="F286">
        <v>19.29</v>
      </c>
      <c r="G286">
        <v>19.440000000000001</v>
      </c>
      <c r="H286" t="s">
        <v>17</v>
      </c>
      <c r="I286" t="str">
        <f>"063093008942"</f>
        <v>063093008942</v>
      </c>
    </row>
    <row r="287" spans="1:9" x14ac:dyDescent="0.25">
      <c r="A287" t="s">
        <v>265</v>
      </c>
      <c r="B287" t="s">
        <v>13</v>
      </c>
      <c r="C287">
        <v>55.34</v>
      </c>
      <c r="D287">
        <v>51.79</v>
      </c>
      <c r="E287" t="s">
        <v>17</v>
      </c>
      <c r="F287">
        <v>24.9</v>
      </c>
      <c r="G287">
        <v>27.36</v>
      </c>
      <c r="H287" t="s">
        <v>17</v>
      </c>
      <c r="I287" t="str">
        <f>"060903010202"</f>
        <v>060903010202</v>
      </c>
    </row>
    <row r="288" spans="1:9" x14ac:dyDescent="0.25">
      <c r="A288" t="s">
        <v>266</v>
      </c>
      <c r="B288" t="s">
        <v>13</v>
      </c>
      <c r="C288">
        <v>8.6999999999999993</v>
      </c>
      <c r="D288">
        <v>9</v>
      </c>
      <c r="E288" t="s">
        <v>17</v>
      </c>
      <c r="F288">
        <v>6.09</v>
      </c>
      <c r="G288">
        <v>6.78</v>
      </c>
      <c r="H288" t="s">
        <v>17</v>
      </c>
      <c r="I288" t="str">
        <f>"063864010385"</f>
        <v>063864010385</v>
      </c>
    </row>
    <row r="289" spans="1:9" x14ac:dyDescent="0.25">
      <c r="A289" t="s">
        <v>267</v>
      </c>
      <c r="B289" t="s">
        <v>13</v>
      </c>
      <c r="C289">
        <v>5.4</v>
      </c>
      <c r="D289">
        <v>3.97</v>
      </c>
      <c r="E289" t="s">
        <v>14</v>
      </c>
      <c r="F289">
        <v>24.81</v>
      </c>
      <c r="G289">
        <v>25.69</v>
      </c>
      <c r="H289" t="s">
        <v>14</v>
      </c>
      <c r="I289" t="str">
        <f>"060141412435"</f>
        <v>060141412435</v>
      </c>
    </row>
    <row r="290" spans="1:9" x14ac:dyDescent="0.25">
      <c r="A290" t="s">
        <v>267</v>
      </c>
      <c r="B290" t="s">
        <v>13</v>
      </c>
      <c r="C290" t="s">
        <v>14</v>
      </c>
      <c r="D290" t="s">
        <v>14</v>
      </c>
      <c r="E290" t="s">
        <v>17</v>
      </c>
      <c r="F290" t="s">
        <v>14</v>
      </c>
      <c r="G290" t="s">
        <v>14</v>
      </c>
      <c r="H290" t="s">
        <v>17</v>
      </c>
      <c r="I290" t="str">
        <f>"063537012435"</f>
        <v>063537012435</v>
      </c>
    </row>
    <row r="291" spans="1:9" x14ac:dyDescent="0.25">
      <c r="A291" t="s">
        <v>268</v>
      </c>
      <c r="B291" t="s">
        <v>13</v>
      </c>
      <c r="C291" t="s">
        <v>17</v>
      </c>
      <c r="D291" t="str">
        <f>"0.17"</f>
        <v>0.17</v>
      </c>
      <c r="E291" t="s">
        <v>14</v>
      </c>
      <c r="F291" t="s">
        <v>17</v>
      </c>
      <c r="G291">
        <v>5.88</v>
      </c>
      <c r="H291" t="s">
        <v>14</v>
      </c>
      <c r="I291" t="str">
        <f>"060141412760"</f>
        <v>060141412760</v>
      </c>
    </row>
    <row r="292" spans="1:9" x14ac:dyDescent="0.25">
      <c r="A292" t="s">
        <v>268</v>
      </c>
      <c r="B292" t="s">
        <v>13</v>
      </c>
      <c r="C292" t="s">
        <v>14</v>
      </c>
      <c r="D292" t="s">
        <v>14</v>
      </c>
      <c r="E292" t="s">
        <v>17</v>
      </c>
      <c r="F292" t="s">
        <v>14</v>
      </c>
      <c r="G292" t="s">
        <v>14</v>
      </c>
      <c r="H292" t="s">
        <v>17</v>
      </c>
      <c r="I292" t="str">
        <f>"063537012760"</f>
        <v>063537012760</v>
      </c>
    </row>
    <row r="293" spans="1:9" x14ac:dyDescent="0.25">
      <c r="A293" t="s">
        <v>269</v>
      </c>
      <c r="B293" t="s">
        <v>13</v>
      </c>
      <c r="C293">
        <v>5.05</v>
      </c>
      <c r="D293" t="s">
        <v>14</v>
      </c>
      <c r="E293" t="s">
        <v>14</v>
      </c>
      <c r="F293">
        <v>19.21</v>
      </c>
      <c r="G293" t="s">
        <v>14</v>
      </c>
      <c r="H293" t="s">
        <v>14</v>
      </c>
      <c r="I293" t="str">
        <f>"060348013170"</f>
        <v>060348013170</v>
      </c>
    </row>
    <row r="294" spans="1:9" x14ac:dyDescent="0.25">
      <c r="A294" t="s">
        <v>270</v>
      </c>
      <c r="B294" t="s">
        <v>13</v>
      </c>
      <c r="C294">
        <v>25</v>
      </c>
      <c r="D294">
        <v>25</v>
      </c>
      <c r="E294" t="s">
        <v>17</v>
      </c>
      <c r="F294">
        <v>22.4</v>
      </c>
      <c r="G294">
        <v>20.64</v>
      </c>
      <c r="H294" t="s">
        <v>17</v>
      </c>
      <c r="I294" t="str">
        <f>"060222000098"</f>
        <v>060222000098</v>
      </c>
    </row>
    <row r="295" spans="1:9" x14ac:dyDescent="0.25">
      <c r="A295" t="s">
        <v>270</v>
      </c>
      <c r="B295" t="s">
        <v>13</v>
      </c>
      <c r="C295">
        <v>23.5</v>
      </c>
      <c r="D295">
        <v>23.5</v>
      </c>
      <c r="E295" t="s">
        <v>17</v>
      </c>
      <c r="F295">
        <v>26.47</v>
      </c>
      <c r="G295">
        <v>25.06</v>
      </c>
      <c r="H295" t="s">
        <v>17</v>
      </c>
      <c r="I295" t="str">
        <f>"064032006667"</f>
        <v>064032006667</v>
      </c>
    </row>
    <row r="296" spans="1:9" x14ac:dyDescent="0.25">
      <c r="A296" t="s">
        <v>270</v>
      </c>
      <c r="B296" t="s">
        <v>13</v>
      </c>
      <c r="C296">
        <v>25</v>
      </c>
      <c r="D296">
        <v>25</v>
      </c>
      <c r="E296" t="s">
        <v>17</v>
      </c>
      <c r="F296">
        <v>24.76</v>
      </c>
      <c r="G296">
        <v>24.16</v>
      </c>
      <c r="H296" t="s">
        <v>17</v>
      </c>
      <c r="I296" t="str">
        <f>"060003204950"</f>
        <v>060003204950</v>
      </c>
    </row>
    <row r="297" spans="1:9" x14ac:dyDescent="0.25">
      <c r="A297" t="s">
        <v>271</v>
      </c>
      <c r="B297" t="s">
        <v>13</v>
      </c>
      <c r="C297">
        <v>7.6</v>
      </c>
      <c r="D297">
        <v>7.6</v>
      </c>
      <c r="E297" t="s">
        <v>17</v>
      </c>
      <c r="F297">
        <v>19.21</v>
      </c>
      <c r="G297">
        <v>18.82</v>
      </c>
      <c r="H297" t="s">
        <v>17</v>
      </c>
      <c r="I297" t="str">
        <f>"062631003931"</f>
        <v>062631003931</v>
      </c>
    </row>
    <row r="298" spans="1:9" x14ac:dyDescent="0.25">
      <c r="A298" t="s">
        <v>272</v>
      </c>
      <c r="B298" t="s">
        <v>13</v>
      </c>
      <c r="C298">
        <v>12.52</v>
      </c>
      <c r="D298">
        <v>13.5</v>
      </c>
      <c r="E298" t="s">
        <v>17</v>
      </c>
      <c r="F298">
        <v>13.18</v>
      </c>
      <c r="G298">
        <v>16.37</v>
      </c>
      <c r="H298" t="s">
        <v>17</v>
      </c>
      <c r="I298" t="str">
        <f>"064119006812"</f>
        <v>064119006812</v>
      </c>
    </row>
    <row r="299" spans="1:9" x14ac:dyDescent="0.25">
      <c r="A299" t="s">
        <v>273</v>
      </c>
      <c r="B299" t="s">
        <v>13</v>
      </c>
      <c r="C299">
        <v>25.41</v>
      </c>
      <c r="D299">
        <v>13</v>
      </c>
      <c r="E299" t="s">
        <v>17</v>
      </c>
      <c r="F299">
        <v>29.16</v>
      </c>
      <c r="G299">
        <v>46.46</v>
      </c>
      <c r="H299" t="s">
        <v>17</v>
      </c>
      <c r="I299" t="str">
        <f>"060171012521"</f>
        <v>060171012521</v>
      </c>
    </row>
    <row r="300" spans="1:9" x14ac:dyDescent="0.25">
      <c r="A300" t="s">
        <v>274</v>
      </c>
      <c r="B300" t="s">
        <v>13</v>
      </c>
      <c r="C300">
        <v>4.5</v>
      </c>
      <c r="D300">
        <v>5.2</v>
      </c>
      <c r="E300" t="s">
        <v>17</v>
      </c>
      <c r="F300">
        <v>20</v>
      </c>
      <c r="G300">
        <v>18.27</v>
      </c>
      <c r="H300" t="s">
        <v>17</v>
      </c>
      <c r="I300" t="str">
        <f>"060225000099"</f>
        <v>060225000099</v>
      </c>
    </row>
    <row r="301" spans="1:9" x14ac:dyDescent="0.25">
      <c r="A301" t="s">
        <v>275</v>
      </c>
      <c r="B301" t="s">
        <v>13</v>
      </c>
      <c r="C301">
        <v>14.77</v>
      </c>
      <c r="D301">
        <v>19</v>
      </c>
      <c r="E301" t="s">
        <v>17</v>
      </c>
      <c r="F301">
        <v>23.43</v>
      </c>
      <c r="G301">
        <v>21.37</v>
      </c>
      <c r="H301" t="s">
        <v>17</v>
      </c>
      <c r="I301" t="str">
        <f>"062994004661"</f>
        <v>062994004661</v>
      </c>
    </row>
    <row r="302" spans="1:9" x14ac:dyDescent="0.25">
      <c r="A302" t="s">
        <v>276</v>
      </c>
      <c r="B302" t="s">
        <v>13</v>
      </c>
      <c r="C302">
        <v>30.57</v>
      </c>
      <c r="D302">
        <v>27.97</v>
      </c>
      <c r="E302" t="s">
        <v>17</v>
      </c>
      <c r="F302">
        <v>19.100000000000001</v>
      </c>
      <c r="G302">
        <v>21.31</v>
      </c>
      <c r="H302" t="s">
        <v>17</v>
      </c>
      <c r="I302" t="str">
        <f>"062211008438"</f>
        <v>062211008438</v>
      </c>
    </row>
    <row r="303" spans="1:9" x14ac:dyDescent="0.25">
      <c r="A303" t="s">
        <v>277</v>
      </c>
      <c r="B303" t="s">
        <v>13</v>
      </c>
      <c r="C303">
        <v>5</v>
      </c>
      <c r="D303">
        <v>5</v>
      </c>
      <c r="E303" t="s">
        <v>17</v>
      </c>
      <c r="F303">
        <v>29.2</v>
      </c>
      <c r="G303">
        <v>27.6</v>
      </c>
      <c r="H303" t="s">
        <v>17</v>
      </c>
      <c r="I303" t="str">
        <f>"064059012697"</f>
        <v>064059012697</v>
      </c>
    </row>
    <row r="304" spans="1:9" x14ac:dyDescent="0.25">
      <c r="A304" t="s">
        <v>278</v>
      </c>
      <c r="B304" t="s">
        <v>13</v>
      </c>
      <c r="C304">
        <v>3.6</v>
      </c>
      <c r="D304">
        <v>3.6</v>
      </c>
      <c r="E304" t="s">
        <v>17</v>
      </c>
      <c r="F304">
        <v>31.67</v>
      </c>
      <c r="G304">
        <v>28.33</v>
      </c>
      <c r="H304" t="s">
        <v>17</v>
      </c>
      <c r="I304" t="str">
        <f>"068450009467"</f>
        <v>068450009467</v>
      </c>
    </row>
    <row r="305" spans="1:9" x14ac:dyDescent="0.25">
      <c r="A305" t="s">
        <v>279</v>
      </c>
      <c r="B305" t="s">
        <v>13</v>
      </c>
      <c r="C305">
        <v>5.0999999999999996</v>
      </c>
      <c r="D305">
        <v>4.7</v>
      </c>
      <c r="E305" t="s">
        <v>17</v>
      </c>
      <c r="F305">
        <v>34.31</v>
      </c>
      <c r="G305">
        <v>34.04</v>
      </c>
      <c r="H305" t="s">
        <v>17</v>
      </c>
      <c r="I305" t="str">
        <f>"063560007437"</f>
        <v>063560007437</v>
      </c>
    </row>
    <row r="306" spans="1:9" x14ac:dyDescent="0.25">
      <c r="A306" t="s">
        <v>280</v>
      </c>
      <c r="B306" t="s">
        <v>13</v>
      </c>
      <c r="C306">
        <v>2</v>
      </c>
      <c r="D306">
        <v>1</v>
      </c>
      <c r="E306" t="s">
        <v>17</v>
      </c>
      <c r="F306">
        <v>9</v>
      </c>
      <c r="G306">
        <v>12</v>
      </c>
      <c r="H306" t="s">
        <v>17</v>
      </c>
      <c r="I306" t="str">
        <f>"062691011552"</f>
        <v>062691011552</v>
      </c>
    </row>
    <row r="307" spans="1:9" x14ac:dyDescent="0.25">
      <c r="A307" t="s">
        <v>281</v>
      </c>
      <c r="B307" t="s">
        <v>13</v>
      </c>
      <c r="C307">
        <v>4</v>
      </c>
      <c r="D307">
        <v>3</v>
      </c>
      <c r="E307" t="s">
        <v>17</v>
      </c>
      <c r="F307">
        <v>20.25</v>
      </c>
      <c r="G307">
        <v>20.67</v>
      </c>
      <c r="H307" t="s">
        <v>17</v>
      </c>
      <c r="I307" t="str">
        <f>"063417010048"</f>
        <v>063417010048</v>
      </c>
    </row>
    <row r="308" spans="1:9" x14ac:dyDescent="0.25">
      <c r="A308" t="s">
        <v>282</v>
      </c>
      <c r="B308" t="s">
        <v>13</v>
      </c>
      <c r="C308" t="s">
        <v>17</v>
      </c>
      <c r="D308" t="s">
        <v>17</v>
      </c>
      <c r="E308" t="s">
        <v>17</v>
      </c>
      <c r="F308" t="s">
        <v>17</v>
      </c>
      <c r="G308" t="s">
        <v>17</v>
      </c>
      <c r="H308" t="s">
        <v>17</v>
      </c>
      <c r="I308" t="str">
        <f>"069107810231"</f>
        <v>069107810231</v>
      </c>
    </row>
    <row r="309" spans="1:9" x14ac:dyDescent="0.25">
      <c r="A309" t="s">
        <v>283</v>
      </c>
      <c r="B309" t="s">
        <v>13</v>
      </c>
      <c r="C309">
        <v>21.4</v>
      </c>
      <c r="D309">
        <v>22.84</v>
      </c>
      <c r="E309" t="s">
        <v>17</v>
      </c>
      <c r="F309">
        <v>22.34</v>
      </c>
      <c r="G309">
        <v>20.36</v>
      </c>
      <c r="H309" t="s">
        <v>17</v>
      </c>
      <c r="I309" t="str">
        <f>"063720006298"</f>
        <v>063720006298</v>
      </c>
    </row>
    <row r="310" spans="1:9" x14ac:dyDescent="0.25">
      <c r="A310" t="s">
        <v>284</v>
      </c>
      <c r="B310" t="s">
        <v>13</v>
      </c>
      <c r="C310" t="s">
        <v>17</v>
      </c>
      <c r="D310">
        <v>1</v>
      </c>
      <c r="E310" t="s">
        <v>17</v>
      </c>
      <c r="F310" t="s">
        <v>17</v>
      </c>
      <c r="G310">
        <v>1</v>
      </c>
      <c r="H310" t="s">
        <v>17</v>
      </c>
      <c r="I310" t="str">
        <f>"062519011692"</f>
        <v>062519011692</v>
      </c>
    </row>
    <row r="311" spans="1:9" x14ac:dyDescent="0.25">
      <c r="A311" t="s">
        <v>285</v>
      </c>
      <c r="B311" t="s">
        <v>13</v>
      </c>
      <c r="C311">
        <v>19.05</v>
      </c>
      <c r="D311">
        <v>18.5</v>
      </c>
      <c r="E311" t="s">
        <v>17</v>
      </c>
      <c r="F311">
        <v>18.95</v>
      </c>
      <c r="G311">
        <v>19.95</v>
      </c>
      <c r="H311" t="s">
        <v>17</v>
      </c>
      <c r="I311" t="str">
        <f>"062519003762"</f>
        <v>062519003762</v>
      </c>
    </row>
    <row r="312" spans="1:9" x14ac:dyDescent="0.25">
      <c r="A312" t="s">
        <v>286</v>
      </c>
      <c r="B312" t="s">
        <v>13</v>
      </c>
      <c r="C312">
        <v>16</v>
      </c>
      <c r="D312">
        <v>18</v>
      </c>
      <c r="E312" t="s">
        <v>17</v>
      </c>
      <c r="F312">
        <v>25.75</v>
      </c>
      <c r="G312">
        <v>23.56</v>
      </c>
      <c r="H312" t="s">
        <v>17</v>
      </c>
      <c r="I312" t="str">
        <f>"062250009902"</f>
        <v>062250009902</v>
      </c>
    </row>
    <row r="313" spans="1:9" x14ac:dyDescent="0.25">
      <c r="A313" t="s">
        <v>286</v>
      </c>
      <c r="B313" t="s">
        <v>13</v>
      </c>
      <c r="C313">
        <v>26.19</v>
      </c>
      <c r="D313">
        <v>24</v>
      </c>
      <c r="E313" t="s">
        <v>17</v>
      </c>
      <c r="F313">
        <v>19.97</v>
      </c>
      <c r="G313">
        <v>21.46</v>
      </c>
      <c r="H313" t="s">
        <v>17</v>
      </c>
      <c r="I313" t="str">
        <f>"063441005583"</f>
        <v>063441005583</v>
      </c>
    </row>
    <row r="314" spans="1:9" x14ac:dyDescent="0.25">
      <c r="A314" t="s">
        <v>286</v>
      </c>
      <c r="B314" t="s">
        <v>13</v>
      </c>
      <c r="C314">
        <v>35.1</v>
      </c>
      <c r="D314">
        <v>39.4</v>
      </c>
      <c r="E314" t="s">
        <v>17</v>
      </c>
      <c r="F314">
        <v>25.1</v>
      </c>
      <c r="G314">
        <v>21.93</v>
      </c>
      <c r="H314" t="s">
        <v>17</v>
      </c>
      <c r="I314" t="str">
        <f>"062691004065"</f>
        <v>062691004065</v>
      </c>
    </row>
    <row r="315" spans="1:9" x14ac:dyDescent="0.25">
      <c r="A315" t="s">
        <v>287</v>
      </c>
      <c r="B315" t="s">
        <v>13</v>
      </c>
      <c r="C315">
        <v>35.25</v>
      </c>
      <c r="D315">
        <v>37.92</v>
      </c>
      <c r="E315" t="s">
        <v>17</v>
      </c>
      <c r="F315">
        <v>24.43</v>
      </c>
      <c r="G315">
        <v>23.81</v>
      </c>
      <c r="H315" t="s">
        <v>17</v>
      </c>
      <c r="I315" t="str">
        <f>"063375005197"</f>
        <v>063375005197</v>
      </c>
    </row>
    <row r="316" spans="1:9" x14ac:dyDescent="0.25">
      <c r="A316" t="s">
        <v>288</v>
      </c>
      <c r="B316" t="s">
        <v>13</v>
      </c>
      <c r="C316">
        <v>52.76</v>
      </c>
      <c r="D316">
        <v>52.3</v>
      </c>
      <c r="E316" t="s">
        <v>17</v>
      </c>
      <c r="F316">
        <v>26.91</v>
      </c>
      <c r="G316">
        <v>26.77</v>
      </c>
      <c r="H316" t="s">
        <v>17</v>
      </c>
      <c r="I316" t="str">
        <f>"062691004066"</f>
        <v>062691004066</v>
      </c>
    </row>
    <row r="317" spans="1:9" x14ac:dyDescent="0.25">
      <c r="A317" t="s">
        <v>289</v>
      </c>
      <c r="B317" t="s">
        <v>13</v>
      </c>
      <c r="C317">
        <v>8</v>
      </c>
      <c r="D317">
        <v>8</v>
      </c>
      <c r="E317" t="s">
        <v>17</v>
      </c>
      <c r="F317">
        <v>19.88</v>
      </c>
      <c r="G317">
        <v>19.25</v>
      </c>
      <c r="H317" t="s">
        <v>17</v>
      </c>
      <c r="I317" t="str">
        <f>"060236000125"</f>
        <v>060236000125</v>
      </c>
    </row>
    <row r="318" spans="1:9" x14ac:dyDescent="0.25">
      <c r="A318" t="s">
        <v>290</v>
      </c>
      <c r="B318" t="s">
        <v>13</v>
      </c>
      <c r="C318">
        <v>30.5</v>
      </c>
      <c r="D318">
        <v>30.3</v>
      </c>
      <c r="E318" t="s">
        <v>17</v>
      </c>
      <c r="F318">
        <v>27.31</v>
      </c>
      <c r="G318">
        <v>25.97</v>
      </c>
      <c r="H318" t="s">
        <v>17</v>
      </c>
      <c r="I318" t="str">
        <f>"060558009313"</f>
        <v>060558009313</v>
      </c>
    </row>
    <row r="319" spans="1:9" x14ac:dyDescent="0.25">
      <c r="A319" t="s">
        <v>291</v>
      </c>
      <c r="B319" t="s">
        <v>13</v>
      </c>
      <c r="C319">
        <v>23.5</v>
      </c>
      <c r="D319">
        <v>23.5</v>
      </c>
      <c r="E319" t="s">
        <v>17</v>
      </c>
      <c r="F319">
        <v>26.09</v>
      </c>
      <c r="G319">
        <v>25.4</v>
      </c>
      <c r="H319" t="s">
        <v>17</v>
      </c>
      <c r="I319" t="str">
        <f>"063488005889"</f>
        <v>063488005889</v>
      </c>
    </row>
    <row r="320" spans="1:9" x14ac:dyDescent="0.25">
      <c r="A320" t="s">
        <v>292</v>
      </c>
      <c r="B320" t="s">
        <v>13</v>
      </c>
      <c r="C320">
        <v>24</v>
      </c>
      <c r="D320">
        <v>22</v>
      </c>
      <c r="E320" t="s">
        <v>17</v>
      </c>
      <c r="F320">
        <v>25.25</v>
      </c>
      <c r="G320">
        <v>25.82</v>
      </c>
      <c r="H320" t="s">
        <v>17</v>
      </c>
      <c r="I320" t="str">
        <f>"060678000596"</f>
        <v>060678000596</v>
      </c>
    </row>
    <row r="321" spans="1:9" x14ac:dyDescent="0.25">
      <c r="A321" t="s">
        <v>293</v>
      </c>
      <c r="B321" t="s">
        <v>13</v>
      </c>
      <c r="C321">
        <v>9.31</v>
      </c>
      <c r="D321">
        <v>9.25</v>
      </c>
      <c r="E321" t="s">
        <v>17</v>
      </c>
      <c r="F321">
        <v>22.77</v>
      </c>
      <c r="G321">
        <v>21.84</v>
      </c>
      <c r="H321" t="s">
        <v>17</v>
      </c>
      <c r="I321" t="str">
        <f>"060237000127"</f>
        <v>060237000127</v>
      </c>
    </row>
    <row r="322" spans="1:9" x14ac:dyDescent="0.25">
      <c r="A322" t="s">
        <v>294</v>
      </c>
      <c r="B322" t="s">
        <v>13</v>
      </c>
      <c r="C322">
        <v>3</v>
      </c>
      <c r="D322" t="s">
        <v>14</v>
      </c>
      <c r="E322" t="s">
        <v>14</v>
      </c>
      <c r="F322">
        <v>13.67</v>
      </c>
      <c r="G322" t="s">
        <v>14</v>
      </c>
      <c r="H322" t="s">
        <v>14</v>
      </c>
      <c r="I322" t="str">
        <f>"060243013134"</f>
        <v>060243013134</v>
      </c>
    </row>
    <row r="323" spans="1:9" x14ac:dyDescent="0.25">
      <c r="A323" t="s">
        <v>295</v>
      </c>
      <c r="B323" t="s">
        <v>13</v>
      </c>
      <c r="C323">
        <v>11</v>
      </c>
      <c r="D323">
        <v>12</v>
      </c>
      <c r="E323" t="s">
        <v>17</v>
      </c>
      <c r="F323">
        <v>22.55</v>
      </c>
      <c r="G323">
        <v>18.25</v>
      </c>
      <c r="H323" t="s">
        <v>17</v>
      </c>
      <c r="I323" t="str">
        <f>"060243000128"</f>
        <v>060243000128</v>
      </c>
    </row>
    <row r="324" spans="1:9" x14ac:dyDescent="0.25">
      <c r="A324" t="s">
        <v>296</v>
      </c>
      <c r="B324" t="s">
        <v>13</v>
      </c>
      <c r="C324" t="s">
        <v>17</v>
      </c>
      <c r="D324" t="s">
        <v>17</v>
      </c>
      <c r="E324" t="s">
        <v>17</v>
      </c>
      <c r="F324" t="s">
        <v>17</v>
      </c>
      <c r="G324" t="s">
        <v>17</v>
      </c>
      <c r="H324" t="s">
        <v>17</v>
      </c>
      <c r="I324" t="str">
        <f>"060008910738"</f>
        <v>060008910738</v>
      </c>
    </row>
    <row r="325" spans="1:9" x14ac:dyDescent="0.25">
      <c r="A325" t="s">
        <v>297</v>
      </c>
      <c r="B325" t="s">
        <v>13</v>
      </c>
      <c r="C325">
        <v>29.45</v>
      </c>
      <c r="D325">
        <v>29.62</v>
      </c>
      <c r="E325" t="s">
        <v>17</v>
      </c>
      <c r="F325">
        <v>5.7</v>
      </c>
      <c r="G325">
        <v>6.04</v>
      </c>
      <c r="H325" t="s">
        <v>17</v>
      </c>
      <c r="I325" t="str">
        <f>"069100106970"</f>
        <v>069100106970</v>
      </c>
    </row>
    <row r="326" spans="1:9" x14ac:dyDescent="0.25">
      <c r="A326" t="s">
        <v>298</v>
      </c>
      <c r="B326" t="s">
        <v>13</v>
      </c>
      <c r="C326">
        <v>24.07</v>
      </c>
      <c r="D326">
        <v>24.14</v>
      </c>
      <c r="E326" t="s">
        <v>17</v>
      </c>
      <c r="F326">
        <v>26.05</v>
      </c>
      <c r="G326">
        <v>25.72</v>
      </c>
      <c r="H326" t="s">
        <v>17</v>
      </c>
      <c r="I326" t="str">
        <f>"060245008786"</f>
        <v>060245008786</v>
      </c>
    </row>
    <row r="327" spans="1:9" x14ac:dyDescent="0.25">
      <c r="A327" t="s">
        <v>299</v>
      </c>
      <c r="B327" t="s">
        <v>13</v>
      </c>
      <c r="C327">
        <v>102.83</v>
      </c>
      <c r="D327">
        <v>103.23</v>
      </c>
      <c r="E327" t="s">
        <v>17</v>
      </c>
      <c r="F327">
        <v>25.53</v>
      </c>
      <c r="G327">
        <v>25.54</v>
      </c>
      <c r="H327" t="s">
        <v>17</v>
      </c>
      <c r="I327" t="str">
        <f>"060002009282"</f>
        <v>060002009282</v>
      </c>
    </row>
    <row r="328" spans="1:9" x14ac:dyDescent="0.25">
      <c r="A328" t="s">
        <v>300</v>
      </c>
      <c r="B328" t="s">
        <v>13</v>
      </c>
      <c r="C328">
        <v>10</v>
      </c>
      <c r="D328">
        <v>11</v>
      </c>
      <c r="E328" t="s">
        <v>17</v>
      </c>
      <c r="F328">
        <v>23.6</v>
      </c>
      <c r="G328">
        <v>22.82</v>
      </c>
      <c r="H328" t="s">
        <v>17</v>
      </c>
      <c r="I328" t="str">
        <f>"062271011621"</f>
        <v>062271011621</v>
      </c>
    </row>
    <row r="329" spans="1:9" x14ac:dyDescent="0.25">
      <c r="A329" t="s">
        <v>301</v>
      </c>
      <c r="B329" t="s">
        <v>13</v>
      </c>
      <c r="C329">
        <v>46.89</v>
      </c>
      <c r="D329">
        <v>44.83</v>
      </c>
      <c r="E329" t="s">
        <v>17</v>
      </c>
      <c r="F329">
        <v>22.31</v>
      </c>
      <c r="G329">
        <v>22.57</v>
      </c>
      <c r="H329" t="s">
        <v>17</v>
      </c>
      <c r="I329" t="str">
        <f>"062088008717"</f>
        <v>062088008717</v>
      </c>
    </row>
    <row r="330" spans="1:9" x14ac:dyDescent="0.25">
      <c r="A330" t="s">
        <v>302</v>
      </c>
      <c r="B330" t="s">
        <v>13</v>
      </c>
      <c r="C330">
        <v>6</v>
      </c>
      <c r="D330">
        <v>5.5</v>
      </c>
      <c r="E330" t="s">
        <v>14</v>
      </c>
      <c r="F330">
        <v>37.83</v>
      </c>
      <c r="G330">
        <v>30.73</v>
      </c>
      <c r="H330" t="s">
        <v>14</v>
      </c>
      <c r="I330" t="str">
        <f>"063168012984"</f>
        <v>063168012984</v>
      </c>
    </row>
    <row r="331" spans="1:9" x14ac:dyDescent="0.25">
      <c r="A331" t="s">
        <v>303</v>
      </c>
      <c r="B331" t="s">
        <v>13</v>
      </c>
      <c r="C331">
        <v>21</v>
      </c>
      <c r="D331">
        <v>21</v>
      </c>
      <c r="E331" t="s">
        <v>17</v>
      </c>
      <c r="F331">
        <v>21.33</v>
      </c>
      <c r="G331">
        <v>21.62</v>
      </c>
      <c r="H331" t="s">
        <v>17</v>
      </c>
      <c r="I331" t="str">
        <f>"062271002809"</f>
        <v>062271002809</v>
      </c>
    </row>
    <row r="332" spans="1:9" x14ac:dyDescent="0.25">
      <c r="A332" t="s">
        <v>304</v>
      </c>
      <c r="B332" t="s">
        <v>13</v>
      </c>
      <c r="C332">
        <v>5</v>
      </c>
      <c r="D332">
        <v>5</v>
      </c>
      <c r="E332" t="s">
        <v>17</v>
      </c>
      <c r="F332">
        <v>24.8</v>
      </c>
      <c r="G332">
        <v>22.2</v>
      </c>
      <c r="H332" t="s">
        <v>17</v>
      </c>
      <c r="I332" t="str">
        <f>"062271002972"</f>
        <v>062271002972</v>
      </c>
    </row>
    <row r="333" spans="1:9" x14ac:dyDescent="0.25">
      <c r="A333" t="s">
        <v>305</v>
      </c>
      <c r="B333" t="s">
        <v>13</v>
      </c>
      <c r="C333">
        <v>26.5</v>
      </c>
      <c r="D333">
        <v>25.7</v>
      </c>
      <c r="E333" t="s">
        <v>17</v>
      </c>
      <c r="F333">
        <v>22.3</v>
      </c>
      <c r="G333">
        <v>22.76</v>
      </c>
      <c r="H333" t="s">
        <v>17</v>
      </c>
      <c r="I333" t="str">
        <f>"060177000043"</f>
        <v>060177000043</v>
      </c>
    </row>
    <row r="334" spans="1:9" x14ac:dyDescent="0.25">
      <c r="A334" t="s">
        <v>306</v>
      </c>
      <c r="B334" t="s">
        <v>13</v>
      </c>
      <c r="C334">
        <v>33.6</v>
      </c>
      <c r="D334">
        <v>35.1</v>
      </c>
      <c r="E334" t="s">
        <v>17</v>
      </c>
      <c r="F334">
        <v>27.59</v>
      </c>
      <c r="G334">
        <v>27.15</v>
      </c>
      <c r="H334" t="s">
        <v>17</v>
      </c>
      <c r="I334" t="str">
        <f>"061111008766"</f>
        <v>061111008766</v>
      </c>
    </row>
    <row r="335" spans="1:9" x14ac:dyDescent="0.25">
      <c r="A335" t="s">
        <v>307</v>
      </c>
      <c r="B335" t="s">
        <v>13</v>
      </c>
      <c r="C335">
        <v>37</v>
      </c>
      <c r="D335">
        <v>39</v>
      </c>
      <c r="E335" t="s">
        <v>17</v>
      </c>
      <c r="F335">
        <v>26.81</v>
      </c>
      <c r="G335">
        <v>26.74</v>
      </c>
      <c r="H335" t="s">
        <v>17</v>
      </c>
      <c r="I335" t="str">
        <f>"063315005006"</f>
        <v>063315005006</v>
      </c>
    </row>
    <row r="336" spans="1:9" x14ac:dyDescent="0.25">
      <c r="A336" t="s">
        <v>308</v>
      </c>
      <c r="B336" t="s">
        <v>13</v>
      </c>
      <c r="C336">
        <v>10</v>
      </c>
      <c r="D336">
        <v>10.199999999999999</v>
      </c>
      <c r="E336" t="s">
        <v>14</v>
      </c>
      <c r="F336">
        <v>20.6</v>
      </c>
      <c r="G336">
        <v>15.1</v>
      </c>
      <c r="H336" t="s">
        <v>14</v>
      </c>
      <c r="I336" t="str">
        <f>"063432012854"</f>
        <v>063432012854</v>
      </c>
    </row>
    <row r="337" spans="1:9" x14ac:dyDescent="0.25">
      <c r="A337" t="s">
        <v>309</v>
      </c>
      <c r="B337" t="s">
        <v>13</v>
      </c>
      <c r="C337">
        <v>58.93</v>
      </c>
      <c r="D337">
        <v>44.73</v>
      </c>
      <c r="E337" t="s">
        <v>17</v>
      </c>
      <c r="F337">
        <v>23.74</v>
      </c>
      <c r="G337">
        <v>22.76</v>
      </c>
      <c r="H337" t="s">
        <v>17</v>
      </c>
      <c r="I337" t="str">
        <f>"062664012535"</f>
        <v>062664012535</v>
      </c>
    </row>
    <row r="338" spans="1:9" x14ac:dyDescent="0.25">
      <c r="A338" t="s">
        <v>310</v>
      </c>
      <c r="B338" t="s">
        <v>13</v>
      </c>
      <c r="C338">
        <v>39</v>
      </c>
      <c r="D338">
        <v>39.200000000000003</v>
      </c>
      <c r="E338" t="s">
        <v>17</v>
      </c>
      <c r="F338">
        <v>25.13</v>
      </c>
      <c r="G338">
        <v>24.62</v>
      </c>
      <c r="H338" t="s">
        <v>17</v>
      </c>
      <c r="I338" t="str">
        <f>"062664007575"</f>
        <v>062664007575</v>
      </c>
    </row>
    <row r="339" spans="1:9" x14ac:dyDescent="0.25">
      <c r="A339" t="s">
        <v>311</v>
      </c>
      <c r="B339" t="s">
        <v>13</v>
      </c>
      <c r="C339">
        <v>29.5</v>
      </c>
      <c r="D339">
        <v>28.5</v>
      </c>
      <c r="E339" t="s">
        <v>17</v>
      </c>
      <c r="F339">
        <v>23.59</v>
      </c>
      <c r="G339">
        <v>25.47</v>
      </c>
      <c r="H339" t="s">
        <v>17</v>
      </c>
      <c r="I339" t="str">
        <f>"063348011603"</f>
        <v>063348011603</v>
      </c>
    </row>
    <row r="340" spans="1:9" x14ac:dyDescent="0.25">
      <c r="A340" t="s">
        <v>312</v>
      </c>
      <c r="B340" t="s">
        <v>13</v>
      </c>
      <c r="C340">
        <v>80.23</v>
      </c>
      <c r="D340">
        <v>82.68</v>
      </c>
      <c r="E340" t="s">
        <v>17</v>
      </c>
      <c r="F340">
        <v>24.73</v>
      </c>
      <c r="G340">
        <v>24.02</v>
      </c>
      <c r="H340" t="s">
        <v>17</v>
      </c>
      <c r="I340" t="str">
        <f>"061440001654"</f>
        <v>061440001654</v>
      </c>
    </row>
    <row r="341" spans="1:9" x14ac:dyDescent="0.25">
      <c r="A341" t="s">
        <v>313</v>
      </c>
      <c r="B341" t="s">
        <v>13</v>
      </c>
      <c r="C341">
        <v>11</v>
      </c>
      <c r="D341">
        <v>9</v>
      </c>
      <c r="E341" t="s">
        <v>17</v>
      </c>
      <c r="F341">
        <v>26</v>
      </c>
      <c r="G341">
        <v>28.33</v>
      </c>
      <c r="H341" t="s">
        <v>17</v>
      </c>
      <c r="I341" t="str">
        <f>"062805005673"</f>
        <v>062805005673</v>
      </c>
    </row>
    <row r="342" spans="1:9" x14ac:dyDescent="0.25">
      <c r="A342" t="s">
        <v>314</v>
      </c>
      <c r="B342" t="s">
        <v>13</v>
      </c>
      <c r="C342">
        <v>21</v>
      </c>
      <c r="D342">
        <v>10.9</v>
      </c>
      <c r="E342" t="s">
        <v>17</v>
      </c>
      <c r="F342">
        <v>30.43</v>
      </c>
      <c r="G342">
        <v>17.8</v>
      </c>
      <c r="H342" t="s">
        <v>17</v>
      </c>
      <c r="I342" t="str">
        <f>"062805012013"</f>
        <v>062805012013</v>
      </c>
    </row>
    <row r="343" spans="1:9" x14ac:dyDescent="0.25">
      <c r="A343" t="s">
        <v>315</v>
      </c>
      <c r="B343" t="s">
        <v>13</v>
      </c>
      <c r="C343">
        <v>13</v>
      </c>
      <c r="D343">
        <v>9</v>
      </c>
      <c r="E343" t="s">
        <v>17</v>
      </c>
      <c r="F343">
        <v>18.690000000000001</v>
      </c>
      <c r="G343">
        <v>21.33</v>
      </c>
      <c r="H343" t="s">
        <v>17</v>
      </c>
      <c r="I343" t="str">
        <f>"062805011563"</f>
        <v>062805011563</v>
      </c>
    </row>
    <row r="344" spans="1:9" x14ac:dyDescent="0.25">
      <c r="A344" t="s">
        <v>316</v>
      </c>
      <c r="B344" t="s">
        <v>13</v>
      </c>
      <c r="C344">
        <v>20.8</v>
      </c>
      <c r="D344">
        <v>24.03</v>
      </c>
      <c r="E344" t="s">
        <v>17</v>
      </c>
      <c r="F344">
        <v>23.8</v>
      </c>
      <c r="G344">
        <v>21.72</v>
      </c>
      <c r="H344" t="s">
        <v>17</v>
      </c>
      <c r="I344" t="str">
        <f>"060003601095"</f>
        <v>060003601095</v>
      </c>
    </row>
    <row r="345" spans="1:9" x14ac:dyDescent="0.25">
      <c r="A345" t="s">
        <v>317</v>
      </c>
      <c r="B345" t="s">
        <v>13</v>
      </c>
      <c r="C345">
        <v>16.5</v>
      </c>
      <c r="D345">
        <v>23.5</v>
      </c>
      <c r="E345" t="s">
        <v>17</v>
      </c>
      <c r="F345">
        <v>19.88</v>
      </c>
      <c r="G345">
        <v>13.23</v>
      </c>
      <c r="H345" t="s">
        <v>17</v>
      </c>
      <c r="I345" t="str">
        <f>"063384005221"</f>
        <v>063384005221</v>
      </c>
    </row>
    <row r="346" spans="1:9" x14ac:dyDescent="0.25">
      <c r="A346" t="s">
        <v>318</v>
      </c>
      <c r="B346" t="s">
        <v>13</v>
      </c>
      <c r="C346">
        <v>6.56</v>
      </c>
      <c r="D346">
        <v>6.75</v>
      </c>
      <c r="E346" t="s">
        <v>17</v>
      </c>
      <c r="F346">
        <v>22.41</v>
      </c>
      <c r="G346">
        <v>24.89</v>
      </c>
      <c r="H346" t="s">
        <v>17</v>
      </c>
      <c r="I346" t="str">
        <f>"060524012774"</f>
        <v>060524012774</v>
      </c>
    </row>
    <row r="347" spans="1:9" x14ac:dyDescent="0.25">
      <c r="A347" t="s">
        <v>319</v>
      </c>
      <c r="B347" t="s">
        <v>13</v>
      </c>
      <c r="C347">
        <v>16.899999999999999</v>
      </c>
      <c r="D347">
        <v>16</v>
      </c>
      <c r="E347" t="s">
        <v>14</v>
      </c>
      <c r="F347">
        <v>19.05</v>
      </c>
      <c r="G347">
        <v>20.38</v>
      </c>
      <c r="H347" t="s">
        <v>14</v>
      </c>
      <c r="I347" t="str">
        <f>"060141500147"</f>
        <v>060141500147</v>
      </c>
    </row>
    <row r="348" spans="1:9" x14ac:dyDescent="0.25">
      <c r="A348" t="s">
        <v>319</v>
      </c>
      <c r="B348" t="s">
        <v>13</v>
      </c>
      <c r="C348" t="s">
        <v>14</v>
      </c>
      <c r="D348" t="s">
        <v>14</v>
      </c>
      <c r="E348" t="s">
        <v>17</v>
      </c>
      <c r="F348" t="s">
        <v>14</v>
      </c>
      <c r="G348" t="s">
        <v>14</v>
      </c>
      <c r="H348" t="s">
        <v>17</v>
      </c>
      <c r="I348" t="str">
        <f>"060255000147"</f>
        <v>060255000147</v>
      </c>
    </row>
    <row r="349" spans="1:9" x14ac:dyDescent="0.25">
      <c r="A349" t="s">
        <v>320</v>
      </c>
      <c r="B349" t="s">
        <v>13</v>
      </c>
      <c r="C349">
        <v>22</v>
      </c>
      <c r="D349">
        <v>24</v>
      </c>
      <c r="E349" t="s">
        <v>17</v>
      </c>
      <c r="F349">
        <v>29.14</v>
      </c>
      <c r="G349">
        <v>25.83</v>
      </c>
      <c r="H349" t="s">
        <v>17</v>
      </c>
      <c r="I349" t="str">
        <f>"062949004534"</f>
        <v>062949004534</v>
      </c>
    </row>
    <row r="350" spans="1:9" x14ac:dyDescent="0.25">
      <c r="A350" t="s">
        <v>321</v>
      </c>
      <c r="B350" t="s">
        <v>13</v>
      </c>
      <c r="C350">
        <v>35</v>
      </c>
      <c r="D350">
        <v>36</v>
      </c>
      <c r="E350" t="s">
        <v>17</v>
      </c>
      <c r="F350">
        <v>23.2</v>
      </c>
      <c r="G350">
        <v>22.17</v>
      </c>
      <c r="H350" t="s">
        <v>17</v>
      </c>
      <c r="I350" t="str">
        <f>"062271002811"</f>
        <v>062271002811</v>
      </c>
    </row>
    <row r="351" spans="1:9" x14ac:dyDescent="0.25">
      <c r="A351" t="s">
        <v>322</v>
      </c>
      <c r="B351" t="s">
        <v>13</v>
      </c>
      <c r="C351">
        <v>17.2</v>
      </c>
      <c r="D351">
        <v>17.2</v>
      </c>
      <c r="E351" t="s">
        <v>17</v>
      </c>
      <c r="F351">
        <v>22.33</v>
      </c>
      <c r="G351">
        <v>25.52</v>
      </c>
      <c r="H351" t="s">
        <v>17</v>
      </c>
      <c r="I351" t="str">
        <f>"061111007694"</f>
        <v>061111007694</v>
      </c>
    </row>
    <row r="352" spans="1:9" x14ac:dyDescent="0.25">
      <c r="A352" t="s">
        <v>323</v>
      </c>
      <c r="B352" t="s">
        <v>13</v>
      </c>
      <c r="C352">
        <v>29.25</v>
      </c>
      <c r="D352">
        <v>27.29</v>
      </c>
      <c r="E352" t="s">
        <v>17</v>
      </c>
      <c r="F352">
        <v>24.51</v>
      </c>
      <c r="G352">
        <v>25.5</v>
      </c>
      <c r="H352" t="s">
        <v>17</v>
      </c>
      <c r="I352" t="str">
        <f>"060639009327"</f>
        <v>060639009327</v>
      </c>
    </row>
    <row r="353" spans="1:9" x14ac:dyDescent="0.25">
      <c r="A353" t="s">
        <v>324</v>
      </c>
      <c r="B353" t="s">
        <v>13</v>
      </c>
      <c r="C353">
        <v>31.36</v>
      </c>
      <c r="D353">
        <v>34.520000000000003</v>
      </c>
      <c r="E353" t="s">
        <v>17</v>
      </c>
      <c r="F353">
        <v>26.98</v>
      </c>
      <c r="G353">
        <v>27.14</v>
      </c>
      <c r="H353" t="s">
        <v>17</v>
      </c>
      <c r="I353" t="str">
        <f>"064098006743"</f>
        <v>064098006743</v>
      </c>
    </row>
    <row r="354" spans="1:9" x14ac:dyDescent="0.25">
      <c r="A354" t="s">
        <v>325</v>
      </c>
      <c r="B354" t="s">
        <v>13</v>
      </c>
      <c r="C354">
        <v>146.58000000000001</v>
      </c>
      <c r="D354">
        <v>141.82</v>
      </c>
      <c r="E354" t="s">
        <v>17</v>
      </c>
      <c r="F354">
        <v>22.05</v>
      </c>
      <c r="G354">
        <v>23.49</v>
      </c>
      <c r="H354" t="s">
        <v>17</v>
      </c>
      <c r="I354" t="str">
        <f>"060263000169"</f>
        <v>060263000169</v>
      </c>
    </row>
    <row r="355" spans="1:9" x14ac:dyDescent="0.25">
      <c r="A355" t="s">
        <v>326</v>
      </c>
      <c r="B355" t="s">
        <v>13</v>
      </c>
      <c r="C355">
        <v>19</v>
      </c>
      <c r="D355">
        <v>20</v>
      </c>
      <c r="E355" t="s">
        <v>17</v>
      </c>
      <c r="F355">
        <v>29.68</v>
      </c>
      <c r="G355">
        <v>29.45</v>
      </c>
      <c r="H355" t="s">
        <v>17</v>
      </c>
      <c r="I355" t="str">
        <f>"062865004418"</f>
        <v>062865004418</v>
      </c>
    </row>
    <row r="356" spans="1:9" x14ac:dyDescent="0.25">
      <c r="A356" t="s">
        <v>327</v>
      </c>
      <c r="B356" t="s">
        <v>13</v>
      </c>
      <c r="C356">
        <v>7</v>
      </c>
      <c r="D356">
        <v>6.5</v>
      </c>
      <c r="E356" t="s">
        <v>17</v>
      </c>
      <c r="F356">
        <v>11</v>
      </c>
      <c r="G356">
        <v>17.54</v>
      </c>
      <c r="H356" t="s">
        <v>17</v>
      </c>
      <c r="I356" t="str">
        <f>"062271012271"</f>
        <v>062271012271</v>
      </c>
    </row>
    <row r="357" spans="1:9" x14ac:dyDescent="0.25">
      <c r="A357" t="s">
        <v>328</v>
      </c>
      <c r="B357" t="s">
        <v>13</v>
      </c>
      <c r="C357">
        <v>55.6</v>
      </c>
      <c r="D357">
        <v>52.4</v>
      </c>
      <c r="E357" t="s">
        <v>17</v>
      </c>
      <c r="F357">
        <v>24.37</v>
      </c>
      <c r="G357">
        <v>25.17</v>
      </c>
      <c r="H357" t="s">
        <v>17</v>
      </c>
      <c r="I357" t="str">
        <f>"060267000193"</f>
        <v>060267000193</v>
      </c>
    </row>
    <row r="358" spans="1:9" x14ac:dyDescent="0.25">
      <c r="A358" t="s">
        <v>329</v>
      </c>
      <c r="B358" t="s">
        <v>13</v>
      </c>
      <c r="C358">
        <v>21.5</v>
      </c>
      <c r="D358">
        <v>21.5</v>
      </c>
      <c r="E358" t="s">
        <v>17</v>
      </c>
      <c r="F358">
        <v>20.329999999999998</v>
      </c>
      <c r="G358">
        <v>20.74</v>
      </c>
      <c r="H358" t="s">
        <v>17</v>
      </c>
      <c r="I358" t="str">
        <f>"062271002812"</f>
        <v>062271002812</v>
      </c>
    </row>
    <row r="359" spans="1:9" x14ac:dyDescent="0.25">
      <c r="A359" t="s">
        <v>330</v>
      </c>
      <c r="B359" t="s">
        <v>13</v>
      </c>
      <c r="C359">
        <v>10</v>
      </c>
      <c r="D359">
        <v>10.199999999999999</v>
      </c>
      <c r="E359" t="s">
        <v>17</v>
      </c>
      <c r="F359">
        <v>28.8</v>
      </c>
      <c r="G359">
        <v>28.82</v>
      </c>
      <c r="H359" t="s">
        <v>17</v>
      </c>
      <c r="I359" t="str">
        <f>"064212010911"</f>
        <v>064212010911</v>
      </c>
    </row>
    <row r="360" spans="1:9" x14ac:dyDescent="0.25">
      <c r="A360" t="s">
        <v>331</v>
      </c>
      <c r="B360" t="s">
        <v>13</v>
      </c>
      <c r="C360">
        <v>6.5</v>
      </c>
      <c r="D360">
        <v>5</v>
      </c>
      <c r="E360" t="s">
        <v>14</v>
      </c>
      <c r="F360">
        <v>19.23</v>
      </c>
      <c r="G360">
        <v>19.399999999999999</v>
      </c>
      <c r="H360" t="s">
        <v>14</v>
      </c>
      <c r="I360" t="str">
        <f>"060141512704"</f>
        <v>060141512704</v>
      </c>
    </row>
    <row r="361" spans="1:9" x14ac:dyDescent="0.25">
      <c r="A361" t="s">
        <v>331</v>
      </c>
      <c r="B361" t="s">
        <v>13</v>
      </c>
      <c r="C361" t="s">
        <v>14</v>
      </c>
      <c r="D361" t="s">
        <v>14</v>
      </c>
      <c r="E361" t="s">
        <v>17</v>
      </c>
      <c r="F361" t="s">
        <v>14</v>
      </c>
      <c r="G361" t="s">
        <v>14</v>
      </c>
      <c r="H361" t="s">
        <v>17</v>
      </c>
      <c r="I361" t="str">
        <f>"061458012704"</f>
        <v>061458012704</v>
      </c>
    </row>
    <row r="362" spans="1:9" x14ac:dyDescent="0.25">
      <c r="A362" t="s">
        <v>332</v>
      </c>
      <c r="B362" t="s">
        <v>13</v>
      </c>
      <c r="C362">
        <v>18</v>
      </c>
      <c r="D362">
        <v>19.010000000000002</v>
      </c>
      <c r="E362" t="s">
        <v>17</v>
      </c>
      <c r="F362">
        <v>23.11</v>
      </c>
      <c r="G362">
        <v>23.67</v>
      </c>
      <c r="H362" t="s">
        <v>17</v>
      </c>
      <c r="I362" t="str">
        <f>"062271002814"</f>
        <v>062271002814</v>
      </c>
    </row>
    <row r="363" spans="1:9" x14ac:dyDescent="0.25">
      <c r="A363" t="s">
        <v>333</v>
      </c>
      <c r="B363" t="s">
        <v>13</v>
      </c>
      <c r="C363">
        <v>10</v>
      </c>
      <c r="D363">
        <v>11</v>
      </c>
      <c r="E363" t="s">
        <v>17</v>
      </c>
      <c r="F363">
        <v>12.2</v>
      </c>
      <c r="G363">
        <v>11.18</v>
      </c>
      <c r="H363" t="s">
        <v>17</v>
      </c>
      <c r="I363" t="str">
        <f>"063417007342"</f>
        <v>063417007342</v>
      </c>
    </row>
    <row r="364" spans="1:9" x14ac:dyDescent="0.25">
      <c r="A364" t="s">
        <v>334</v>
      </c>
      <c r="B364" t="s">
        <v>13</v>
      </c>
      <c r="C364">
        <v>20.5</v>
      </c>
      <c r="D364">
        <v>23</v>
      </c>
      <c r="E364" t="s">
        <v>17</v>
      </c>
      <c r="F364">
        <v>25.27</v>
      </c>
      <c r="G364">
        <v>23.39</v>
      </c>
      <c r="H364" t="s">
        <v>17</v>
      </c>
      <c r="I364" t="str">
        <f>"062781009413"</f>
        <v>062781009413</v>
      </c>
    </row>
    <row r="365" spans="1:9" x14ac:dyDescent="0.25">
      <c r="A365" t="s">
        <v>335</v>
      </c>
      <c r="B365" t="s">
        <v>13</v>
      </c>
      <c r="C365">
        <v>17</v>
      </c>
      <c r="D365">
        <v>16.850000000000001</v>
      </c>
      <c r="E365" t="s">
        <v>17</v>
      </c>
      <c r="F365">
        <v>30.53</v>
      </c>
      <c r="G365">
        <v>29.61</v>
      </c>
      <c r="H365" t="s">
        <v>17</v>
      </c>
      <c r="I365" t="str">
        <f>"061128001254"</f>
        <v>061128001254</v>
      </c>
    </row>
    <row r="366" spans="1:9" x14ac:dyDescent="0.25">
      <c r="A366" t="s">
        <v>336</v>
      </c>
      <c r="B366" t="s">
        <v>13</v>
      </c>
      <c r="C366" t="s">
        <v>17</v>
      </c>
      <c r="D366">
        <v>1.2</v>
      </c>
      <c r="E366" t="s">
        <v>17</v>
      </c>
      <c r="F366" t="s">
        <v>17</v>
      </c>
      <c r="G366">
        <v>11.67</v>
      </c>
      <c r="H366" t="s">
        <v>17</v>
      </c>
      <c r="I366" t="str">
        <f>"060270007439"</f>
        <v>060270007439</v>
      </c>
    </row>
    <row r="367" spans="1:9" x14ac:dyDescent="0.25">
      <c r="A367" t="s">
        <v>337</v>
      </c>
      <c r="B367" t="s">
        <v>13</v>
      </c>
      <c r="C367" t="s">
        <v>17</v>
      </c>
      <c r="D367" t="s">
        <v>17</v>
      </c>
      <c r="E367" t="s">
        <v>17</v>
      </c>
      <c r="F367" t="s">
        <v>17</v>
      </c>
      <c r="G367" t="s">
        <v>17</v>
      </c>
      <c r="H367" t="s">
        <v>17</v>
      </c>
      <c r="I367" t="str">
        <f>"060270011937"</f>
        <v>060270011937</v>
      </c>
    </row>
    <row r="368" spans="1:9" x14ac:dyDescent="0.25">
      <c r="A368" t="s">
        <v>338</v>
      </c>
      <c r="B368" t="s">
        <v>13</v>
      </c>
      <c r="C368">
        <v>26</v>
      </c>
      <c r="D368">
        <v>27.5</v>
      </c>
      <c r="E368" t="s">
        <v>17</v>
      </c>
      <c r="F368">
        <v>18.920000000000002</v>
      </c>
      <c r="G368">
        <v>18.649999999999999</v>
      </c>
      <c r="H368" t="s">
        <v>17</v>
      </c>
      <c r="I368" t="str">
        <f>"060962000969"</f>
        <v>060962000969</v>
      </c>
    </row>
    <row r="369" spans="1:9" x14ac:dyDescent="0.25">
      <c r="A369" t="s">
        <v>338</v>
      </c>
      <c r="B369" t="s">
        <v>13</v>
      </c>
      <c r="C369">
        <v>26</v>
      </c>
      <c r="D369">
        <v>29</v>
      </c>
      <c r="E369" t="s">
        <v>17</v>
      </c>
      <c r="F369">
        <v>25.5</v>
      </c>
      <c r="G369">
        <v>24.93</v>
      </c>
      <c r="H369" t="s">
        <v>17</v>
      </c>
      <c r="I369" t="str">
        <f>"064215006901"</f>
        <v>064215006901</v>
      </c>
    </row>
    <row r="370" spans="1:9" x14ac:dyDescent="0.25">
      <c r="A370" t="s">
        <v>339</v>
      </c>
      <c r="B370" t="s">
        <v>13</v>
      </c>
      <c r="C370">
        <v>11</v>
      </c>
      <c r="D370">
        <v>11</v>
      </c>
      <c r="E370" t="s">
        <v>17</v>
      </c>
      <c r="F370">
        <v>26.55</v>
      </c>
      <c r="G370">
        <v>23.82</v>
      </c>
      <c r="H370" t="s">
        <v>17</v>
      </c>
      <c r="I370" t="str">
        <f>"060768000734"</f>
        <v>060768000734</v>
      </c>
    </row>
    <row r="371" spans="1:9" x14ac:dyDescent="0.25">
      <c r="A371" t="s">
        <v>340</v>
      </c>
      <c r="B371" t="s">
        <v>13</v>
      </c>
      <c r="C371">
        <v>27.3</v>
      </c>
      <c r="D371">
        <v>30.6</v>
      </c>
      <c r="E371" t="s">
        <v>17</v>
      </c>
      <c r="F371">
        <v>25.53</v>
      </c>
      <c r="G371">
        <v>20.420000000000002</v>
      </c>
      <c r="H371" t="s">
        <v>17</v>
      </c>
      <c r="I371" t="str">
        <f>"060270000196"</f>
        <v>060270000196</v>
      </c>
    </row>
    <row r="372" spans="1:9" x14ac:dyDescent="0.25">
      <c r="A372" t="s">
        <v>341</v>
      </c>
      <c r="B372" t="s">
        <v>13</v>
      </c>
      <c r="C372">
        <v>27.5</v>
      </c>
      <c r="D372">
        <v>20.5</v>
      </c>
      <c r="E372" t="s">
        <v>17</v>
      </c>
      <c r="F372">
        <v>19.64</v>
      </c>
      <c r="G372">
        <v>21.02</v>
      </c>
      <c r="H372" t="s">
        <v>17</v>
      </c>
      <c r="I372" t="str">
        <f>"060768000733"</f>
        <v>060768000733</v>
      </c>
    </row>
    <row r="373" spans="1:9" x14ac:dyDescent="0.25">
      <c r="A373" t="s">
        <v>342</v>
      </c>
      <c r="B373" t="s">
        <v>13</v>
      </c>
      <c r="C373">
        <v>10.6</v>
      </c>
      <c r="D373">
        <v>10.27</v>
      </c>
      <c r="E373" t="s">
        <v>17</v>
      </c>
      <c r="F373">
        <v>20.85</v>
      </c>
      <c r="G373">
        <v>21.71</v>
      </c>
      <c r="H373" t="s">
        <v>17</v>
      </c>
      <c r="I373" t="str">
        <f>"060270010671"</f>
        <v>060270010671</v>
      </c>
    </row>
    <row r="374" spans="1:9" x14ac:dyDescent="0.25">
      <c r="A374" t="s">
        <v>343</v>
      </c>
      <c r="B374" t="s">
        <v>13</v>
      </c>
      <c r="C374">
        <v>15.1</v>
      </c>
      <c r="D374">
        <v>14</v>
      </c>
      <c r="E374" t="s">
        <v>17</v>
      </c>
      <c r="F374">
        <v>18.809999999999999</v>
      </c>
      <c r="G374">
        <v>20.21</v>
      </c>
      <c r="H374" t="s">
        <v>17</v>
      </c>
      <c r="I374" t="str">
        <f>"060273000198"</f>
        <v>060273000198</v>
      </c>
    </row>
    <row r="375" spans="1:9" x14ac:dyDescent="0.25">
      <c r="A375" t="s">
        <v>344</v>
      </c>
      <c r="B375" t="s">
        <v>13</v>
      </c>
      <c r="C375">
        <v>18.190000000000001</v>
      </c>
      <c r="D375">
        <v>19.93</v>
      </c>
      <c r="E375" t="s">
        <v>17</v>
      </c>
      <c r="F375">
        <v>14.4</v>
      </c>
      <c r="G375">
        <v>12.64</v>
      </c>
      <c r="H375" t="s">
        <v>17</v>
      </c>
      <c r="I375" t="str">
        <f>"060273000199"</f>
        <v>060273000199</v>
      </c>
    </row>
    <row r="376" spans="1:9" x14ac:dyDescent="0.25">
      <c r="A376" t="s">
        <v>345</v>
      </c>
      <c r="B376" t="s">
        <v>13</v>
      </c>
      <c r="C376">
        <v>45.4</v>
      </c>
      <c r="D376">
        <v>47.8</v>
      </c>
      <c r="E376" t="s">
        <v>17</v>
      </c>
      <c r="F376">
        <v>24.74</v>
      </c>
      <c r="G376">
        <v>23.64</v>
      </c>
      <c r="H376" t="s">
        <v>17</v>
      </c>
      <c r="I376" t="str">
        <f>"061524007518"</f>
        <v>061524007518</v>
      </c>
    </row>
    <row r="377" spans="1:9" x14ac:dyDescent="0.25">
      <c r="A377" t="s">
        <v>346</v>
      </c>
      <c r="B377" t="s">
        <v>13</v>
      </c>
      <c r="C377">
        <v>26</v>
      </c>
      <c r="D377">
        <v>22</v>
      </c>
      <c r="E377" t="s">
        <v>17</v>
      </c>
      <c r="F377">
        <v>23.85</v>
      </c>
      <c r="G377">
        <v>24.36</v>
      </c>
      <c r="H377" t="s">
        <v>17</v>
      </c>
      <c r="I377" t="str">
        <f>"062271012677"</f>
        <v>062271012677</v>
      </c>
    </row>
    <row r="378" spans="1:9" x14ac:dyDescent="0.25">
      <c r="A378" t="s">
        <v>347</v>
      </c>
      <c r="B378" t="s">
        <v>13</v>
      </c>
      <c r="C378">
        <v>17</v>
      </c>
      <c r="D378">
        <v>16</v>
      </c>
      <c r="E378" t="s">
        <v>17</v>
      </c>
      <c r="F378">
        <v>21.24</v>
      </c>
      <c r="G378">
        <v>21.63</v>
      </c>
      <c r="H378" t="s">
        <v>17</v>
      </c>
      <c r="I378" t="str">
        <f>"061152001282"</f>
        <v>061152001282</v>
      </c>
    </row>
    <row r="379" spans="1:9" x14ac:dyDescent="0.25">
      <c r="A379" t="s">
        <v>348</v>
      </c>
      <c r="B379" t="s">
        <v>13</v>
      </c>
      <c r="C379">
        <v>49.7</v>
      </c>
      <c r="D379">
        <v>57.02</v>
      </c>
      <c r="E379" t="s">
        <v>17</v>
      </c>
      <c r="F379">
        <v>17.829999999999998</v>
      </c>
      <c r="G379">
        <v>16.89</v>
      </c>
      <c r="H379" t="s">
        <v>17</v>
      </c>
      <c r="I379" t="str">
        <f>"062271002896"</f>
        <v>062271002896</v>
      </c>
    </row>
    <row r="380" spans="1:9" x14ac:dyDescent="0.25">
      <c r="A380" t="s">
        <v>348</v>
      </c>
      <c r="B380" t="s">
        <v>13</v>
      </c>
      <c r="C380">
        <v>41.61</v>
      </c>
      <c r="D380">
        <v>38.1</v>
      </c>
      <c r="E380" t="s">
        <v>17</v>
      </c>
      <c r="F380">
        <v>25.26</v>
      </c>
      <c r="G380">
        <v>25.56</v>
      </c>
      <c r="H380" t="s">
        <v>17</v>
      </c>
      <c r="I380" t="str">
        <f>"063462005760"</f>
        <v>063462005760</v>
      </c>
    </row>
    <row r="381" spans="1:9" x14ac:dyDescent="0.25">
      <c r="A381" t="s">
        <v>349</v>
      </c>
      <c r="B381" t="s">
        <v>13</v>
      </c>
      <c r="C381">
        <v>26</v>
      </c>
      <c r="D381">
        <v>26</v>
      </c>
      <c r="E381" t="s">
        <v>17</v>
      </c>
      <c r="F381">
        <v>27.27</v>
      </c>
      <c r="G381">
        <v>27</v>
      </c>
      <c r="H381" t="s">
        <v>17</v>
      </c>
      <c r="I381" t="str">
        <f>"061111001227"</f>
        <v>061111001227</v>
      </c>
    </row>
    <row r="382" spans="1:9" x14ac:dyDescent="0.25">
      <c r="A382" t="s">
        <v>349</v>
      </c>
      <c r="B382" t="s">
        <v>13</v>
      </c>
      <c r="C382">
        <v>28.61</v>
      </c>
      <c r="D382">
        <v>27.62</v>
      </c>
      <c r="E382" t="s">
        <v>17</v>
      </c>
      <c r="F382">
        <v>24.92</v>
      </c>
      <c r="G382">
        <v>24.44</v>
      </c>
      <c r="H382" t="s">
        <v>17</v>
      </c>
      <c r="I382" t="str">
        <f>"063627006186"</f>
        <v>063627006186</v>
      </c>
    </row>
    <row r="383" spans="1:9" x14ac:dyDescent="0.25">
      <c r="A383" t="s">
        <v>349</v>
      </c>
      <c r="B383" t="s">
        <v>13</v>
      </c>
      <c r="C383">
        <v>38.5</v>
      </c>
      <c r="D383">
        <v>43.5</v>
      </c>
      <c r="E383" t="s">
        <v>17</v>
      </c>
      <c r="F383">
        <v>29.17</v>
      </c>
      <c r="G383">
        <v>25.98</v>
      </c>
      <c r="H383" t="s">
        <v>17</v>
      </c>
      <c r="I383" t="str">
        <f>"063531005990"</f>
        <v>063531005990</v>
      </c>
    </row>
    <row r="384" spans="1:9" x14ac:dyDescent="0.25">
      <c r="A384" t="s">
        <v>350</v>
      </c>
      <c r="B384" t="s">
        <v>13</v>
      </c>
      <c r="C384">
        <v>31.85</v>
      </c>
      <c r="D384">
        <v>28.35</v>
      </c>
      <c r="E384" t="s">
        <v>17</v>
      </c>
      <c r="F384">
        <v>21.35</v>
      </c>
      <c r="G384">
        <v>22.86</v>
      </c>
      <c r="H384" t="s">
        <v>17</v>
      </c>
      <c r="I384" t="str">
        <f>"062211002618"</f>
        <v>062211002618</v>
      </c>
    </row>
    <row r="385" spans="1:9" x14ac:dyDescent="0.25">
      <c r="A385" t="s">
        <v>351</v>
      </c>
      <c r="B385" t="s">
        <v>13</v>
      </c>
      <c r="C385">
        <v>90.95</v>
      </c>
      <c r="D385">
        <v>90.62</v>
      </c>
      <c r="E385" t="s">
        <v>17</v>
      </c>
      <c r="F385">
        <v>23.89</v>
      </c>
      <c r="G385">
        <v>24.67</v>
      </c>
      <c r="H385" t="s">
        <v>17</v>
      </c>
      <c r="I385" t="str">
        <f>"061182001301"</f>
        <v>061182001301</v>
      </c>
    </row>
    <row r="386" spans="1:9" x14ac:dyDescent="0.25">
      <c r="A386" t="s">
        <v>352</v>
      </c>
      <c r="B386" t="s">
        <v>13</v>
      </c>
      <c r="C386">
        <v>67.14</v>
      </c>
      <c r="D386">
        <v>65.55</v>
      </c>
      <c r="E386" t="s">
        <v>17</v>
      </c>
      <c r="F386">
        <v>21</v>
      </c>
      <c r="G386">
        <v>21.27</v>
      </c>
      <c r="H386" t="s">
        <v>17</v>
      </c>
      <c r="I386" t="str">
        <f>"064347011377"</f>
        <v>064347011377</v>
      </c>
    </row>
    <row r="387" spans="1:9" x14ac:dyDescent="0.25">
      <c r="A387" t="s">
        <v>353</v>
      </c>
      <c r="B387" t="s">
        <v>13</v>
      </c>
      <c r="C387">
        <v>3.5</v>
      </c>
      <c r="D387">
        <v>3.01</v>
      </c>
      <c r="E387" t="s">
        <v>17</v>
      </c>
      <c r="F387">
        <v>24</v>
      </c>
      <c r="G387">
        <v>27.24</v>
      </c>
      <c r="H387" t="s">
        <v>17</v>
      </c>
      <c r="I387" t="str">
        <f>"062271002815"</f>
        <v>062271002815</v>
      </c>
    </row>
    <row r="388" spans="1:9" x14ac:dyDescent="0.25">
      <c r="A388" t="s">
        <v>354</v>
      </c>
      <c r="B388" t="s">
        <v>13</v>
      </c>
      <c r="C388">
        <v>20</v>
      </c>
      <c r="D388">
        <v>19.010000000000002</v>
      </c>
      <c r="E388" t="s">
        <v>17</v>
      </c>
      <c r="F388">
        <v>20.75</v>
      </c>
      <c r="G388">
        <v>22.36</v>
      </c>
      <c r="H388" t="s">
        <v>17</v>
      </c>
      <c r="I388" t="str">
        <f>"062271002816"</f>
        <v>062271002816</v>
      </c>
    </row>
    <row r="389" spans="1:9" x14ac:dyDescent="0.25">
      <c r="A389" t="s">
        <v>355</v>
      </c>
      <c r="B389" t="s">
        <v>13</v>
      </c>
      <c r="C389">
        <v>81.95</v>
      </c>
      <c r="D389">
        <v>83</v>
      </c>
      <c r="E389" t="s">
        <v>17</v>
      </c>
      <c r="F389">
        <v>25.41</v>
      </c>
      <c r="G389">
        <v>25.95</v>
      </c>
      <c r="H389" t="s">
        <v>17</v>
      </c>
      <c r="I389" t="str">
        <f>"061336010429"</f>
        <v>061336010429</v>
      </c>
    </row>
    <row r="390" spans="1:9" x14ac:dyDescent="0.25">
      <c r="A390" t="s">
        <v>356</v>
      </c>
      <c r="B390" t="s">
        <v>13</v>
      </c>
      <c r="C390">
        <v>25.6</v>
      </c>
      <c r="D390">
        <v>21.6</v>
      </c>
      <c r="E390" t="s">
        <v>17</v>
      </c>
      <c r="F390">
        <v>21.91</v>
      </c>
      <c r="G390">
        <v>21.53</v>
      </c>
      <c r="H390" t="s">
        <v>17</v>
      </c>
      <c r="I390" t="str">
        <f>"063432005410"</f>
        <v>063432005410</v>
      </c>
    </row>
    <row r="391" spans="1:9" x14ac:dyDescent="0.25">
      <c r="A391" t="s">
        <v>357</v>
      </c>
      <c r="B391" t="s">
        <v>13</v>
      </c>
      <c r="C391">
        <v>29</v>
      </c>
      <c r="D391">
        <v>32.6</v>
      </c>
      <c r="E391" t="s">
        <v>17</v>
      </c>
      <c r="F391">
        <v>15.97</v>
      </c>
      <c r="G391">
        <v>17.3</v>
      </c>
      <c r="H391" t="s">
        <v>17</v>
      </c>
      <c r="I391" t="str">
        <f>"062271003140"</f>
        <v>062271003140</v>
      </c>
    </row>
    <row r="392" spans="1:9" x14ac:dyDescent="0.25">
      <c r="A392" t="s">
        <v>358</v>
      </c>
      <c r="B392" t="s">
        <v>13</v>
      </c>
      <c r="C392" t="s">
        <v>17</v>
      </c>
      <c r="D392" t="s">
        <v>14</v>
      </c>
      <c r="E392" t="s">
        <v>14</v>
      </c>
      <c r="F392" t="s">
        <v>17</v>
      </c>
      <c r="G392" t="s">
        <v>14</v>
      </c>
      <c r="H392" t="s">
        <v>14</v>
      </c>
      <c r="I392" t="str">
        <f>"062271012905"</f>
        <v>062271012905</v>
      </c>
    </row>
    <row r="393" spans="1:9" x14ac:dyDescent="0.25">
      <c r="A393" t="s">
        <v>359</v>
      </c>
      <c r="B393" t="s">
        <v>13</v>
      </c>
      <c r="C393" t="s">
        <v>17</v>
      </c>
      <c r="D393" t="s">
        <v>14</v>
      </c>
      <c r="E393" t="s">
        <v>14</v>
      </c>
      <c r="F393" t="s">
        <v>17</v>
      </c>
      <c r="G393" t="s">
        <v>14</v>
      </c>
      <c r="H393" t="s">
        <v>14</v>
      </c>
      <c r="I393" t="str">
        <f>"062271012908"</f>
        <v>062271012908</v>
      </c>
    </row>
    <row r="394" spans="1:9" x14ac:dyDescent="0.25">
      <c r="A394" t="s">
        <v>360</v>
      </c>
      <c r="B394" t="s">
        <v>13</v>
      </c>
      <c r="C394">
        <v>30.2</v>
      </c>
      <c r="D394">
        <v>27.2</v>
      </c>
      <c r="E394" t="s">
        <v>14</v>
      </c>
      <c r="F394">
        <v>19.239999999999998</v>
      </c>
      <c r="G394">
        <v>19.41</v>
      </c>
      <c r="H394" t="s">
        <v>14</v>
      </c>
      <c r="I394" t="str">
        <f>"062271012935"</f>
        <v>062271012935</v>
      </c>
    </row>
    <row r="395" spans="1:9" x14ac:dyDescent="0.25">
      <c r="A395" t="s">
        <v>361</v>
      </c>
      <c r="B395" t="s">
        <v>13</v>
      </c>
      <c r="C395">
        <v>29</v>
      </c>
      <c r="D395">
        <v>25.2</v>
      </c>
      <c r="E395" t="s">
        <v>14</v>
      </c>
      <c r="F395">
        <v>19.93</v>
      </c>
      <c r="G395">
        <v>19.88</v>
      </c>
      <c r="H395" t="s">
        <v>14</v>
      </c>
      <c r="I395" t="str">
        <f>"062271012939"</f>
        <v>062271012939</v>
      </c>
    </row>
    <row r="396" spans="1:9" x14ac:dyDescent="0.25">
      <c r="A396" t="s">
        <v>362</v>
      </c>
      <c r="B396" t="s">
        <v>13</v>
      </c>
      <c r="C396">
        <v>26.2</v>
      </c>
      <c r="D396">
        <v>21.2</v>
      </c>
      <c r="E396" t="s">
        <v>14</v>
      </c>
      <c r="F396">
        <v>18.399999999999999</v>
      </c>
      <c r="G396">
        <v>18.21</v>
      </c>
      <c r="H396" t="s">
        <v>14</v>
      </c>
      <c r="I396" t="str">
        <f>"062271012903"</f>
        <v>062271012903</v>
      </c>
    </row>
    <row r="397" spans="1:9" x14ac:dyDescent="0.25">
      <c r="A397" t="s">
        <v>363</v>
      </c>
      <c r="B397" t="s">
        <v>13</v>
      </c>
      <c r="C397">
        <v>28</v>
      </c>
      <c r="D397">
        <v>26.2</v>
      </c>
      <c r="E397" t="s">
        <v>17</v>
      </c>
      <c r="F397">
        <v>22.5</v>
      </c>
      <c r="G397">
        <v>23.74</v>
      </c>
      <c r="H397" t="s">
        <v>17</v>
      </c>
      <c r="I397" t="str">
        <f>"061839010538"</f>
        <v>061839010538</v>
      </c>
    </row>
    <row r="398" spans="1:9" x14ac:dyDescent="0.25">
      <c r="A398" t="s">
        <v>364</v>
      </c>
      <c r="B398" t="s">
        <v>13</v>
      </c>
      <c r="C398">
        <v>27.2</v>
      </c>
      <c r="D398">
        <v>26.2</v>
      </c>
      <c r="E398" t="s">
        <v>17</v>
      </c>
      <c r="F398">
        <v>21.29</v>
      </c>
      <c r="G398">
        <v>22.37</v>
      </c>
      <c r="H398" t="s">
        <v>17</v>
      </c>
      <c r="I398" t="str">
        <f>"062271011636"</f>
        <v>062271011636</v>
      </c>
    </row>
    <row r="399" spans="1:9" x14ac:dyDescent="0.25">
      <c r="A399" t="s">
        <v>365</v>
      </c>
      <c r="B399" t="s">
        <v>13</v>
      </c>
      <c r="C399">
        <v>26.2</v>
      </c>
      <c r="D399">
        <v>17.2</v>
      </c>
      <c r="E399" t="s">
        <v>17</v>
      </c>
      <c r="F399">
        <v>20.46</v>
      </c>
      <c r="G399">
        <v>21.51</v>
      </c>
      <c r="H399" t="s">
        <v>17</v>
      </c>
      <c r="I399" t="str">
        <f>"062271012690"</f>
        <v>062271012690</v>
      </c>
    </row>
    <row r="400" spans="1:9" x14ac:dyDescent="0.25">
      <c r="A400" t="s">
        <v>366</v>
      </c>
      <c r="B400" t="s">
        <v>13</v>
      </c>
      <c r="C400">
        <v>27.2</v>
      </c>
      <c r="D400">
        <v>26.6</v>
      </c>
      <c r="E400" t="s">
        <v>17</v>
      </c>
      <c r="F400">
        <v>22.65</v>
      </c>
      <c r="G400">
        <v>23.35</v>
      </c>
      <c r="H400" t="s">
        <v>17</v>
      </c>
      <c r="I400" t="str">
        <f>"062142008504"</f>
        <v>062142008504</v>
      </c>
    </row>
    <row r="401" spans="1:9" x14ac:dyDescent="0.25">
      <c r="A401" t="s">
        <v>367</v>
      </c>
      <c r="B401" t="s">
        <v>13</v>
      </c>
      <c r="C401" t="s">
        <v>14</v>
      </c>
      <c r="D401" t="s">
        <v>14</v>
      </c>
      <c r="E401" t="s">
        <v>17</v>
      </c>
      <c r="F401" t="s">
        <v>14</v>
      </c>
      <c r="G401" t="s">
        <v>14</v>
      </c>
      <c r="H401" t="s">
        <v>17</v>
      </c>
      <c r="I401" t="str">
        <f>"062271012436"</f>
        <v>062271012436</v>
      </c>
    </row>
    <row r="402" spans="1:9" x14ac:dyDescent="0.25">
      <c r="A402" t="s">
        <v>368</v>
      </c>
      <c r="B402" t="s">
        <v>13</v>
      </c>
      <c r="C402">
        <v>39.6</v>
      </c>
      <c r="D402">
        <v>39.200000000000003</v>
      </c>
      <c r="E402" t="s">
        <v>17</v>
      </c>
      <c r="F402">
        <v>17.63</v>
      </c>
      <c r="G402">
        <v>20.69</v>
      </c>
      <c r="H402" t="s">
        <v>17</v>
      </c>
      <c r="I402" t="str">
        <f>"062271012306"</f>
        <v>062271012306</v>
      </c>
    </row>
    <row r="403" spans="1:9" x14ac:dyDescent="0.25">
      <c r="A403" t="s">
        <v>369</v>
      </c>
      <c r="B403" t="s">
        <v>13</v>
      </c>
      <c r="C403" t="s">
        <v>14</v>
      </c>
      <c r="D403" t="s">
        <v>14</v>
      </c>
      <c r="E403" t="s">
        <v>17</v>
      </c>
      <c r="F403" t="s">
        <v>14</v>
      </c>
      <c r="G403" t="s">
        <v>14</v>
      </c>
      <c r="H403" t="s">
        <v>17</v>
      </c>
      <c r="I403" t="str">
        <f>"062271012285"</f>
        <v>062271012285</v>
      </c>
    </row>
    <row r="404" spans="1:9" x14ac:dyDescent="0.25">
      <c r="A404" t="s">
        <v>370</v>
      </c>
      <c r="B404" t="s">
        <v>13</v>
      </c>
      <c r="C404">
        <v>25.4</v>
      </c>
      <c r="D404">
        <v>22.6</v>
      </c>
      <c r="E404" t="s">
        <v>17</v>
      </c>
      <c r="F404">
        <v>18.190000000000001</v>
      </c>
      <c r="G404">
        <v>23.85</v>
      </c>
      <c r="H404" t="s">
        <v>17</v>
      </c>
      <c r="I404" t="str">
        <f>"062271011639"</f>
        <v>062271011639</v>
      </c>
    </row>
    <row r="405" spans="1:9" x14ac:dyDescent="0.25">
      <c r="A405" t="s">
        <v>371</v>
      </c>
      <c r="B405" t="s">
        <v>13</v>
      </c>
      <c r="C405">
        <v>28.2</v>
      </c>
      <c r="D405">
        <v>26.2</v>
      </c>
      <c r="E405" t="s">
        <v>17</v>
      </c>
      <c r="F405">
        <v>20.89</v>
      </c>
      <c r="G405">
        <v>22.18</v>
      </c>
      <c r="H405" t="s">
        <v>17</v>
      </c>
      <c r="I405" t="str">
        <f>"062271010849"</f>
        <v>062271010849</v>
      </c>
    </row>
    <row r="406" spans="1:9" x14ac:dyDescent="0.25">
      <c r="A406" t="s">
        <v>372</v>
      </c>
      <c r="B406" t="s">
        <v>13</v>
      </c>
      <c r="C406">
        <v>32.4</v>
      </c>
      <c r="D406">
        <v>32.700000000000003</v>
      </c>
      <c r="E406" t="s">
        <v>17</v>
      </c>
      <c r="F406">
        <v>21.42</v>
      </c>
      <c r="G406">
        <v>22.81</v>
      </c>
      <c r="H406" t="s">
        <v>17</v>
      </c>
      <c r="I406" t="str">
        <f>"062271011635"</f>
        <v>062271011635</v>
      </c>
    </row>
    <row r="407" spans="1:9" x14ac:dyDescent="0.25">
      <c r="A407" t="s">
        <v>373</v>
      </c>
      <c r="B407" t="s">
        <v>13</v>
      </c>
      <c r="C407">
        <v>29</v>
      </c>
      <c r="D407">
        <v>28.2</v>
      </c>
      <c r="E407" t="s">
        <v>17</v>
      </c>
      <c r="F407">
        <v>21.69</v>
      </c>
      <c r="G407">
        <v>21.88</v>
      </c>
      <c r="H407" t="s">
        <v>17</v>
      </c>
      <c r="I407" t="str">
        <f>"062271010836"</f>
        <v>062271010836</v>
      </c>
    </row>
    <row r="408" spans="1:9" x14ac:dyDescent="0.25">
      <c r="A408" t="s">
        <v>374</v>
      </c>
      <c r="B408" t="s">
        <v>13</v>
      </c>
      <c r="C408">
        <v>27.2</v>
      </c>
      <c r="D408">
        <v>26.4</v>
      </c>
      <c r="E408" t="s">
        <v>17</v>
      </c>
      <c r="F408">
        <v>21.32</v>
      </c>
      <c r="G408">
        <v>20.8</v>
      </c>
      <c r="H408" t="s">
        <v>17</v>
      </c>
      <c r="I408" t="str">
        <f>"062271010848"</f>
        <v>062271010848</v>
      </c>
    </row>
    <row r="409" spans="1:9" x14ac:dyDescent="0.25">
      <c r="A409" t="s">
        <v>375</v>
      </c>
      <c r="B409" t="s">
        <v>13</v>
      </c>
      <c r="C409">
        <v>27.4</v>
      </c>
      <c r="D409">
        <v>22.93</v>
      </c>
      <c r="E409" t="s">
        <v>17</v>
      </c>
      <c r="F409">
        <v>19.16</v>
      </c>
      <c r="G409">
        <v>23.99</v>
      </c>
      <c r="H409" t="s">
        <v>17</v>
      </c>
      <c r="I409" t="str">
        <f>"062271011640"</f>
        <v>062271011640</v>
      </c>
    </row>
    <row r="410" spans="1:9" x14ac:dyDescent="0.25">
      <c r="A410" t="s">
        <v>376</v>
      </c>
      <c r="B410" t="s">
        <v>13</v>
      </c>
      <c r="C410">
        <v>13</v>
      </c>
      <c r="D410">
        <v>6</v>
      </c>
      <c r="E410" t="s">
        <v>14</v>
      </c>
      <c r="F410">
        <v>19.23</v>
      </c>
      <c r="G410">
        <v>14</v>
      </c>
      <c r="H410" t="s">
        <v>14</v>
      </c>
      <c r="I410" t="str">
        <f>"062271012631"</f>
        <v>062271012631</v>
      </c>
    </row>
    <row r="411" spans="1:9" x14ac:dyDescent="0.25">
      <c r="A411" t="s">
        <v>377</v>
      </c>
      <c r="B411" t="s">
        <v>13</v>
      </c>
      <c r="C411">
        <v>31</v>
      </c>
      <c r="D411">
        <v>30</v>
      </c>
      <c r="E411" t="s">
        <v>17</v>
      </c>
      <c r="F411">
        <v>26.81</v>
      </c>
      <c r="G411">
        <v>26.5</v>
      </c>
      <c r="H411" t="s">
        <v>17</v>
      </c>
      <c r="I411" t="str">
        <f>"061455003019"</f>
        <v>061455003019</v>
      </c>
    </row>
    <row r="412" spans="1:9" x14ac:dyDescent="0.25">
      <c r="A412" t="s">
        <v>378</v>
      </c>
      <c r="B412" t="s">
        <v>13</v>
      </c>
      <c r="C412">
        <v>55.94</v>
      </c>
      <c r="D412">
        <v>55.13</v>
      </c>
      <c r="E412" t="s">
        <v>17</v>
      </c>
      <c r="F412">
        <v>26.85</v>
      </c>
      <c r="G412">
        <v>26.68</v>
      </c>
      <c r="H412" t="s">
        <v>17</v>
      </c>
      <c r="I412" t="str">
        <f>"062583011453"</f>
        <v>062583011453</v>
      </c>
    </row>
    <row r="413" spans="1:9" x14ac:dyDescent="0.25">
      <c r="A413" t="s">
        <v>379</v>
      </c>
      <c r="B413" t="s">
        <v>13</v>
      </c>
      <c r="C413">
        <v>24</v>
      </c>
      <c r="D413">
        <v>25</v>
      </c>
      <c r="E413" t="s">
        <v>17</v>
      </c>
      <c r="F413">
        <v>29.33</v>
      </c>
      <c r="G413">
        <v>28</v>
      </c>
      <c r="H413" t="s">
        <v>17</v>
      </c>
      <c r="I413" t="str">
        <f>"062949008368"</f>
        <v>062949008368</v>
      </c>
    </row>
    <row r="414" spans="1:9" x14ac:dyDescent="0.25">
      <c r="A414" t="s">
        <v>380</v>
      </c>
      <c r="B414" t="s">
        <v>13</v>
      </c>
      <c r="C414">
        <v>6</v>
      </c>
      <c r="D414">
        <v>7</v>
      </c>
      <c r="E414" t="s">
        <v>17</v>
      </c>
      <c r="F414">
        <v>22.5</v>
      </c>
      <c r="G414">
        <v>21.43</v>
      </c>
      <c r="H414" t="s">
        <v>17</v>
      </c>
      <c r="I414" t="str">
        <f>"062271002817"</f>
        <v>062271002817</v>
      </c>
    </row>
    <row r="415" spans="1:9" x14ac:dyDescent="0.25">
      <c r="A415" t="s">
        <v>381</v>
      </c>
      <c r="B415" t="s">
        <v>13</v>
      </c>
      <c r="C415">
        <v>22.05</v>
      </c>
      <c r="D415">
        <v>23</v>
      </c>
      <c r="E415" t="s">
        <v>17</v>
      </c>
      <c r="F415">
        <v>28.03</v>
      </c>
      <c r="G415">
        <v>28.43</v>
      </c>
      <c r="H415" t="s">
        <v>17</v>
      </c>
      <c r="I415" t="str">
        <f>"060846000834"</f>
        <v>060846000834</v>
      </c>
    </row>
    <row r="416" spans="1:9" x14ac:dyDescent="0.25">
      <c r="A416" t="s">
        <v>382</v>
      </c>
      <c r="B416" t="s">
        <v>13</v>
      </c>
      <c r="C416">
        <v>27.44</v>
      </c>
      <c r="D416">
        <v>28.2</v>
      </c>
      <c r="E416" t="s">
        <v>17</v>
      </c>
      <c r="F416">
        <v>28.28</v>
      </c>
      <c r="G416">
        <v>26.77</v>
      </c>
      <c r="H416" t="s">
        <v>17</v>
      </c>
      <c r="I416" t="str">
        <f>"060429012345"</f>
        <v>060429012345</v>
      </c>
    </row>
    <row r="417" spans="1:9" x14ac:dyDescent="0.25">
      <c r="A417" t="s">
        <v>383</v>
      </c>
      <c r="B417" t="s">
        <v>13</v>
      </c>
      <c r="C417">
        <v>36</v>
      </c>
      <c r="D417">
        <v>39</v>
      </c>
      <c r="E417" t="s">
        <v>17</v>
      </c>
      <c r="F417">
        <v>25.33</v>
      </c>
      <c r="G417">
        <v>23.44</v>
      </c>
      <c r="H417" t="s">
        <v>17</v>
      </c>
      <c r="I417" t="str">
        <f>"061233001403"</f>
        <v>061233001403</v>
      </c>
    </row>
    <row r="418" spans="1:9" x14ac:dyDescent="0.25">
      <c r="A418" t="s">
        <v>384</v>
      </c>
      <c r="B418" t="s">
        <v>13</v>
      </c>
      <c r="C418">
        <v>37</v>
      </c>
      <c r="D418">
        <v>36</v>
      </c>
      <c r="E418" t="s">
        <v>17</v>
      </c>
      <c r="F418">
        <v>21.08</v>
      </c>
      <c r="G418">
        <v>20.83</v>
      </c>
      <c r="H418" t="s">
        <v>17</v>
      </c>
      <c r="I418" t="str">
        <f>"061336001524"</f>
        <v>061336001524</v>
      </c>
    </row>
    <row r="419" spans="1:9" x14ac:dyDescent="0.25">
      <c r="A419" t="s">
        <v>385</v>
      </c>
      <c r="B419" t="s">
        <v>13</v>
      </c>
      <c r="C419">
        <v>19.52</v>
      </c>
      <c r="D419">
        <v>18.52</v>
      </c>
      <c r="E419" t="s">
        <v>17</v>
      </c>
      <c r="F419">
        <v>27.36</v>
      </c>
      <c r="G419">
        <v>28.83</v>
      </c>
      <c r="H419" t="s">
        <v>17</v>
      </c>
      <c r="I419" t="str">
        <f>"062769004167"</f>
        <v>062769004167</v>
      </c>
    </row>
    <row r="420" spans="1:9" x14ac:dyDescent="0.25">
      <c r="A420" t="s">
        <v>386</v>
      </c>
      <c r="B420" t="s">
        <v>13</v>
      </c>
      <c r="C420">
        <v>24.3</v>
      </c>
      <c r="D420">
        <v>24.6</v>
      </c>
      <c r="E420" t="s">
        <v>17</v>
      </c>
      <c r="F420">
        <v>20.53</v>
      </c>
      <c r="G420">
        <v>20.81</v>
      </c>
      <c r="H420" t="s">
        <v>17</v>
      </c>
      <c r="I420" t="str">
        <f>"062409003620"</f>
        <v>062409003620</v>
      </c>
    </row>
    <row r="421" spans="1:9" x14ac:dyDescent="0.25">
      <c r="A421" t="s">
        <v>387</v>
      </c>
      <c r="B421" t="s">
        <v>13</v>
      </c>
      <c r="C421">
        <v>27</v>
      </c>
      <c r="D421">
        <v>23</v>
      </c>
      <c r="E421" t="s">
        <v>17</v>
      </c>
      <c r="F421">
        <v>19.48</v>
      </c>
      <c r="G421">
        <v>19.48</v>
      </c>
      <c r="H421" t="s">
        <v>17</v>
      </c>
      <c r="I421" t="str">
        <f>"061263001425"</f>
        <v>061263001425</v>
      </c>
    </row>
    <row r="422" spans="1:9" x14ac:dyDescent="0.25">
      <c r="A422" t="s">
        <v>388</v>
      </c>
      <c r="B422" t="s">
        <v>13</v>
      </c>
      <c r="C422">
        <v>15</v>
      </c>
      <c r="D422">
        <v>16.010000000000002</v>
      </c>
      <c r="E422" t="s">
        <v>17</v>
      </c>
      <c r="F422">
        <v>21.67</v>
      </c>
      <c r="G422">
        <v>23.55</v>
      </c>
      <c r="H422" t="s">
        <v>17</v>
      </c>
      <c r="I422" t="str">
        <f>"062271002818"</f>
        <v>062271002818</v>
      </c>
    </row>
    <row r="423" spans="1:9" x14ac:dyDescent="0.25">
      <c r="A423" t="s">
        <v>389</v>
      </c>
      <c r="B423" t="s">
        <v>13</v>
      </c>
      <c r="C423">
        <v>14</v>
      </c>
      <c r="D423">
        <v>14</v>
      </c>
      <c r="E423" t="s">
        <v>17</v>
      </c>
      <c r="F423">
        <v>22.14</v>
      </c>
      <c r="G423">
        <v>23.79</v>
      </c>
      <c r="H423" t="s">
        <v>17</v>
      </c>
      <c r="I423" t="str">
        <f>"062271002819"</f>
        <v>062271002819</v>
      </c>
    </row>
    <row r="424" spans="1:9" x14ac:dyDescent="0.25">
      <c r="A424" t="s">
        <v>390</v>
      </c>
      <c r="B424" t="s">
        <v>13</v>
      </c>
      <c r="C424">
        <v>27.55</v>
      </c>
      <c r="D424">
        <v>29.3</v>
      </c>
      <c r="E424" t="s">
        <v>17</v>
      </c>
      <c r="F424">
        <v>17.170000000000002</v>
      </c>
      <c r="G424">
        <v>18.23</v>
      </c>
      <c r="H424" t="s">
        <v>17</v>
      </c>
      <c r="I424" t="str">
        <f>"063459005699"</f>
        <v>063459005699</v>
      </c>
    </row>
    <row r="425" spans="1:9" x14ac:dyDescent="0.25">
      <c r="A425" t="s">
        <v>391</v>
      </c>
      <c r="B425" t="s">
        <v>13</v>
      </c>
      <c r="C425">
        <v>4</v>
      </c>
      <c r="D425">
        <v>4</v>
      </c>
      <c r="E425" t="s">
        <v>14</v>
      </c>
      <c r="F425">
        <v>25.25</v>
      </c>
      <c r="G425">
        <v>24.25</v>
      </c>
      <c r="H425" t="s">
        <v>14</v>
      </c>
      <c r="I425" t="str">
        <f>"060912010207"</f>
        <v>060912010207</v>
      </c>
    </row>
    <row r="426" spans="1:9" x14ac:dyDescent="0.25">
      <c r="A426" t="s">
        <v>392</v>
      </c>
      <c r="B426" t="s">
        <v>13</v>
      </c>
      <c r="C426">
        <v>23</v>
      </c>
      <c r="D426">
        <v>26.57</v>
      </c>
      <c r="E426" t="s">
        <v>17</v>
      </c>
      <c r="F426">
        <v>25.13</v>
      </c>
      <c r="G426">
        <v>22.69</v>
      </c>
      <c r="H426" t="s">
        <v>17</v>
      </c>
      <c r="I426" t="str">
        <f>"064074006718"</f>
        <v>064074006718</v>
      </c>
    </row>
    <row r="427" spans="1:9" x14ac:dyDescent="0.25">
      <c r="A427" t="s">
        <v>393</v>
      </c>
      <c r="B427" t="s">
        <v>13</v>
      </c>
      <c r="C427">
        <v>25</v>
      </c>
      <c r="D427">
        <v>25</v>
      </c>
      <c r="E427" t="s">
        <v>17</v>
      </c>
      <c r="F427">
        <v>29.36</v>
      </c>
      <c r="G427">
        <v>28.36</v>
      </c>
      <c r="H427" t="s">
        <v>17</v>
      </c>
      <c r="I427" t="str">
        <f>"064116006807"</f>
        <v>064116006807</v>
      </c>
    </row>
    <row r="428" spans="1:9" x14ac:dyDescent="0.25">
      <c r="A428" t="s">
        <v>394</v>
      </c>
      <c r="B428" t="s">
        <v>13</v>
      </c>
      <c r="C428">
        <v>33.54</v>
      </c>
      <c r="D428">
        <v>35.619999999999997</v>
      </c>
      <c r="E428" t="s">
        <v>17</v>
      </c>
      <c r="F428">
        <v>24.09</v>
      </c>
      <c r="G428">
        <v>23.58</v>
      </c>
      <c r="H428" t="s">
        <v>17</v>
      </c>
      <c r="I428" t="str">
        <f>"062223011413"</f>
        <v>062223011413</v>
      </c>
    </row>
    <row r="429" spans="1:9" x14ac:dyDescent="0.25">
      <c r="A429" t="s">
        <v>395</v>
      </c>
      <c r="B429" t="s">
        <v>13</v>
      </c>
      <c r="C429">
        <v>27</v>
      </c>
      <c r="D429">
        <v>28</v>
      </c>
      <c r="E429" t="s">
        <v>17</v>
      </c>
      <c r="F429">
        <v>29.56</v>
      </c>
      <c r="G429">
        <v>27.71</v>
      </c>
      <c r="H429" t="s">
        <v>17</v>
      </c>
      <c r="I429" t="str">
        <f>"061785002204"</f>
        <v>061785002204</v>
      </c>
    </row>
    <row r="430" spans="1:9" x14ac:dyDescent="0.25">
      <c r="A430" t="s">
        <v>396</v>
      </c>
      <c r="B430" t="s">
        <v>13</v>
      </c>
      <c r="C430" t="s">
        <v>14</v>
      </c>
      <c r="D430">
        <v>3</v>
      </c>
      <c r="E430" t="s">
        <v>14</v>
      </c>
      <c r="F430" t="s">
        <v>17</v>
      </c>
      <c r="G430">
        <v>10</v>
      </c>
      <c r="H430" t="s">
        <v>14</v>
      </c>
      <c r="I430" t="str">
        <f>"062271012803"</f>
        <v>062271012803</v>
      </c>
    </row>
    <row r="431" spans="1:9" x14ac:dyDescent="0.25">
      <c r="A431" t="s">
        <v>397</v>
      </c>
      <c r="B431" t="s">
        <v>13</v>
      </c>
      <c r="C431">
        <v>1</v>
      </c>
      <c r="D431">
        <v>1.33</v>
      </c>
      <c r="E431" t="s">
        <v>17</v>
      </c>
      <c r="F431">
        <v>5</v>
      </c>
      <c r="G431">
        <v>4.51</v>
      </c>
      <c r="H431" t="s">
        <v>17</v>
      </c>
      <c r="I431" t="str">
        <f>"060276008413"</f>
        <v>060276008413</v>
      </c>
    </row>
    <row r="432" spans="1:9" x14ac:dyDescent="0.25">
      <c r="A432" t="s">
        <v>398</v>
      </c>
      <c r="B432" t="s">
        <v>13</v>
      </c>
      <c r="C432">
        <v>18</v>
      </c>
      <c r="D432">
        <v>17</v>
      </c>
      <c r="E432" t="s">
        <v>17</v>
      </c>
      <c r="F432">
        <v>24.83</v>
      </c>
      <c r="G432">
        <v>24.41</v>
      </c>
      <c r="H432" t="s">
        <v>17</v>
      </c>
      <c r="I432" t="str">
        <f>"060001300805"</f>
        <v>060001300805</v>
      </c>
    </row>
    <row r="433" spans="1:9" x14ac:dyDescent="0.25">
      <c r="A433" t="s">
        <v>399</v>
      </c>
      <c r="B433" t="s">
        <v>13</v>
      </c>
      <c r="C433">
        <v>35.409999999999997</v>
      </c>
      <c r="D433">
        <v>37.4</v>
      </c>
      <c r="E433" t="s">
        <v>17</v>
      </c>
      <c r="F433">
        <v>24.51</v>
      </c>
      <c r="G433">
        <v>24.39</v>
      </c>
      <c r="H433" t="s">
        <v>17</v>
      </c>
      <c r="I433" t="str">
        <f>"061149003494"</f>
        <v>061149003494</v>
      </c>
    </row>
    <row r="434" spans="1:9" x14ac:dyDescent="0.25">
      <c r="A434" t="s">
        <v>400</v>
      </c>
      <c r="B434" t="s">
        <v>13</v>
      </c>
      <c r="C434">
        <v>15</v>
      </c>
      <c r="D434">
        <v>17</v>
      </c>
      <c r="E434" t="s">
        <v>17</v>
      </c>
      <c r="F434">
        <v>26.07</v>
      </c>
      <c r="G434">
        <v>23.71</v>
      </c>
      <c r="H434" t="s">
        <v>17</v>
      </c>
      <c r="I434" t="str">
        <f>"060276000201"</f>
        <v>060276000201</v>
      </c>
    </row>
    <row r="435" spans="1:9" x14ac:dyDescent="0.25">
      <c r="A435" t="s">
        <v>400</v>
      </c>
      <c r="B435" t="s">
        <v>13</v>
      </c>
      <c r="C435">
        <v>14</v>
      </c>
      <c r="D435">
        <v>13</v>
      </c>
      <c r="E435" t="s">
        <v>17</v>
      </c>
      <c r="F435">
        <v>26.79</v>
      </c>
      <c r="G435">
        <v>26.23</v>
      </c>
      <c r="H435" t="s">
        <v>17</v>
      </c>
      <c r="I435" t="str">
        <f>"061944002333"</f>
        <v>061944002333</v>
      </c>
    </row>
    <row r="436" spans="1:9" x14ac:dyDescent="0.25">
      <c r="A436" t="s">
        <v>400</v>
      </c>
      <c r="B436" t="s">
        <v>13</v>
      </c>
      <c r="C436">
        <v>8.92</v>
      </c>
      <c r="D436">
        <v>9.33</v>
      </c>
      <c r="E436" t="s">
        <v>17</v>
      </c>
      <c r="F436">
        <v>16.260000000000002</v>
      </c>
      <c r="G436">
        <v>15.43</v>
      </c>
      <c r="H436" t="s">
        <v>17</v>
      </c>
      <c r="I436" t="str">
        <f>"061187001323"</f>
        <v>061187001323</v>
      </c>
    </row>
    <row r="437" spans="1:9" x14ac:dyDescent="0.25">
      <c r="A437" t="s">
        <v>401</v>
      </c>
      <c r="B437" t="s">
        <v>13</v>
      </c>
      <c r="C437">
        <v>71.7</v>
      </c>
      <c r="D437">
        <v>73.17</v>
      </c>
      <c r="E437" t="s">
        <v>17</v>
      </c>
      <c r="F437">
        <v>25.19</v>
      </c>
      <c r="G437">
        <v>24.33</v>
      </c>
      <c r="H437" t="s">
        <v>17</v>
      </c>
      <c r="I437" t="str">
        <f>"063363012310"</f>
        <v>063363012310</v>
      </c>
    </row>
    <row r="438" spans="1:9" x14ac:dyDescent="0.25">
      <c r="A438" t="s">
        <v>402</v>
      </c>
      <c r="B438" t="s">
        <v>13</v>
      </c>
      <c r="C438">
        <v>29.9</v>
      </c>
      <c r="D438">
        <v>35.4</v>
      </c>
      <c r="E438" t="s">
        <v>17</v>
      </c>
      <c r="F438">
        <v>28.93</v>
      </c>
      <c r="G438">
        <v>23.84</v>
      </c>
      <c r="H438" t="s">
        <v>17</v>
      </c>
      <c r="I438" t="str">
        <f>"060002911044"</f>
        <v>060002911044</v>
      </c>
    </row>
    <row r="439" spans="1:9" x14ac:dyDescent="0.25">
      <c r="A439" t="s">
        <v>403</v>
      </c>
      <c r="B439" t="s">
        <v>13</v>
      </c>
      <c r="C439">
        <v>28.85</v>
      </c>
      <c r="D439">
        <v>31.9</v>
      </c>
      <c r="E439" t="s">
        <v>17</v>
      </c>
      <c r="F439">
        <v>24.51</v>
      </c>
      <c r="G439">
        <v>23.17</v>
      </c>
      <c r="H439" t="s">
        <v>17</v>
      </c>
      <c r="I439" t="str">
        <f>"061149010268"</f>
        <v>061149010268</v>
      </c>
    </row>
    <row r="440" spans="1:9" x14ac:dyDescent="0.25">
      <c r="A440" t="s">
        <v>404</v>
      </c>
      <c r="B440" t="s">
        <v>13</v>
      </c>
      <c r="C440" t="s">
        <v>14</v>
      </c>
      <c r="D440" t="s">
        <v>17</v>
      </c>
      <c r="E440" t="s">
        <v>17</v>
      </c>
      <c r="F440" t="s">
        <v>17</v>
      </c>
      <c r="G440" t="s">
        <v>17</v>
      </c>
      <c r="H440" t="s">
        <v>17</v>
      </c>
      <c r="I440" t="str">
        <f>"069107808004"</f>
        <v>069107808004</v>
      </c>
    </row>
    <row r="441" spans="1:9" x14ac:dyDescent="0.25">
      <c r="A441" t="s">
        <v>405</v>
      </c>
      <c r="B441" t="s">
        <v>13</v>
      </c>
      <c r="C441">
        <v>80.12</v>
      </c>
      <c r="D441">
        <v>81.77</v>
      </c>
      <c r="E441" t="s">
        <v>17</v>
      </c>
      <c r="F441">
        <v>21.42</v>
      </c>
      <c r="G441">
        <v>21.67</v>
      </c>
      <c r="H441" t="s">
        <v>17</v>
      </c>
      <c r="I441" t="str">
        <f>"060282000203"</f>
        <v>060282000203</v>
      </c>
    </row>
    <row r="442" spans="1:9" x14ac:dyDescent="0.25">
      <c r="A442" t="s">
        <v>406</v>
      </c>
      <c r="B442" t="s">
        <v>13</v>
      </c>
      <c r="C442">
        <v>32.68</v>
      </c>
      <c r="D442">
        <v>13.25</v>
      </c>
      <c r="E442" t="s">
        <v>17</v>
      </c>
      <c r="F442">
        <v>25.89</v>
      </c>
      <c r="G442">
        <v>19.77</v>
      </c>
      <c r="H442" t="s">
        <v>17</v>
      </c>
      <c r="I442" t="str">
        <f>"062958012022"</f>
        <v>062958012022</v>
      </c>
    </row>
    <row r="443" spans="1:9" x14ac:dyDescent="0.25">
      <c r="A443" t="s">
        <v>407</v>
      </c>
      <c r="B443" t="s">
        <v>13</v>
      </c>
      <c r="C443" t="s">
        <v>17</v>
      </c>
      <c r="D443" t="s">
        <v>17</v>
      </c>
      <c r="E443" t="s">
        <v>17</v>
      </c>
      <c r="F443" t="s">
        <v>17</v>
      </c>
      <c r="G443" t="s">
        <v>17</v>
      </c>
      <c r="H443" t="s">
        <v>17</v>
      </c>
      <c r="I443" t="str">
        <f>"060011210925"</f>
        <v>060011210925</v>
      </c>
    </row>
    <row r="444" spans="1:9" x14ac:dyDescent="0.25">
      <c r="A444" t="s">
        <v>408</v>
      </c>
      <c r="B444" t="s">
        <v>13</v>
      </c>
      <c r="C444">
        <v>2</v>
      </c>
      <c r="D444">
        <v>6.4</v>
      </c>
      <c r="E444" t="s">
        <v>17</v>
      </c>
      <c r="F444">
        <v>27</v>
      </c>
      <c r="G444">
        <v>20.16</v>
      </c>
      <c r="H444" t="s">
        <v>17</v>
      </c>
      <c r="I444" t="str">
        <f>"060790008581"</f>
        <v>060790008581</v>
      </c>
    </row>
    <row r="445" spans="1:9" x14ac:dyDescent="0.25">
      <c r="A445" t="s">
        <v>409</v>
      </c>
      <c r="B445" t="s">
        <v>13</v>
      </c>
      <c r="C445">
        <v>35</v>
      </c>
      <c r="D445">
        <v>36.5</v>
      </c>
      <c r="E445" t="s">
        <v>17</v>
      </c>
      <c r="F445">
        <v>23.11</v>
      </c>
      <c r="G445">
        <v>22.74</v>
      </c>
      <c r="H445" t="s">
        <v>17</v>
      </c>
      <c r="I445" t="str">
        <f>"061884011411"</f>
        <v>061884011411</v>
      </c>
    </row>
    <row r="446" spans="1:9" x14ac:dyDescent="0.25">
      <c r="A446" t="s">
        <v>410</v>
      </c>
      <c r="B446" t="s">
        <v>13</v>
      </c>
      <c r="C446">
        <v>36.26</v>
      </c>
      <c r="D446">
        <v>36.5</v>
      </c>
      <c r="E446" t="s">
        <v>17</v>
      </c>
      <c r="F446">
        <v>18.73</v>
      </c>
      <c r="G446">
        <v>17.89</v>
      </c>
      <c r="H446" t="s">
        <v>17</v>
      </c>
      <c r="I446" t="str">
        <f>"061938002327"</f>
        <v>061938002327</v>
      </c>
    </row>
    <row r="447" spans="1:9" x14ac:dyDescent="0.25">
      <c r="A447" t="s">
        <v>411</v>
      </c>
      <c r="B447" t="s">
        <v>13</v>
      </c>
      <c r="C447">
        <v>18.66</v>
      </c>
      <c r="D447">
        <v>17.5</v>
      </c>
      <c r="E447" t="s">
        <v>17</v>
      </c>
      <c r="F447">
        <v>17.63</v>
      </c>
      <c r="G447">
        <v>19.66</v>
      </c>
      <c r="H447" t="s">
        <v>17</v>
      </c>
      <c r="I447" t="str">
        <f>"060231012063"</f>
        <v>060231012063</v>
      </c>
    </row>
    <row r="448" spans="1:9" x14ac:dyDescent="0.25">
      <c r="A448" t="s">
        <v>412</v>
      </c>
      <c r="B448" t="s">
        <v>13</v>
      </c>
      <c r="C448">
        <v>22</v>
      </c>
      <c r="D448">
        <v>20</v>
      </c>
      <c r="E448" t="s">
        <v>17</v>
      </c>
      <c r="F448">
        <v>23.73</v>
      </c>
      <c r="G448">
        <v>26.45</v>
      </c>
      <c r="H448" t="s">
        <v>17</v>
      </c>
      <c r="I448" t="str">
        <f>"062450003675"</f>
        <v>062450003675</v>
      </c>
    </row>
    <row r="449" spans="1:9" x14ac:dyDescent="0.25">
      <c r="A449" t="s">
        <v>413</v>
      </c>
      <c r="B449" t="s">
        <v>13</v>
      </c>
      <c r="C449">
        <v>27.12</v>
      </c>
      <c r="D449">
        <v>29.26</v>
      </c>
      <c r="E449" t="s">
        <v>17</v>
      </c>
      <c r="F449">
        <v>22.42</v>
      </c>
      <c r="G449">
        <v>21.46</v>
      </c>
      <c r="H449" t="s">
        <v>17</v>
      </c>
      <c r="I449" t="str">
        <f>"061674009847"</f>
        <v>061674009847</v>
      </c>
    </row>
    <row r="450" spans="1:9" x14ac:dyDescent="0.25">
      <c r="A450" t="s">
        <v>414</v>
      </c>
      <c r="B450" t="s">
        <v>13</v>
      </c>
      <c r="C450">
        <v>10.1</v>
      </c>
      <c r="D450">
        <v>10.3</v>
      </c>
      <c r="E450" t="s">
        <v>17</v>
      </c>
      <c r="F450">
        <v>19.8</v>
      </c>
      <c r="G450">
        <v>19.22</v>
      </c>
      <c r="H450" t="s">
        <v>17</v>
      </c>
      <c r="I450" t="str">
        <f>"060285007493"</f>
        <v>060285007493</v>
      </c>
    </row>
    <row r="451" spans="1:9" x14ac:dyDescent="0.25">
      <c r="A451" t="s">
        <v>415</v>
      </c>
      <c r="B451" t="s">
        <v>13</v>
      </c>
      <c r="C451">
        <v>9.9</v>
      </c>
      <c r="D451">
        <v>10.050000000000001</v>
      </c>
      <c r="E451" t="s">
        <v>17</v>
      </c>
      <c r="F451">
        <v>19.899999999999999</v>
      </c>
      <c r="G451">
        <v>18.71</v>
      </c>
      <c r="H451" t="s">
        <v>17</v>
      </c>
      <c r="I451" t="str">
        <f>"060285011984"</f>
        <v>060285011984</v>
      </c>
    </row>
    <row r="452" spans="1:9" x14ac:dyDescent="0.25">
      <c r="A452" t="s">
        <v>416</v>
      </c>
      <c r="B452" t="s">
        <v>13</v>
      </c>
      <c r="C452">
        <v>82.75</v>
      </c>
      <c r="D452">
        <v>88.6</v>
      </c>
      <c r="E452" t="s">
        <v>17</v>
      </c>
      <c r="F452">
        <v>23.13</v>
      </c>
      <c r="G452">
        <v>22.23</v>
      </c>
      <c r="H452" t="s">
        <v>17</v>
      </c>
      <c r="I452" t="str">
        <f>"060285000207"</f>
        <v>060285000207</v>
      </c>
    </row>
    <row r="453" spans="1:9" x14ac:dyDescent="0.25">
      <c r="A453" t="s">
        <v>417</v>
      </c>
      <c r="B453" t="s">
        <v>13</v>
      </c>
      <c r="C453">
        <v>31.3</v>
      </c>
      <c r="D453">
        <v>35.89</v>
      </c>
      <c r="E453" t="s">
        <v>17</v>
      </c>
      <c r="F453">
        <v>24.54</v>
      </c>
      <c r="G453">
        <v>21.26</v>
      </c>
      <c r="H453" t="s">
        <v>17</v>
      </c>
      <c r="I453" t="str">
        <f>"060285000208"</f>
        <v>060285000208</v>
      </c>
    </row>
    <row r="454" spans="1:9" x14ac:dyDescent="0.25">
      <c r="A454" t="s">
        <v>418</v>
      </c>
      <c r="B454" t="s">
        <v>13</v>
      </c>
      <c r="C454">
        <v>23.6</v>
      </c>
      <c r="D454">
        <v>25</v>
      </c>
      <c r="E454" t="s">
        <v>17</v>
      </c>
      <c r="F454">
        <v>27.33</v>
      </c>
      <c r="G454">
        <v>25.08</v>
      </c>
      <c r="H454" t="s">
        <v>17</v>
      </c>
      <c r="I454" t="str">
        <f>"061518008355"</f>
        <v>061518008355</v>
      </c>
    </row>
    <row r="455" spans="1:9" x14ac:dyDescent="0.25">
      <c r="A455" t="s">
        <v>419</v>
      </c>
      <c r="B455" t="s">
        <v>13</v>
      </c>
      <c r="C455">
        <v>24</v>
      </c>
      <c r="D455">
        <v>22.4</v>
      </c>
      <c r="E455" t="s">
        <v>17</v>
      </c>
      <c r="F455">
        <v>24.5</v>
      </c>
      <c r="G455">
        <v>24.15</v>
      </c>
      <c r="H455" t="s">
        <v>17</v>
      </c>
      <c r="I455" t="str">
        <f>"060681000603"</f>
        <v>060681000603</v>
      </c>
    </row>
    <row r="456" spans="1:9" x14ac:dyDescent="0.25">
      <c r="A456" t="s">
        <v>419</v>
      </c>
      <c r="B456" t="s">
        <v>13</v>
      </c>
      <c r="C456">
        <v>25.81</v>
      </c>
      <c r="D456">
        <v>23.18</v>
      </c>
      <c r="E456" t="s">
        <v>17</v>
      </c>
      <c r="F456">
        <v>24.64</v>
      </c>
      <c r="G456">
        <v>26.45</v>
      </c>
      <c r="H456" t="s">
        <v>17</v>
      </c>
      <c r="I456" t="str">
        <f>"063942006550"</f>
        <v>063942006550</v>
      </c>
    </row>
    <row r="457" spans="1:9" x14ac:dyDescent="0.25">
      <c r="A457" t="s">
        <v>420</v>
      </c>
      <c r="B457" t="s">
        <v>13</v>
      </c>
      <c r="C457">
        <v>19.64</v>
      </c>
      <c r="D457">
        <v>18.84</v>
      </c>
      <c r="E457" t="s">
        <v>17</v>
      </c>
      <c r="F457">
        <v>18.989999999999998</v>
      </c>
      <c r="G457">
        <v>21.97</v>
      </c>
      <c r="H457" t="s">
        <v>17</v>
      </c>
      <c r="I457" t="str">
        <f>"069113603761"</f>
        <v>069113603761</v>
      </c>
    </row>
    <row r="458" spans="1:9" x14ac:dyDescent="0.25">
      <c r="A458" t="s">
        <v>421</v>
      </c>
      <c r="B458" t="s">
        <v>13</v>
      </c>
      <c r="C458">
        <v>15.2</v>
      </c>
      <c r="D458">
        <v>16</v>
      </c>
      <c r="E458" t="s">
        <v>17</v>
      </c>
      <c r="F458">
        <v>13.16</v>
      </c>
      <c r="G458">
        <v>20.69</v>
      </c>
      <c r="H458" t="s">
        <v>17</v>
      </c>
      <c r="I458" t="str">
        <f>"062271012312"</f>
        <v>062271012312</v>
      </c>
    </row>
    <row r="459" spans="1:9" x14ac:dyDescent="0.25">
      <c r="A459" t="s">
        <v>422</v>
      </c>
      <c r="B459" t="s">
        <v>13</v>
      </c>
      <c r="C459" t="s">
        <v>17</v>
      </c>
      <c r="D459" t="s">
        <v>17</v>
      </c>
      <c r="E459" t="s">
        <v>17</v>
      </c>
      <c r="F459" t="s">
        <v>17</v>
      </c>
      <c r="G459" t="s">
        <v>17</v>
      </c>
      <c r="H459" t="s">
        <v>17</v>
      </c>
      <c r="I459" t="str">
        <f>"069101710950"</f>
        <v>069101710950</v>
      </c>
    </row>
    <row r="460" spans="1:9" x14ac:dyDescent="0.25">
      <c r="A460" t="s">
        <v>423</v>
      </c>
      <c r="B460" t="s">
        <v>13</v>
      </c>
      <c r="C460">
        <v>16.78</v>
      </c>
      <c r="D460">
        <v>17.7</v>
      </c>
      <c r="E460" t="s">
        <v>17</v>
      </c>
      <c r="F460">
        <v>15.2</v>
      </c>
      <c r="G460">
        <v>14.29</v>
      </c>
      <c r="H460" t="s">
        <v>17</v>
      </c>
      <c r="I460" t="str">
        <f>"063684006245"</f>
        <v>063684006245</v>
      </c>
    </row>
    <row r="461" spans="1:9" x14ac:dyDescent="0.25">
      <c r="A461" t="s">
        <v>423</v>
      </c>
      <c r="B461" t="s">
        <v>13</v>
      </c>
      <c r="C461">
        <v>8.07</v>
      </c>
      <c r="D461">
        <v>8</v>
      </c>
      <c r="E461" t="s">
        <v>17</v>
      </c>
      <c r="F461">
        <v>18.46</v>
      </c>
      <c r="G461">
        <v>20</v>
      </c>
      <c r="H461" t="s">
        <v>17</v>
      </c>
      <c r="I461" t="str">
        <f>"061182006643"</f>
        <v>061182006643</v>
      </c>
    </row>
    <row r="462" spans="1:9" x14ac:dyDescent="0.25">
      <c r="A462" t="s">
        <v>424</v>
      </c>
      <c r="B462" t="s">
        <v>13</v>
      </c>
      <c r="C462">
        <v>20</v>
      </c>
      <c r="D462">
        <v>18</v>
      </c>
      <c r="E462" t="s">
        <v>17</v>
      </c>
      <c r="F462">
        <v>23.6</v>
      </c>
      <c r="G462">
        <v>24.06</v>
      </c>
      <c r="H462" t="s">
        <v>17</v>
      </c>
      <c r="I462" t="str">
        <f>"062271002820"</f>
        <v>062271002820</v>
      </c>
    </row>
    <row r="463" spans="1:9" x14ac:dyDescent="0.25">
      <c r="A463" t="s">
        <v>425</v>
      </c>
      <c r="B463" t="s">
        <v>13</v>
      </c>
      <c r="C463">
        <v>19</v>
      </c>
      <c r="D463" t="s">
        <v>14</v>
      </c>
      <c r="E463" t="s">
        <v>14</v>
      </c>
      <c r="F463">
        <v>17.53</v>
      </c>
      <c r="G463" t="s">
        <v>14</v>
      </c>
      <c r="H463" t="s">
        <v>14</v>
      </c>
      <c r="I463" t="str">
        <f>"062271013183"</f>
        <v>062271013183</v>
      </c>
    </row>
    <row r="464" spans="1:9" x14ac:dyDescent="0.25">
      <c r="A464" t="s">
        <v>426</v>
      </c>
      <c r="B464" t="s">
        <v>13</v>
      </c>
      <c r="C464">
        <v>21.6</v>
      </c>
      <c r="D464">
        <v>22.7</v>
      </c>
      <c r="E464" t="s">
        <v>17</v>
      </c>
      <c r="F464">
        <v>20.14</v>
      </c>
      <c r="G464">
        <v>18.940000000000001</v>
      </c>
      <c r="H464" t="s">
        <v>17</v>
      </c>
      <c r="I464" t="str">
        <f>"064023006652"</f>
        <v>064023006652</v>
      </c>
    </row>
    <row r="465" spans="1:9" x14ac:dyDescent="0.25">
      <c r="A465" t="s">
        <v>427</v>
      </c>
      <c r="B465" t="s">
        <v>13</v>
      </c>
      <c r="C465">
        <v>81.84</v>
      </c>
      <c r="D465">
        <v>80</v>
      </c>
      <c r="E465" t="s">
        <v>17</v>
      </c>
      <c r="F465">
        <v>25.99</v>
      </c>
      <c r="G465">
        <v>26.05</v>
      </c>
      <c r="H465" t="s">
        <v>17</v>
      </c>
      <c r="I465" t="str">
        <f>"060001709098"</f>
        <v>060001709098</v>
      </c>
    </row>
    <row r="466" spans="1:9" x14ac:dyDescent="0.25">
      <c r="A466" t="s">
        <v>428</v>
      </c>
      <c r="B466" t="s">
        <v>13</v>
      </c>
      <c r="C466" t="s">
        <v>17</v>
      </c>
      <c r="D466" t="s">
        <v>14</v>
      </c>
      <c r="E466" t="s">
        <v>14</v>
      </c>
      <c r="F466" t="s">
        <v>17</v>
      </c>
      <c r="G466" t="s">
        <v>14</v>
      </c>
      <c r="H466" t="s">
        <v>14</v>
      </c>
      <c r="I466" t="str">
        <f>"060001713290"</f>
        <v>060001713290</v>
      </c>
    </row>
    <row r="467" spans="1:9" x14ac:dyDescent="0.25">
      <c r="A467" t="s">
        <v>429</v>
      </c>
      <c r="B467" t="s">
        <v>13</v>
      </c>
      <c r="C467">
        <v>19.100000000000001</v>
      </c>
      <c r="D467">
        <v>10.17</v>
      </c>
      <c r="E467" t="s">
        <v>14</v>
      </c>
      <c r="F467">
        <v>20</v>
      </c>
      <c r="G467">
        <v>23.01</v>
      </c>
      <c r="H467" t="s">
        <v>14</v>
      </c>
      <c r="I467" t="str">
        <f>"062547012972"</f>
        <v>062547012972</v>
      </c>
    </row>
    <row r="468" spans="1:9" x14ac:dyDescent="0.25">
      <c r="A468" t="s">
        <v>430</v>
      </c>
      <c r="B468" t="s">
        <v>13</v>
      </c>
      <c r="C468">
        <v>29</v>
      </c>
      <c r="D468">
        <v>29</v>
      </c>
      <c r="E468" t="s">
        <v>17</v>
      </c>
      <c r="F468">
        <v>28.72</v>
      </c>
      <c r="G468">
        <v>28.72</v>
      </c>
      <c r="H468" t="s">
        <v>17</v>
      </c>
      <c r="I468" t="str">
        <f>"063003011495"</f>
        <v>063003011495</v>
      </c>
    </row>
    <row r="469" spans="1:9" x14ac:dyDescent="0.25">
      <c r="A469" t="s">
        <v>431</v>
      </c>
      <c r="B469" t="s">
        <v>13</v>
      </c>
      <c r="C469">
        <v>21.14</v>
      </c>
      <c r="D469">
        <v>20.14</v>
      </c>
      <c r="E469" t="s">
        <v>17</v>
      </c>
      <c r="F469">
        <v>23.56</v>
      </c>
      <c r="G469">
        <v>23.14</v>
      </c>
      <c r="H469" t="s">
        <v>17</v>
      </c>
      <c r="I469" t="str">
        <f>"064347007029"</f>
        <v>064347007029</v>
      </c>
    </row>
    <row r="470" spans="1:9" x14ac:dyDescent="0.25">
      <c r="A470" t="s">
        <v>432</v>
      </c>
      <c r="B470" t="s">
        <v>13</v>
      </c>
      <c r="C470">
        <v>19.64</v>
      </c>
      <c r="D470">
        <v>20.170000000000002</v>
      </c>
      <c r="E470" t="s">
        <v>17</v>
      </c>
      <c r="F470">
        <v>19.3</v>
      </c>
      <c r="G470">
        <v>19.09</v>
      </c>
      <c r="H470" t="s">
        <v>17</v>
      </c>
      <c r="I470" t="str">
        <f>"060231000106"</f>
        <v>060231000106</v>
      </c>
    </row>
    <row r="471" spans="1:9" x14ac:dyDescent="0.25">
      <c r="A471" t="s">
        <v>433</v>
      </c>
      <c r="B471" t="s">
        <v>13</v>
      </c>
      <c r="C471">
        <v>54</v>
      </c>
      <c r="D471">
        <v>54</v>
      </c>
      <c r="E471" t="s">
        <v>17</v>
      </c>
      <c r="F471">
        <v>24.98</v>
      </c>
      <c r="G471">
        <v>25.59</v>
      </c>
      <c r="H471" t="s">
        <v>17</v>
      </c>
      <c r="I471" t="str">
        <f>"062949004535"</f>
        <v>062949004535</v>
      </c>
    </row>
    <row r="472" spans="1:9" x14ac:dyDescent="0.25">
      <c r="A472" t="s">
        <v>434</v>
      </c>
      <c r="B472" t="s">
        <v>13</v>
      </c>
      <c r="C472">
        <v>29.5</v>
      </c>
      <c r="D472">
        <v>26.35</v>
      </c>
      <c r="E472" t="s">
        <v>17</v>
      </c>
      <c r="F472">
        <v>25.08</v>
      </c>
      <c r="G472">
        <v>27.86</v>
      </c>
      <c r="H472" t="s">
        <v>17</v>
      </c>
      <c r="I472" t="str">
        <f>"062949004536"</f>
        <v>062949004536</v>
      </c>
    </row>
    <row r="473" spans="1:9" x14ac:dyDescent="0.25">
      <c r="A473" t="s">
        <v>435</v>
      </c>
      <c r="B473" t="s">
        <v>13</v>
      </c>
      <c r="C473">
        <v>46.1</v>
      </c>
      <c r="D473">
        <v>46.5</v>
      </c>
      <c r="E473" t="s">
        <v>17</v>
      </c>
      <c r="F473">
        <v>22.82</v>
      </c>
      <c r="G473">
        <v>21.16</v>
      </c>
      <c r="H473" t="s">
        <v>17</v>
      </c>
      <c r="I473" t="str">
        <f>"063441005585"</f>
        <v>063441005585</v>
      </c>
    </row>
    <row r="474" spans="1:9" x14ac:dyDescent="0.25">
      <c r="A474" t="s">
        <v>436</v>
      </c>
      <c r="B474" t="s">
        <v>13</v>
      </c>
      <c r="C474">
        <v>20</v>
      </c>
      <c r="D474">
        <v>20</v>
      </c>
      <c r="E474" t="s">
        <v>17</v>
      </c>
      <c r="F474">
        <v>22.05</v>
      </c>
      <c r="G474">
        <v>22.75</v>
      </c>
      <c r="H474" t="s">
        <v>17</v>
      </c>
      <c r="I474" t="str">
        <f>"062271002821"</f>
        <v>062271002821</v>
      </c>
    </row>
    <row r="475" spans="1:9" x14ac:dyDescent="0.25">
      <c r="A475" t="s">
        <v>437</v>
      </c>
      <c r="B475" t="s">
        <v>13</v>
      </c>
      <c r="C475">
        <v>68.2</v>
      </c>
      <c r="D475">
        <v>67.8</v>
      </c>
      <c r="E475" t="s">
        <v>17</v>
      </c>
      <c r="F475">
        <v>21.13</v>
      </c>
      <c r="G475">
        <v>22.11</v>
      </c>
      <c r="H475" t="s">
        <v>17</v>
      </c>
      <c r="I475" t="str">
        <f>"063498005919"</f>
        <v>063498005919</v>
      </c>
    </row>
    <row r="476" spans="1:9" x14ac:dyDescent="0.25">
      <c r="A476" t="s">
        <v>438</v>
      </c>
      <c r="B476" t="s">
        <v>13</v>
      </c>
      <c r="C476">
        <v>14.15</v>
      </c>
      <c r="D476">
        <v>11</v>
      </c>
      <c r="E476" t="s">
        <v>17</v>
      </c>
      <c r="F476">
        <v>22.4</v>
      </c>
      <c r="G476">
        <v>23.18</v>
      </c>
      <c r="H476" t="s">
        <v>17</v>
      </c>
      <c r="I476" t="str">
        <f>"062271012437"</f>
        <v>062271012437</v>
      </c>
    </row>
    <row r="477" spans="1:9" x14ac:dyDescent="0.25">
      <c r="A477" t="s">
        <v>439</v>
      </c>
      <c r="B477" t="s">
        <v>13</v>
      </c>
      <c r="C477">
        <v>20.2</v>
      </c>
      <c r="D477">
        <v>20</v>
      </c>
      <c r="E477" t="s">
        <v>17</v>
      </c>
      <c r="F477">
        <v>25.84</v>
      </c>
      <c r="G477">
        <v>25.3</v>
      </c>
      <c r="H477" t="s">
        <v>17</v>
      </c>
      <c r="I477" t="str">
        <f>"062409003621"</f>
        <v>062409003621</v>
      </c>
    </row>
    <row r="478" spans="1:9" x14ac:dyDescent="0.25">
      <c r="A478" t="s">
        <v>440</v>
      </c>
      <c r="B478" t="s">
        <v>13</v>
      </c>
      <c r="C478">
        <v>12.5</v>
      </c>
      <c r="D478">
        <v>12.5</v>
      </c>
      <c r="E478" t="s">
        <v>17</v>
      </c>
      <c r="F478">
        <v>28.8</v>
      </c>
      <c r="G478">
        <v>27.76</v>
      </c>
      <c r="H478" t="s">
        <v>17</v>
      </c>
      <c r="I478" t="str">
        <f>"062019007589"</f>
        <v>062019007589</v>
      </c>
    </row>
    <row r="479" spans="1:9" x14ac:dyDescent="0.25">
      <c r="A479" t="s">
        <v>441</v>
      </c>
      <c r="B479" t="s">
        <v>13</v>
      </c>
      <c r="C479" t="str">
        <f>"0.75"</f>
        <v>0.75</v>
      </c>
      <c r="D479" t="str">
        <f>"0.75"</f>
        <v>0.75</v>
      </c>
      <c r="E479" t="s">
        <v>17</v>
      </c>
      <c r="F479">
        <v>14.67</v>
      </c>
      <c r="G479">
        <v>9.33</v>
      </c>
      <c r="H479" t="s">
        <v>17</v>
      </c>
      <c r="I479" t="str">
        <f>"063036002931"</f>
        <v>063036002931</v>
      </c>
    </row>
    <row r="480" spans="1:9" x14ac:dyDescent="0.25">
      <c r="A480" t="s">
        <v>442</v>
      </c>
      <c r="B480" t="s">
        <v>13</v>
      </c>
      <c r="C480">
        <v>25</v>
      </c>
      <c r="D480">
        <v>23</v>
      </c>
      <c r="E480" t="s">
        <v>17</v>
      </c>
      <c r="F480">
        <v>24.08</v>
      </c>
      <c r="G480">
        <v>23.61</v>
      </c>
      <c r="H480" t="s">
        <v>17</v>
      </c>
      <c r="I480" t="str">
        <f>"063036004734"</f>
        <v>063036004734</v>
      </c>
    </row>
    <row r="481" spans="1:9" x14ac:dyDescent="0.25">
      <c r="A481" t="s">
        <v>443</v>
      </c>
      <c r="B481" t="s">
        <v>13</v>
      </c>
      <c r="C481">
        <v>24</v>
      </c>
      <c r="D481">
        <v>14.33</v>
      </c>
      <c r="E481" t="s">
        <v>17</v>
      </c>
      <c r="F481">
        <v>24.67</v>
      </c>
      <c r="G481" t="s">
        <v>17</v>
      </c>
      <c r="H481" t="s">
        <v>17</v>
      </c>
      <c r="I481" t="str">
        <f>"063462005752"</f>
        <v>063462005752</v>
      </c>
    </row>
    <row r="482" spans="1:9" x14ac:dyDescent="0.25">
      <c r="A482" t="s">
        <v>444</v>
      </c>
      <c r="B482" t="s">
        <v>13</v>
      </c>
      <c r="C482">
        <v>133.32</v>
      </c>
      <c r="D482">
        <v>145.46</v>
      </c>
      <c r="E482" t="s">
        <v>17</v>
      </c>
      <c r="F482">
        <v>26.36</v>
      </c>
      <c r="G482">
        <v>25.2</v>
      </c>
      <c r="H482" t="s">
        <v>17</v>
      </c>
      <c r="I482" t="str">
        <f>"060297000223"</f>
        <v>060297000223</v>
      </c>
    </row>
    <row r="483" spans="1:9" x14ac:dyDescent="0.25">
      <c r="A483" t="s">
        <v>445</v>
      </c>
      <c r="B483" t="s">
        <v>13</v>
      </c>
      <c r="C483">
        <v>14.18</v>
      </c>
      <c r="D483">
        <v>17.25</v>
      </c>
      <c r="E483" t="s">
        <v>17</v>
      </c>
      <c r="F483">
        <v>21.44</v>
      </c>
      <c r="G483">
        <v>16.059999999999999</v>
      </c>
      <c r="H483" t="s">
        <v>17</v>
      </c>
      <c r="I483" t="str">
        <f>"060300000237"</f>
        <v>060300000237</v>
      </c>
    </row>
    <row r="484" spans="1:9" x14ac:dyDescent="0.25">
      <c r="A484" t="s">
        <v>446</v>
      </c>
      <c r="B484" t="s">
        <v>13</v>
      </c>
      <c r="C484">
        <v>39.21</v>
      </c>
      <c r="D484">
        <v>34.950000000000003</v>
      </c>
      <c r="E484" t="s">
        <v>17</v>
      </c>
      <c r="F484">
        <v>21.07</v>
      </c>
      <c r="G484">
        <v>23.4</v>
      </c>
      <c r="H484" t="s">
        <v>17</v>
      </c>
      <c r="I484" t="str">
        <f>"060303000238"</f>
        <v>060303000238</v>
      </c>
    </row>
    <row r="485" spans="1:9" x14ac:dyDescent="0.25">
      <c r="A485" t="s">
        <v>447</v>
      </c>
      <c r="B485" t="s">
        <v>13</v>
      </c>
      <c r="C485">
        <v>13</v>
      </c>
      <c r="D485">
        <v>11</v>
      </c>
      <c r="E485" t="s">
        <v>17</v>
      </c>
      <c r="F485">
        <v>19.850000000000001</v>
      </c>
      <c r="G485">
        <v>20.36</v>
      </c>
      <c r="H485" t="s">
        <v>17</v>
      </c>
      <c r="I485" t="str">
        <f>"062927012465"</f>
        <v>062927012465</v>
      </c>
    </row>
    <row r="486" spans="1:9" x14ac:dyDescent="0.25">
      <c r="A486" t="s">
        <v>448</v>
      </c>
      <c r="B486" t="s">
        <v>13</v>
      </c>
      <c r="C486" t="s">
        <v>14</v>
      </c>
      <c r="D486" t="s">
        <v>17</v>
      </c>
      <c r="E486" t="s">
        <v>17</v>
      </c>
      <c r="F486" t="s">
        <v>17</v>
      </c>
      <c r="G486" t="s">
        <v>17</v>
      </c>
      <c r="H486" t="s">
        <v>17</v>
      </c>
      <c r="I486" t="str">
        <f>"062664008532"</f>
        <v>062664008532</v>
      </c>
    </row>
    <row r="487" spans="1:9" x14ac:dyDescent="0.25">
      <c r="A487" t="s">
        <v>449</v>
      </c>
      <c r="B487" t="s">
        <v>13</v>
      </c>
      <c r="C487">
        <v>20</v>
      </c>
      <c r="D487">
        <v>19</v>
      </c>
      <c r="E487" t="s">
        <v>17</v>
      </c>
      <c r="F487">
        <v>20.7</v>
      </c>
      <c r="G487">
        <v>21.79</v>
      </c>
      <c r="H487" t="s">
        <v>17</v>
      </c>
      <c r="I487" t="str">
        <f>"060306000241"</f>
        <v>060306000241</v>
      </c>
    </row>
    <row r="488" spans="1:9" x14ac:dyDescent="0.25">
      <c r="A488" t="s">
        <v>450</v>
      </c>
      <c r="B488" t="s">
        <v>13</v>
      </c>
      <c r="C488">
        <v>34.450000000000003</v>
      </c>
      <c r="D488">
        <v>34.6</v>
      </c>
      <c r="E488" t="s">
        <v>17</v>
      </c>
      <c r="F488">
        <v>27.2</v>
      </c>
      <c r="G488">
        <v>25.43</v>
      </c>
      <c r="H488" t="s">
        <v>17</v>
      </c>
      <c r="I488" t="str">
        <f>"063462005753"</f>
        <v>063462005753</v>
      </c>
    </row>
    <row r="489" spans="1:9" x14ac:dyDescent="0.25">
      <c r="A489" t="s">
        <v>451</v>
      </c>
      <c r="B489" t="s">
        <v>13</v>
      </c>
      <c r="C489">
        <v>35</v>
      </c>
      <c r="D489">
        <v>34.6</v>
      </c>
      <c r="E489" t="s">
        <v>17</v>
      </c>
      <c r="F489">
        <v>26.14</v>
      </c>
      <c r="G489">
        <v>25.38</v>
      </c>
      <c r="H489" t="s">
        <v>17</v>
      </c>
      <c r="I489" t="str">
        <f>"061440008138"</f>
        <v>061440008138</v>
      </c>
    </row>
    <row r="490" spans="1:9" x14ac:dyDescent="0.25">
      <c r="A490" t="s">
        <v>452</v>
      </c>
      <c r="B490" t="s">
        <v>13</v>
      </c>
      <c r="C490">
        <v>24.57</v>
      </c>
      <c r="D490">
        <v>24.13</v>
      </c>
      <c r="E490" t="s">
        <v>17</v>
      </c>
      <c r="F490">
        <v>21.16</v>
      </c>
      <c r="G490">
        <v>23.04</v>
      </c>
      <c r="H490" t="s">
        <v>17</v>
      </c>
      <c r="I490" t="str">
        <f>"062265002786"</f>
        <v>062265002786</v>
      </c>
    </row>
    <row r="491" spans="1:9" x14ac:dyDescent="0.25">
      <c r="A491" t="s">
        <v>453</v>
      </c>
      <c r="B491" t="s">
        <v>13</v>
      </c>
      <c r="C491">
        <v>12.5</v>
      </c>
      <c r="D491">
        <v>12.5</v>
      </c>
      <c r="E491" t="s">
        <v>17</v>
      </c>
      <c r="F491">
        <v>22.72</v>
      </c>
      <c r="G491">
        <v>22.88</v>
      </c>
      <c r="H491" t="s">
        <v>17</v>
      </c>
      <c r="I491" t="str">
        <f>"060558009314"</f>
        <v>060558009314</v>
      </c>
    </row>
    <row r="492" spans="1:9" x14ac:dyDescent="0.25">
      <c r="A492" t="s">
        <v>454</v>
      </c>
      <c r="B492" t="s">
        <v>13</v>
      </c>
      <c r="C492">
        <v>25.5</v>
      </c>
      <c r="D492">
        <v>26.95</v>
      </c>
      <c r="E492" t="s">
        <v>17</v>
      </c>
      <c r="F492">
        <v>21.96</v>
      </c>
      <c r="G492">
        <v>20.48</v>
      </c>
      <c r="H492" t="s">
        <v>17</v>
      </c>
      <c r="I492" t="str">
        <f>"060558010660"</f>
        <v>060558010660</v>
      </c>
    </row>
    <row r="493" spans="1:9" x14ac:dyDescent="0.25">
      <c r="A493" t="s">
        <v>455</v>
      </c>
      <c r="B493" t="s">
        <v>13</v>
      </c>
      <c r="C493">
        <v>15.93</v>
      </c>
      <c r="D493">
        <v>17.21</v>
      </c>
      <c r="E493" t="s">
        <v>17</v>
      </c>
      <c r="F493">
        <v>16.64</v>
      </c>
      <c r="G493">
        <v>14.24</v>
      </c>
      <c r="H493" t="s">
        <v>17</v>
      </c>
      <c r="I493" t="str">
        <f>"060309000242"</f>
        <v>060309000242</v>
      </c>
    </row>
    <row r="494" spans="1:9" x14ac:dyDescent="0.25">
      <c r="A494" t="s">
        <v>456</v>
      </c>
      <c r="B494" t="s">
        <v>13</v>
      </c>
      <c r="C494">
        <v>1</v>
      </c>
      <c r="D494">
        <v>1</v>
      </c>
      <c r="E494" t="s">
        <v>17</v>
      </c>
      <c r="F494">
        <v>18</v>
      </c>
      <c r="G494">
        <v>21</v>
      </c>
      <c r="H494" t="s">
        <v>17</v>
      </c>
      <c r="I494" t="str">
        <f>"061221008826"</f>
        <v>061221008826</v>
      </c>
    </row>
    <row r="495" spans="1:9" x14ac:dyDescent="0.25">
      <c r="A495" t="s">
        <v>457</v>
      </c>
      <c r="B495" t="s">
        <v>13</v>
      </c>
      <c r="C495">
        <v>19</v>
      </c>
      <c r="D495">
        <v>20</v>
      </c>
      <c r="E495" t="s">
        <v>17</v>
      </c>
      <c r="F495">
        <v>22.26</v>
      </c>
      <c r="G495">
        <v>22.2</v>
      </c>
      <c r="H495" t="s">
        <v>17</v>
      </c>
      <c r="I495" t="str">
        <f>"063591006147"</f>
        <v>063591006147</v>
      </c>
    </row>
    <row r="496" spans="1:9" x14ac:dyDescent="0.25">
      <c r="A496" t="s">
        <v>458</v>
      </c>
      <c r="B496" t="s">
        <v>13</v>
      </c>
      <c r="C496">
        <v>21.73</v>
      </c>
      <c r="D496">
        <v>22.18</v>
      </c>
      <c r="E496" t="s">
        <v>17</v>
      </c>
      <c r="F496">
        <v>25.72</v>
      </c>
      <c r="G496">
        <v>26.56</v>
      </c>
      <c r="H496" t="s">
        <v>17</v>
      </c>
      <c r="I496" t="str">
        <f>"060245008787"</f>
        <v>060245008787</v>
      </c>
    </row>
    <row r="497" spans="1:9" x14ac:dyDescent="0.25">
      <c r="A497" t="s">
        <v>459</v>
      </c>
      <c r="B497" t="s">
        <v>13</v>
      </c>
      <c r="C497">
        <v>19.53</v>
      </c>
      <c r="D497">
        <v>19</v>
      </c>
      <c r="E497" t="s">
        <v>17</v>
      </c>
      <c r="F497">
        <v>22.43</v>
      </c>
      <c r="G497">
        <v>22.37</v>
      </c>
      <c r="H497" t="s">
        <v>17</v>
      </c>
      <c r="I497" t="str">
        <f>"063441005586"</f>
        <v>063441005586</v>
      </c>
    </row>
    <row r="498" spans="1:9" x14ac:dyDescent="0.25">
      <c r="A498" t="s">
        <v>460</v>
      </c>
      <c r="B498" t="s">
        <v>13</v>
      </c>
      <c r="C498">
        <v>10.33</v>
      </c>
      <c r="D498">
        <v>10.27</v>
      </c>
      <c r="E498" t="s">
        <v>17</v>
      </c>
      <c r="F498">
        <v>27.88</v>
      </c>
      <c r="G498">
        <v>29.11</v>
      </c>
      <c r="H498" t="s">
        <v>17</v>
      </c>
      <c r="I498" t="str">
        <f>"060813000782"</f>
        <v>060813000782</v>
      </c>
    </row>
    <row r="499" spans="1:9" x14ac:dyDescent="0.25">
      <c r="A499" t="s">
        <v>461</v>
      </c>
      <c r="B499" t="s">
        <v>13</v>
      </c>
      <c r="C499">
        <v>12.25</v>
      </c>
      <c r="D499">
        <v>10</v>
      </c>
      <c r="E499" t="s">
        <v>17</v>
      </c>
      <c r="F499">
        <v>19.510000000000002</v>
      </c>
      <c r="G499">
        <v>23.6</v>
      </c>
      <c r="H499" t="s">
        <v>17</v>
      </c>
      <c r="I499" t="str">
        <f>"062805012040"</f>
        <v>062805012040</v>
      </c>
    </row>
    <row r="500" spans="1:9" x14ac:dyDescent="0.25">
      <c r="A500" t="s">
        <v>462</v>
      </c>
      <c r="B500" t="s">
        <v>13</v>
      </c>
      <c r="C500">
        <v>44.2</v>
      </c>
      <c r="D500">
        <v>49.4</v>
      </c>
      <c r="E500" t="s">
        <v>17</v>
      </c>
      <c r="F500">
        <v>25.81</v>
      </c>
      <c r="G500">
        <v>23.44</v>
      </c>
      <c r="H500" t="s">
        <v>17</v>
      </c>
      <c r="I500" t="str">
        <f>"060243000129"</f>
        <v>060243000129</v>
      </c>
    </row>
    <row r="501" spans="1:9" x14ac:dyDescent="0.25">
      <c r="A501" t="s">
        <v>463</v>
      </c>
      <c r="B501" t="s">
        <v>13</v>
      </c>
      <c r="C501">
        <v>2.2999999999999998</v>
      </c>
      <c r="D501">
        <v>2.7</v>
      </c>
      <c r="E501" t="s">
        <v>17</v>
      </c>
      <c r="F501">
        <v>33.04</v>
      </c>
      <c r="G501">
        <v>20.37</v>
      </c>
      <c r="H501" t="s">
        <v>17</v>
      </c>
      <c r="I501" t="str">
        <f>"063560007869"</f>
        <v>063560007869</v>
      </c>
    </row>
    <row r="502" spans="1:9" x14ac:dyDescent="0.25">
      <c r="A502" t="s">
        <v>464</v>
      </c>
      <c r="B502" t="s">
        <v>13</v>
      </c>
      <c r="C502">
        <v>22.53</v>
      </c>
      <c r="D502">
        <v>23</v>
      </c>
      <c r="E502" t="s">
        <v>17</v>
      </c>
      <c r="F502">
        <v>30.94</v>
      </c>
      <c r="G502">
        <v>30.35</v>
      </c>
      <c r="H502" t="s">
        <v>17</v>
      </c>
      <c r="I502" t="str">
        <f>"060243000130"</f>
        <v>060243000130</v>
      </c>
    </row>
    <row r="503" spans="1:9" x14ac:dyDescent="0.25">
      <c r="A503" t="s">
        <v>465</v>
      </c>
      <c r="B503" t="s">
        <v>13</v>
      </c>
      <c r="C503">
        <v>45</v>
      </c>
      <c r="D503">
        <v>45</v>
      </c>
      <c r="E503" t="s">
        <v>17</v>
      </c>
      <c r="F503">
        <v>25.33</v>
      </c>
      <c r="G503">
        <v>23.98</v>
      </c>
      <c r="H503" t="s">
        <v>17</v>
      </c>
      <c r="I503" t="str">
        <f>"061233011060"</f>
        <v>061233011060</v>
      </c>
    </row>
    <row r="504" spans="1:9" x14ac:dyDescent="0.25">
      <c r="A504" t="s">
        <v>466</v>
      </c>
      <c r="B504" t="s">
        <v>13</v>
      </c>
      <c r="C504">
        <v>62.5</v>
      </c>
      <c r="D504">
        <v>61.04</v>
      </c>
      <c r="E504" t="s">
        <v>17</v>
      </c>
      <c r="F504">
        <v>25.09</v>
      </c>
      <c r="G504">
        <v>27.21</v>
      </c>
      <c r="H504" t="s">
        <v>17</v>
      </c>
      <c r="I504" t="str">
        <f>"062271011652"</f>
        <v>062271011652</v>
      </c>
    </row>
    <row r="505" spans="1:9" x14ac:dyDescent="0.25">
      <c r="A505" t="s">
        <v>467</v>
      </c>
      <c r="B505" t="s">
        <v>13</v>
      </c>
      <c r="C505">
        <v>21</v>
      </c>
      <c r="D505">
        <v>22.5</v>
      </c>
      <c r="E505" t="s">
        <v>17</v>
      </c>
      <c r="F505">
        <v>25.24</v>
      </c>
      <c r="G505">
        <v>25.38</v>
      </c>
      <c r="H505" t="s">
        <v>17</v>
      </c>
      <c r="I505" t="str">
        <f>"062769004170"</f>
        <v>062769004170</v>
      </c>
    </row>
    <row r="506" spans="1:9" x14ac:dyDescent="0.25">
      <c r="A506" t="s">
        <v>468</v>
      </c>
      <c r="B506" t="s">
        <v>13</v>
      </c>
      <c r="C506">
        <v>24.38</v>
      </c>
      <c r="D506">
        <v>25.21</v>
      </c>
      <c r="E506" t="s">
        <v>17</v>
      </c>
      <c r="F506">
        <v>24.49</v>
      </c>
      <c r="G506">
        <v>24.12</v>
      </c>
      <c r="H506" t="s">
        <v>17</v>
      </c>
      <c r="I506" t="str">
        <f>"063942006551"</f>
        <v>063942006551</v>
      </c>
    </row>
    <row r="507" spans="1:9" x14ac:dyDescent="0.25">
      <c r="A507" t="s">
        <v>469</v>
      </c>
      <c r="B507" t="s">
        <v>13</v>
      </c>
      <c r="C507">
        <v>28</v>
      </c>
      <c r="D507">
        <v>28</v>
      </c>
      <c r="E507" t="s">
        <v>17</v>
      </c>
      <c r="F507">
        <v>22.96</v>
      </c>
      <c r="G507">
        <v>22.64</v>
      </c>
      <c r="H507" t="s">
        <v>17</v>
      </c>
      <c r="I507" t="str">
        <f>"062271002825"</f>
        <v>062271002825</v>
      </c>
    </row>
    <row r="508" spans="1:9" x14ac:dyDescent="0.25">
      <c r="A508" t="s">
        <v>469</v>
      </c>
      <c r="B508" t="s">
        <v>13</v>
      </c>
      <c r="C508">
        <v>10.220000000000001</v>
      </c>
      <c r="D508">
        <v>11.5</v>
      </c>
      <c r="E508" t="s">
        <v>17</v>
      </c>
      <c r="F508">
        <v>29.84</v>
      </c>
      <c r="G508">
        <v>29.83</v>
      </c>
      <c r="H508" t="s">
        <v>17</v>
      </c>
      <c r="I508" t="str">
        <f>"063462005754"</f>
        <v>063462005754</v>
      </c>
    </row>
    <row r="509" spans="1:9" x14ac:dyDescent="0.25">
      <c r="A509" t="s">
        <v>470</v>
      </c>
      <c r="B509" t="s">
        <v>13</v>
      </c>
      <c r="C509">
        <v>83.9</v>
      </c>
      <c r="D509">
        <v>86.8</v>
      </c>
      <c r="E509" t="s">
        <v>17</v>
      </c>
      <c r="F509">
        <v>25.69</v>
      </c>
      <c r="G509">
        <v>25.03</v>
      </c>
      <c r="H509" t="s">
        <v>17</v>
      </c>
      <c r="I509" t="str">
        <f>"063315005131"</f>
        <v>063315005131</v>
      </c>
    </row>
    <row r="510" spans="1:9" x14ac:dyDescent="0.25">
      <c r="A510" t="s">
        <v>471</v>
      </c>
      <c r="B510" t="s">
        <v>13</v>
      </c>
      <c r="C510">
        <v>21.8</v>
      </c>
      <c r="D510">
        <v>24.6</v>
      </c>
      <c r="E510" t="s">
        <v>17</v>
      </c>
      <c r="F510">
        <v>25.87</v>
      </c>
      <c r="G510">
        <v>23.01</v>
      </c>
      <c r="H510" t="s">
        <v>17</v>
      </c>
      <c r="I510" t="str">
        <f>"060561000504"</f>
        <v>060561000504</v>
      </c>
    </row>
    <row r="511" spans="1:9" x14ac:dyDescent="0.25">
      <c r="A511" t="s">
        <v>472</v>
      </c>
      <c r="B511" t="s">
        <v>13</v>
      </c>
      <c r="C511">
        <v>25</v>
      </c>
      <c r="D511">
        <v>25</v>
      </c>
      <c r="E511" t="s">
        <v>17</v>
      </c>
      <c r="F511">
        <v>28.44</v>
      </c>
      <c r="G511">
        <v>28.16</v>
      </c>
      <c r="H511" t="s">
        <v>17</v>
      </c>
      <c r="I511" t="str">
        <f>"062580003863"</f>
        <v>062580003863</v>
      </c>
    </row>
    <row r="512" spans="1:9" x14ac:dyDescent="0.25">
      <c r="A512" t="s">
        <v>473</v>
      </c>
      <c r="B512" t="s">
        <v>13</v>
      </c>
      <c r="C512">
        <v>96.81</v>
      </c>
      <c r="D512">
        <v>88.95</v>
      </c>
      <c r="E512" t="s">
        <v>17</v>
      </c>
      <c r="F512">
        <v>24.74</v>
      </c>
      <c r="G512">
        <v>25.18</v>
      </c>
      <c r="H512" t="s">
        <v>17</v>
      </c>
      <c r="I512" t="str">
        <f>"061336001510"</f>
        <v>061336001510</v>
      </c>
    </row>
    <row r="513" spans="1:9" x14ac:dyDescent="0.25">
      <c r="A513" t="s">
        <v>474</v>
      </c>
      <c r="B513" t="s">
        <v>13</v>
      </c>
      <c r="C513">
        <v>23</v>
      </c>
      <c r="D513">
        <v>25</v>
      </c>
      <c r="E513" t="s">
        <v>17</v>
      </c>
      <c r="F513">
        <v>22.09</v>
      </c>
      <c r="G513">
        <v>21.44</v>
      </c>
      <c r="H513" t="s">
        <v>17</v>
      </c>
      <c r="I513" t="str">
        <f>"062271002826"</f>
        <v>062271002826</v>
      </c>
    </row>
    <row r="514" spans="1:9" x14ac:dyDescent="0.25">
      <c r="A514" t="s">
        <v>475</v>
      </c>
      <c r="B514" t="s">
        <v>13</v>
      </c>
      <c r="C514">
        <v>27.3</v>
      </c>
      <c r="D514">
        <v>27.3</v>
      </c>
      <c r="E514" t="s">
        <v>17</v>
      </c>
      <c r="F514">
        <v>21.25</v>
      </c>
      <c r="G514">
        <v>21.83</v>
      </c>
      <c r="H514" t="s">
        <v>17</v>
      </c>
      <c r="I514" t="str">
        <f>"060318000243"</f>
        <v>060318000243</v>
      </c>
    </row>
    <row r="515" spans="1:9" x14ac:dyDescent="0.25">
      <c r="A515" t="s">
        <v>476</v>
      </c>
      <c r="B515" t="s">
        <v>13</v>
      </c>
      <c r="C515">
        <v>16</v>
      </c>
      <c r="D515">
        <v>14</v>
      </c>
      <c r="E515" t="s">
        <v>17</v>
      </c>
      <c r="F515">
        <v>25</v>
      </c>
      <c r="G515">
        <v>21.57</v>
      </c>
      <c r="H515" t="s">
        <v>17</v>
      </c>
      <c r="I515" t="str">
        <f>"063132004836"</f>
        <v>063132004836</v>
      </c>
    </row>
    <row r="516" spans="1:9" x14ac:dyDescent="0.25">
      <c r="A516" t="s">
        <v>477</v>
      </c>
      <c r="B516" t="s">
        <v>13</v>
      </c>
      <c r="C516">
        <v>29</v>
      </c>
      <c r="D516">
        <v>29</v>
      </c>
      <c r="E516" t="s">
        <v>17</v>
      </c>
      <c r="F516">
        <v>26.66</v>
      </c>
      <c r="G516">
        <v>25.24</v>
      </c>
      <c r="H516" t="s">
        <v>17</v>
      </c>
      <c r="I516" t="str">
        <f>"061233011064"</f>
        <v>061233011064</v>
      </c>
    </row>
    <row r="517" spans="1:9" x14ac:dyDescent="0.25">
      <c r="A517" t="s">
        <v>478</v>
      </c>
      <c r="B517" t="s">
        <v>13</v>
      </c>
      <c r="C517">
        <v>85.98</v>
      </c>
      <c r="D517">
        <v>82.58</v>
      </c>
      <c r="E517" t="s">
        <v>17</v>
      </c>
      <c r="F517">
        <v>28.73</v>
      </c>
      <c r="G517">
        <v>28.92</v>
      </c>
      <c r="H517" t="s">
        <v>17</v>
      </c>
      <c r="I517" t="str">
        <f>"064015010994"</f>
        <v>064015010994</v>
      </c>
    </row>
    <row r="518" spans="1:9" x14ac:dyDescent="0.25">
      <c r="A518" t="s">
        <v>479</v>
      </c>
      <c r="B518" t="s">
        <v>13</v>
      </c>
      <c r="C518">
        <v>16</v>
      </c>
      <c r="D518">
        <v>17.52</v>
      </c>
      <c r="E518" t="s">
        <v>17</v>
      </c>
      <c r="F518">
        <v>24.81</v>
      </c>
      <c r="G518">
        <v>24.77</v>
      </c>
      <c r="H518" t="s">
        <v>17</v>
      </c>
      <c r="I518" t="str">
        <f>"069113610298"</f>
        <v>069113610298</v>
      </c>
    </row>
    <row r="519" spans="1:9" x14ac:dyDescent="0.25">
      <c r="A519" t="s">
        <v>480</v>
      </c>
      <c r="B519" t="s">
        <v>13</v>
      </c>
      <c r="C519">
        <v>19</v>
      </c>
      <c r="D519">
        <v>20</v>
      </c>
      <c r="E519" t="s">
        <v>17</v>
      </c>
      <c r="F519">
        <v>29.47</v>
      </c>
      <c r="G519">
        <v>28.25</v>
      </c>
      <c r="H519" t="s">
        <v>17</v>
      </c>
      <c r="I519" t="str">
        <f>"060588000526"</f>
        <v>060588000526</v>
      </c>
    </row>
    <row r="520" spans="1:9" x14ac:dyDescent="0.25">
      <c r="A520" t="s">
        <v>481</v>
      </c>
      <c r="B520" t="s">
        <v>13</v>
      </c>
      <c r="C520">
        <v>4.2</v>
      </c>
      <c r="D520">
        <v>4.4000000000000004</v>
      </c>
      <c r="E520" t="s">
        <v>17</v>
      </c>
      <c r="F520">
        <v>12.38</v>
      </c>
      <c r="G520">
        <v>18.41</v>
      </c>
      <c r="H520" t="s">
        <v>17</v>
      </c>
      <c r="I520" t="str">
        <f>"060819000798"</f>
        <v>060819000798</v>
      </c>
    </row>
    <row r="521" spans="1:9" x14ac:dyDescent="0.25">
      <c r="A521" t="s">
        <v>482</v>
      </c>
      <c r="B521" t="s">
        <v>13</v>
      </c>
      <c r="C521">
        <v>11</v>
      </c>
      <c r="D521">
        <v>15</v>
      </c>
      <c r="E521" t="s">
        <v>17</v>
      </c>
      <c r="F521">
        <v>29.82</v>
      </c>
      <c r="G521">
        <v>20.87</v>
      </c>
      <c r="H521" t="s">
        <v>17</v>
      </c>
      <c r="I521" t="str">
        <f>"063417005345"</f>
        <v>063417005345</v>
      </c>
    </row>
    <row r="522" spans="1:9" x14ac:dyDescent="0.25">
      <c r="A522" t="s">
        <v>483</v>
      </c>
      <c r="B522" t="s">
        <v>13</v>
      </c>
      <c r="C522">
        <v>54.87</v>
      </c>
      <c r="D522">
        <v>56.5</v>
      </c>
      <c r="E522" t="s">
        <v>17</v>
      </c>
      <c r="F522">
        <v>18.829999999999998</v>
      </c>
      <c r="G522">
        <v>20.420000000000002</v>
      </c>
      <c r="H522" t="s">
        <v>17</v>
      </c>
      <c r="I522" t="str">
        <f>"063417005346"</f>
        <v>063417005346</v>
      </c>
    </row>
    <row r="523" spans="1:9" x14ac:dyDescent="0.25">
      <c r="A523" t="s">
        <v>484</v>
      </c>
      <c r="B523" t="s">
        <v>13</v>
      </c>
      <c r="C523">
        <v>23.2</v>
      </c>
      <c r="D523">
        <v>21</v>
      </c>
      <c r="E523" t="s">
        <v>17</v>
      </c>
      <c r="F523">
        <v>23.28</v>
      </c>
      <c r="G523">
        <v>24.52</v>
      </c>
      <c r="H523" t="s">
        <v>17</v>
      </c>
      <c r="I523" t="str">
        <f>"062847004387"</f>
        <v>062847004387</v>
      </c>
    </row>
    <row r="524" spans="1:9" x14ac:dyDescent="0.25">
      <c r="A524" t="s">
        <v>484</v>
      </c>
      <c r="B524" t="s">
        <v>13</v>
      </c>
      <c r="C524">
        <v>28</v>
      </c>
      <c r="D524">
        <v>31.5</v>
      </c>
      <c r="E524" t="s">
        <v>17</v>
      </c>
      <c r="F524">
        <v>25.54</v>
      </c>
      <c r="G524">
        <v>23.87</v>
      </c>
      <c r="H524" t="s">
        <v>17</v>
      </c>
      <c r="I524" t="str">
        <f>"063132004837"</f>
        <v>063132004837</v>
      </c>
    </row>
    <row r="525" spans="1:9" x14ac:dyDescent="0.25">
      <c r="A525" t="s">
        <v>484</v>
      </c>
      <c r="B525" t="s">
        <v>13</v>
      </c>
      <c r="C525">
        <v>13</v>
      </c>
      <c r="D525">
        <v>13.5</v>
      </c>
      <c r="E525" t="s">
        <v>17</v>
      </c>
      <c r="F525">
        <v>23.85</v>
      </c>
      <c r="G525">
        <v>26.37</v>
      </c>
      <c r="H525" t="s">
        <v>17</v>
      </c>
      <c r="I525" t="str">
        <f>"063684010712"</f>
        <v>063684010712</v>
      </c>
    </row>
    <row r="526" spans="1:9" x14ac:dyDescent="0.25">
      <c r="A526" t="s">
        <v>484</v>
      </c>
      <c r="B526" t="s">
        <v>13</v>
      </c>
      <c r="C526">
        <v>19.5</v>
      </c>
      <c r="D526">
        <v>19</v>
      </c>
      <c r="E526" t="s">
        <v>17</v>
      </c>
      <c r="F526">
        <v>31.69</v>
      </c>
      <c r="G526">
        <v>32</v>
      </c>
      <c r="H526" t="s">
        <v>17</v>
      </c>
      <c r="I526" t="str">
        <f>"064015006633"</f>
        <v>064015006633</v>
      </c>
    </row>
    <row r="527" spans="1:9" x14ac:dyDescent="0.25">
      <c r="A527" t="s">
        <v>485</v>
      </c>
      <c r="B527" t="s">
        <v>13</v>
      </c>
      <c r="C527">
        <v>96.73</v>
      </c>
      <c r="D527">
        <v>96.95</v>
      </c>
      <c r="E527" t="s">
        <v>17</v>
      </c>
      <c r="F527">
        <v>22.81</v>
      </c>
      <c r="G527">
        <v>22.95</v>
      </c>
      <c r="H527" t="s">
        <v>17</v>
      </c>
      <c r="I527" t="str">
        <f>"062308003516"</f>
        <v>062308003516</v>
      </c>
    </row>
    <row r="528" spans="1:9" x14ac:dyDescent="0.25">
      <c r="A528" t="s">
        <v>486</v>
      </c>
      <c r="B528" t="s">
        <v>13</v>
      </c>
      <c r="C528">
        <v>68.66</v>
      </c>
      <c r="D528">
        <v>69.98</v>
      </c>
      <c r="E528" t="s">
        <v>17</v>
      </c>
      <c r="F528">
        <v>26.01</v>
      </c>
      <c r="G528">
        <v>25.59</v>
      </c>
      <c r="H528" t="s">
        <v>17</v>
      </c>
      <c r="I528" t="str">
        <f>"063471005845"</f>
        <v>063471005845</v>
      </c>
    </row>
    <row r="529" spans="1:9" x14ac:dyDescent="0.25">
      <c r="A529" t="s">
        <v>486</v>
      </c>
      <c r="B529" t="s">
        <v>13</v>
      </c>
      <c r="C529">
        <v>99.94</v>
      </c>
      <c r="D529">
        <v>95.24</v>
      </c>
      <c r="E529" t="s">
        <v>17</v>
      </c>
      <c r="F529">
        <v>23.71</v>
      </c>
      <c r="G529">
        <v>24.28</v>
      </c>
      <c r="H529" t="s">
        <v>17</v>
      </c>
      <c r="I529" t="str">
        <f>"061212001363"</f>
        <v>061212001363</v>
      </c>
    </row>
    <row r="530" spans="1:9" x14ac:dyDescent="0.25">
      <c r="A530" t="s">
        <v>487</v>
      </c>
      <c r="B530" t="s">
        <v>13</v>
      </c>
      <c r="C530">
        <v>10.6</v>
      </c>
      <c r="D530">
        <v>11.1</v>
      </c>
      <c r="E530" t="s">
        <v>17</v>
      </c>
      <c r="F530">
        <v>12.08</v>
      </c>
      <c r="G530">
        <v>11.71</v>
      </c>
      <c r="H530" t="s">
        <v>17</v>
      </c>
      <c r="I530" t="str">
        <f>"063432011912"</f>
        <v>063432011912</v>
      </c>
    </row>
    <row r="531" spans="1:9" x14ac:dyDescent="0.25">
      <c r="A531" t="s">
        <v>488</v>
      </c>
      <c r="B531" t="s">
        <v>13</v>
      </c>
      <c r="C531">
        <v>31.4</v>
      </c>
      <c r="D531">
        <v>32</v>
      </c>
      <c r="E531" t="s">
        <v>17</v>
      </c>
      <c r="F531">
        <v>21.88</v>
      </c>
      <c r="G531">
        <v>23.06</v>
      </c>
      <c r="H531" t="s">
        <v>17</v>
      </c>
      <c r="I531" t="str">
        <f>"062211002620"</f>
        <v>062211002620</v>
      </c>
    </row>
    <row r="532" spans="1:9" x14ac:dyDescent="0.25">
      <c r="A532" t="s">
        <v>489</v>
      </c>
      <c r="B532" t="s">
        <v>13</v>
      </c>
      <c r="C532">
        <v>49.2</v>
      </c>
      <c r="D532">
        <v>48</v>
      </c>
      <c r="E532" t="s">
        <v>17</v>
      </c>
      <c r="F532">
        <v>25.65</v>
      </c>
      <c r="G532">
        <v>26.06</v>
      </c>
      <c r="H532" t="s">
        <v>17</v>
      </c>
      <c r="I532" t="str">
        <f>"064251006956"</f>
        <v>064251006956</v>
      </c>
    </row>
    <row r="533" spans="1:9" x14ac:dyDescent="0.25">
      <c r="A533" t="s">
        <v>490</v>
      </c>
      <c r="B533" t="s">
        <v>13</v>
      </c>
      <c r="C533">
        <v>21</v>
      </c>
      <c r="D533">
        <v>22</v>
      </c>
      <c r="E533" t="s">
        <v>17</v>
      </c>
      <c r="F533">
        <v>25.24</v>
      </c>
      <c r="G533">
        <v>25.32</v>
      </c>
      <c r="H533" t="s">
        <v>17</v>
      </c>
      <c r="I533" t="str">
        <f>"062271008888"</f>
        <v>062271008888</v>
      </c>
    </row>
    <row r="534" spans="1:9" x14ac:dyDescent="0.25">
      <c r="A534" t="s">
        <v>491</v>
      </c>
      <c r="B534" t="s">
        <v>13</v>
      </c>
      <c r="C534">
        <v>107.01</v>
      </c>
      <c r="D534">
        <v>115</v>
      </c>
      <c r="E534" t="s">
        <v>17</v>
      </c>
      <c r="F534">
        <v>24.26</v>
      </c>
      <c r="G534">
        <v>24.9</v>
      </c>
      <c r="H534" t="s">
        <v>17</v>
      </c>
      <c r="I534" t="str">
        <f>"063417010365"</f>
        <v>063417010365</v>
      </c>
    </row>
    <row r="535" spans="1:9" x14ac:dyDescent="0.25">
      <c r="A535" t="s">
        <v>492</v>
      </c>
      <c r="B535" t="s">
        <v>13</v>
      </c>
      <c r="C535">
        <v>23.06</v>
      </c>
      <c r="D535">
        <v>23.56</v>
      </c>
      <c r="E535" t="s">
        <v>17</v>
      </c>
      <c r="F535">
        <v>24.93</v>
      </c>
      <c r="G535">
        <v>24.53</v>
      </c>
      <c r="H535" t="s">
        <v>17</v>
      </c>
      <c r="I535" t="str">
        <f>"063207009619"</f>
        <v>063207009619</v>
      </c>
    </row>
    <row r="536" spans="1:9" x14ac:dyDescent="0.25">
      <c r="A536" t="s">
        <v>493</v>
      </c>
      <c r="B536" t="s">
        <v>13</v>
      </c>
      <c r="C536">
        <v>43</v>
      </c>
      <c r="D536">
        <v>39</v>
      </c>
      <c r="E536" t="s">
        <v>17</v>
      </c>
      <c r="F536">
        <v>24.09</v>
      </c>
      <c r="G536">
        <v>23.59</v>
      </c>
      <c r="H536" t="s">
        <v>17</v>
      </c>
      <c r="I536" t="str">
        <f>"060861008299"</f>
        <v>060861008299</v>
      </c>
    </row>
    <row r="537" spans="1:9" x14ac:dyDescent="0.25">
      <c r="A537" t="s">
        <v>494</v>
      </c>
      <c r="B537" t="s">
        <v>13</v>
      </c>
      <c r="C537">
        <v>30</v>
      </c>
      <c r="D537">
        <v>28</v>
      </c>
      <c r="E537" t="s">
        <v>17</v>
      </c>
      <c r="F537">
        <v>22.9</v>
      </c>
      <c r="G537">
        <v>23.46</v>
      </c>
      <c r="H537" t="s">
        <v>17</v>
      </c>
      <c r="I537" t="str">
        <f>"063750006332"</f>
        <v>063750006332</v>
      </c>
    </row>
    <row r="538" spans="1:9" x14ac:dyDescent="0.25">
      <c r="A538" t="s">
        <v>494</v>
      </c>
      <c r="B538" t="s">
        <v>13</v>
      </c>
      <c r="C538">
        <v>19.43</v>
      </c>
      <c r="D538">
        <v>21.5</v>
      </c>
      <c r="E538" t="s">
        <v>17</v>
      </c>
      <c r="F538">
        <v>30.67</v>
      </c>
      <c r="G538">
        <v>28.33</v>
      </c>
      <c r="H538" t="s">
        <v>17</v>
      </c>
      <c r="I538" t="str">
        <f>"060744000745"</f>
        <v>060744000745</v>
      </c>
    </row>
    <row r="539" spans="1:9" x14ac:dyDescent="0.25">
      <c r="A539" t="s">
        <v>495</v>
      </c>
      <c r="B539" t="s">
        <v>13</v>
      </c>
      <c r="C539">
        <v>14.95</v>
      </c>
      <c r="D539">
        <v>16.8</v>
      </c>
      <c r="E539" t="s">
        <v>17</v>
      </c>
      <c r="F539">
        <v>24.88</v>
      </c>
      <c r="G539">
        <v>23.99</v>
      </c>
      <c r="H539" t="s">
        <v>17</v>
      </c>
      <c r="I539" t="str">
        <f>"060744011701"</f>
        <v>060744011701</v>
      </c>
    </row>
    <row r="540" spans="1:9" x14ac:dyDescent="0.25">
      <c r="A540" t="s">
        <v>496</v>
      </c>
      <c r="B540" t="s">
        <v>13</v>
      </c>
      <c r="C540">
        <v>17</v>
      </c>
      <c r="D540">
        <v>17</v>
      </c>
      <c r="E540" t="s">
        <v>17</v>
      </c>
      <c r="F540">
        <v>25.53</v>
      </c>
      <c r="G540">
        <v>24.29</v>
      </c>
      <c r="H540" t="s">
        <v>17</v>
      </c>
      <c r="I540" t="str">
        <f>"062569010342"</f>
        <v>062569010342</v>
      </c>
    </row>
    <row r="541" spans="1:9" x14ac:dyDescent="0.25">
      <c r="A541" t="s">
        <v>497</v>
      </c>
      <c r="B541" t="s">
        <v>13</v>
      </c>
      <c r="C541">
        <v>36.67</v>
      </c>
      <c r="D541">
        <v>35.5</v>
      </c>
      <c r="E541" t="s">
        <v>17</v>
      </c>
      <c r="F541">
        <v>26.62</v>
      </c>
      <c r="G541">
        <v>26.93</v>
      </c>
      <c r="H541" t="s">
        <v>17</v>
      </c>
      <c r="I541" t="str">
        <f>"060004710394"</f>
        <v>060004710394</v>
      </c>
    </row>
    <row r="542" spans="1:9" x14ac:dyDescent="0.25">
      <c r="A542" t="s">
        <v>498</v>
      </c>
      <c r="B542" t="s">
        <v>13</v>
      </c>
      <c r="C542">
        <v>31</v>
      </c>
      <c r="D542">
        <v>31.5</v>
      </c>
      <c r="E542" t="s">
        <v>17</v>
      </c>
      <c r="F542">
        <v>30.32</v>
      </c>
      <c r="G542">
        <v>28.7</v>
      </c>
      <c r="H542" t="s">
        <v>17</v>
      </c>
      <c r="I542" t="str">
        <f>"061785002201"</f>
        <v>061785002201</v>
      </c>
    </row>
    <row r="543" spans="1:9" x14ac:dyDescent="0.25">
      <c r="A543" t="s">
        <v>499</v>
      </c>
      <c r="B543" t="s">
        <v>13</v>
      </c>
      <c r="C543">
        <v>64</v>
      </c>
      <c r="D543">
        <v>61.4</v>
      </c>
      <c r="E543" t="s">
        <v>17</v>
      </c>
      <c r="F543">
        <v>23.47</v>
      </c>
      <c r="G543">
        <v>23.65</v>
      </c>
      <c r="H543" t="s">
        <v>17</v>
      </c>
      <c r="I543" t="str">
        <f>"060162000002"</f>
        <v>060162000002</v>
      </c>
    </row>
    <row r="544" spans="1:9" x14ac:dyDescent="0.25">
      <c r="A544" t="s">
        <v>500</v>
      </c>
      <c r="B544" t="s">
        <v>13</v>
      </c>
      <c r="C544">
        <v>13.5</v>
      </c>
      <c r="D544">
        <v>13.6</v>
      </c>
      <c r="E544" t="s">
        <v>17</v>
      </c>
      <c r="F544">
        <v>22.44</v>
      </c>
      <c r="G544">
        <v>28.75</v>
      </c>
      <c r="H544" t="s">
        <v>17</v>
      </c>
      <c r="I544" t="str">
        <f>"063384011078"</f>
        <v>063384011078</v>
      </c>
    </row>
    <row r="545" spans="1:9" x14ac:dyDescent="0.25">
      <c r="A545" t="s">
        <v>501</v>
      </c>
      <c r="B545" t="s">
        <v>13</v>
      </c>
      <c r="C545">
        <v>36</v>
      </c>
      <c r="D545">
        <v>36</v>
      </c>
      <c r="E545" t="s">
        <v>17</v>
      </c>
      <c r="F545">
        <v>26</v>
      </c>
      <c r="G545">
        <v>26.61</v>
      </c>
      <c r="H545" t="s">
        <v>17</v>
      </c>
      <c r="I545" t="str">
        <f>"061233007608"</f>
        <v>061233007608</v>
      </c>
    </row>
    <row r="546" spans="1:9" x14ac:dyDescent="0.25">
      <c r="A546" t="s">
        <v>502</v>
      </c>
      <c r="B546" t="s">
        <v>13</v>
      </c>
      <c r="C546">
        <v>10</v>
      </c>
      <c r="D546">
        <v>11</v>
      </c>
      <c r="E546" t="s">
        <v>17</v>
      </c>
      <c r="F546">
        <v>33</v>
      </c>
      <c r="G546">
        <v>29.73</v>
      </c>
      <c r="H546" t="s">
        <v>17</v>
      </c>
      <c r="I546" t="str">
        <f>"061384001559"</f>
        <v>061384001559</v>
      </c>
    </row>
    <row r="547" spans="1:9" x14ac:dyDescent="0.25">
      <c r="A547" t="s">
        <v>503</v>
      </c>
      <c r="B547" t="s">
        <v>13</v>
      </c>
      <c r="C547">
        <v>31.25</v>
      </c>
      <c r="D547">
        <v>31.7</v>
      </c>
      <c r="E547" t="s">
        <v>17</v>
      </c>
      <c r="F547">
        <v>26.21</v>
      </c>
      <c r="G547">
        <v>25.24</v>
      </c>
      <c r="H547" t="s">
        <v>17</v>
      </c>
      <c r="I547" t="str">
        <f>"062100002528"</f>
        <v>062100002528</v>
      </c>
    </row>
    <row r="548" spans="1:9" x14ac:dyDescent="0.25">
      <c r="A548" t="s">
        <v>504</v>
      </c>
      <c r="B548" t="s">
        <v>13</v>
      </c>
      <c r="C548">
        <v>22.13</v>
      </c>
      <c r="D548">
        <v>24.13</v>
      </c>
      <c r="E548" t="s">
        <v>17</v>
      </c>
      <c r="F548">
        <v>28.42</v>
      </c>
      <c r="G548">
        <v>25.98</v>
      </c>
      <c r="H548" t="s">
        <v>17</v>
      </c>
      <c r="I548" t="str">
        <f>"060636000554"</f>
        <v>060636000554</v>
      </c>
    </row>
    <row r="549" spans="1:9" x14ac:dyDescent="0.25">
      <c r="A549" t="s">
        <v>505</v>
      </c>
      <c r="B549" t="s">
        <v>13</v>
      </c>
      <c r="C549">
        <v>22.05</v>
      </c>
      <c r="D549">
        <v>21.67</v>
      </c>
      <c r="E549" t="s">
        <v>17</v>
      </c>
      <c r="F549">
        <v>19.86</v>
      </c>
      <c r="G549">
        <v>18.41</v>
      </c>
      <c r="H549" t="s">
        <v>17</v>
      </c>
      <c r="I549" t="str">
        <f>"062241002681"</f>
        <v>062241002681</v>
      </c>
    </row>
    <row r="550" spans="1:9" x14ac:dyDescent="0.25">
      <c r="A550" t="s">
        <v>506</v>
      </c>
      <c r="B550" t="s">
        <v>13</v>
      </c>
      <c r="C550">
        <v>26</v>
      </c>
      <c r="D550">
        <v>26</v>
      </c>
      <c r="E550" t="s">
        <v>17</v>
      </c>
      <c r="F550">
        <v>27.5</v>
      </c>
      <c r="G550">
        <v>28.04</v>
      </c>
      <c r="H550" t="s">
        <v>17</v>
      </c>
      <c r="I550" t="str">
        <f>"060790007663"</f>
        <v>060790007663</v>
      </c>
    </row>
    <row r="551" spans="1:9" x14ac:dyDescent="0.25">
      <c r="A551" t="s">
        <v>507</v>
      </c>
      <c r="B551" t="s">
        <v>13</v>
      </c>
      <c r="C551">
        <v>13</v>
      </c>
      <c r="D551">
        <v>12.03</v>
      </c>
      <c r="E551" t="s">
        <v>14</v>
      </c>
      <c r="F551">
        <v>22.23</v>
      </c>
      <c r="G551">
        <v>19.95</v>
      </c>
      <c r="H551" t="s">
        <v>14</v>
      </c>
      <c r="I551" t="str">
        <f>"062271012867"</f>
        <v>062271012867</v>
      </c>
    </row>
    <row r="552" spans="1:9" x14ac:dyDescent="0.25">
      <c r="A552" t="s">
        <v>508</v>
      </c>
      <c r="B552" t="s">
        <v>13</v>
      </c>
      <c r="C552">
        <v>13</v>
      </c>
      <c r="D552">
        <v>9</v>
      </c>
      <c r="E552" t="s">
        <v>14</v>
      </c>
      <c r="F552">
        <v>19.309999999999999</v>
      </c>
      <c r="G552">
        <v>22.11</v>
      </c>
      <c r="H552" t="s">
        <v>14</v>
      </c>
      <c r="I552" t="str">
        <f>"062271012683"</f>
        <v>062271012683</v>
      </c>
    </row>
    <row r="553" spans="1:9" x14ac:dyDescent="0.25">
      <c r="A553" t="s">
        <v>509</v>
      </c>
      <c r="B553" t="s">
        <v>13</v>
      </c>
      <c r="C553">
        <v>16</v>
      </c>
      <c r="D553">
        <v>16</v>
      </c>
      <c r="E553" t="s">
        <v>17</v>
      </c>
      <c r="F553">
        <v>26.44</v>
      </c>
      <c r="G553">
        <v>25.44</v>
      </c>
      <c r="H553" t="s">
        <v>17</v>
      </c>
      <c r="I553" t="str">
        <f>"062769004181"</f>
        <v>062769004181</v>
      </c>
    </row>
    <row r="554" spans="1:9" x14ac:dyDescent="0.25">
      <c r="A554" t="s">
        <v>510</v>
      </c>
      <c r="B554" t="s">
        <v>13</v>
      </c>
      <c r="C554">
        <v>20</v>
      </c>
      <c r="D554">
        <v>19.239999999999998</v>
      </c>
      <c r="E554" t="s">
        <v>17</v>
      </c>
      <c r="F554">
        <v>23.2</v>
      </c>
      <c r="G554">
        <v>23.28</v>
      </c>
      <c r="H554" t="s">
        <v>17</v>
      </c>
      <c r="I554" t="str">
        <f>"063429005400"</f>
        <v>063429005400</v>
      </c>
    </row>
    <row r="555" spans="1:9" x14ac:dyDescent="0.25">
      <c r="A555" t="s">
        <v>511</v>
      </c>
      <c r="B555" t="s">
        <v>13</v>
      </c>
      <c r="C555">
        <v>108.06</v>
      </c>
      <c r="D555">
        <v>103.83</v>
      </c>
      <c r="E555" t="s">
        <v>17</v>
      </c>
      <c r="F555">
        <v>22.58</v>
      </c>
      <c r="G555">
        <v>23.95</v>
      </c>
      <c r="H555" t="s">
        <v>17</v>
      </c>
      <c r="I555" t="str">
        <f>"061954002339"</f>
        <v>061954002339</v>
      </c>
    </row>
    <row r="556" spans="1:9" x14ac:dyDescent="0.25">
      <c r="A556" t="s">
        <v>512</v>
      </c>
      <c r="B556" t="s">
        <v>13</v>
      </c>
      <c r="C556">
        <v>14.33</v>
      </c>
      <c r="D556">
        <v>16</v>
      </c>
      <c r="E556" t="s">
        <v>17</v>
      </c>
      <c r="F556">
        <v>20.87</v>
      </c>
      <c r="G556">
        <v>19</v>
      </c>
      <c r="H556" t="s">
        <v>17</v>
      </c>
      <c r="I556" t="str">
        <f>"063417011105"</f>
        <v>063417011105</v>
      </c>
    </row>
    <row r="557" spans="1:9" x14ac:dyDescent="0.25">
      <c r="A557" t="s">
        <v>513</v>
      </c>
      <c r="B557" t="s">
        <v>13</v>
      </c>
      <c r="C557">
        <v>29.14</v>
      </c>
      <c r="D557">
        <v>33.71</v>
      </c>
      <c r="E557" t="s">
        <v>17</v>
      </c>
      <c r="F557">
        <v>20.56</v>
      </c>
      <c r="G557">
        <v>17.77</v>
      </c>
      <c r="H557" t="s">
        <v>17</v>
      </c>
      <c r="I557" t="str">
        <f>"063441001276"</f>
        <v>063441001276</v>
      </c>
    </row>
    <row r="558" spans="1:9" x14ac:dyDescent="0.25">
      <c r="A558" t="s">
        <v>514</v>
      </c>
      <c r="B558" t="s">
        <v>13</v>
      </c>
      <c r="C558">
        <v>19.5</v>
      </c>
      <c r="D558">
        <v>19.5</v>
      </c>
      <c r="E558" t="s">
        <v>17</v>
      </c>
      <c r="F558">
        <v>22.41</v>
      </c>
      <c r="G558">
        <v>22.36</v>
      </c>
      <c r="H558" t="s">
        <v>17</v>
      </c>
      <c r="I558" t="str">
        <f>"062805008677"</f>
        <v>062805008677</v>
      </c>
    </row>
    <row r="559" spans="1:9" x14ac:dyDescent="0.25">
      <c r="A559" t="s">
        <v>515</v>
      </c>
      <c r="B559" t="s">
        <v>13</v>
      </c>
      <c r="C559">
        <v>37</v>
      </c>
      <c r="D559">
        <v>44</v>
      </c>
      <c r="E559" t="s">
        <v>17</v>
      </c>
      <c r="F559">
        <v>24.11</v>
      </c>
      <c r="G559">
        <v>23.14</v>
      </c>
      <c r="H559" t="s">
        <v>17</v>
      </c>
      <c r="I559" t="str">
        <f>"062271002827"</f>
        <v>062271002827</v>
      </c>
    </row>
    <row r="560" spans="1:9" x14ac:dyDescent="0.25">
      <c r="A560" t="s">
        <v>516</v>
      </c>
      <c r="B560" t="s">
        <v>13</v>
      </c>
      <c r="C560">
        <v>26.2</v>
      </c>
      <c r="D560">
        <v>25.91</v>
      </c>
      <c r="E560" t="s">
        <v>17</v>
      </c>
      <c r="F560">
        <v>16.559999999999999</v>
      </c>
      <c r="G560">
        <v>16.329999999999998</v>
      </c>
      <c r="H560" t="s">
        <v>17</v>
      </c>
      <c r="I560" t="str">
        <f>"061074007660"</f>
        <v>061074007660</v>
      </c>
    </row>
    <row r="561" spans="1:9" x14ac:dyDescent="0.25">
      <c r="A561" t="s">
        <v>517</v>
      </c>
      <c r="B561" t="s">
        <v>13</v>
      </c>
      <c r="C561">
        <v>18</v>
      </c>
      <c r="D561">
        <v>17.03</v>
      </c>
      <c r="E561" t="s">
        <v>17</v>
      </c>
      <c r="F561">
        <v>20.440000000000001</v>
      </c>
      <c r="G561">
        <v>22.37</v>
      </c>
      <c r="H561" t="s">
        <v>17</v>
      </c>
      <c r="I561" t="str">
        <f>"060964001005"</f>
        <v>060964001005</v>
      </c>
    </row>
    <row r="562" spans="1:9" x14ac:dyDescent="0.25">
      <c r="A562" t="s">
        <v>518</v>
      </c>
      <c r="B562" t="s">
        <v>13</v>
      </c>
      <c r="C562">
        <v>17</v>
      </c>
      <c r="D562">
        <v>17</v>
      </c>
      <c r="E562" t="s">
        <v>17</v>
      </c>
      <c r="F562">
        <v>24.47</v>
      </c>
      <c r="G562">
        <v>24.35</v>
      </c>
      <c r="H562" t="s">
        <v>17</v>
      </c>
      <c r="I562" t="str">
        <f>"060132412449"</f>
        <v>060132412449</v>
      </c>
    </row>
    <row r="563" spans="1:9" x14ac:dyDescent="0.25">
      <c r="A563" t="s">
        <v>519</v>
      </c>
      <c r="B563" t="s">
        <v>13</v>
      </c>
      <c r="C563">
        <v>12.1</v>
      </c>
      <c r="D563">
        <v>9</v>
      </c>
      <c r="E563" t="s">
        <v>17</v>
      </c>
      <c r="F563">
        <v>22.4</v>
      </c>
      <c r="G563">
        <v>21</v>
      </c>
      <c r="H563" t="s">
        <v>17</v>
      </c>
      <c r="I563" t="str">
        <f>"060132412785"</f>
        <v>060132412785</v>
      </c>
    </row>
    <row r="564" spans="1:9" x14ac:dyDescent="0.25">
      <c r="A564" t="s">
        <v>520</v>
      </c>
      <c r="B564" t="s">
        <v>13</v>
      </c>
      <c r="C564">
        <v>9</v>
      </c>
      <c r="D564">
        <v>9</v>
      </c>
      <c r="E564" t="s">
        <v>17</v>
      </c>
      <c r="F564">
        <v>26.11</v>
      </c>
      <c r="G564">
        <v>26</v>
      </c>
      <c r="H564" t="s">
        <v>17</v>
      </c>
      <c r="I564" t="str">
        <f>"062271010891"</f>
        <v>062271010891</v>
      </c>
    </row>
    <row r="565" spans="1:9" x14ac:dyDescent="0.25">
      <c r="A565" t="s">
        <v>521</v>
      </c>
      <c r="B565" t="s">
        <v>13</v>
      </c>
      <c r="C565">
        <v>10.5</v>
      </c>
      <c r="D565">
        <v>11</v>
      </c>
      <c r="E565" t="s">
        <v>17</v>
      </c>
      <c r="F565">
        <v>26.86</v>
      </c>
      <c r="G565">
        <v>24.82</v>
      </c>
      <c r="H565" t="s">
        <v>17</v>
      </c>
      <c r="I565" t="str">
        <f>"060132412659"</f>
        <v>060132412659</v>
      </c>
    </row>
    <row r="566" spans="1:9" x14ac:dyDescent="0.25">
      <c r="A566" t="s">
        <v>522</v>
      </c>
      <c r="B566" t="s">
        <v>13</v>
      </c>
      <c r="C566">
        <v>28</v>
      </c>
      <c r="D566">
        <v>32</v>
      </c>
      <c r="E566" t="s">
        <v>17</v>
      </c>
      <c r="F566">
        <v>24.96</v>
      </c>
      <c r="G566">
        <v>20.190000000000001</v>
      </c>
      <c r="H566" t="s">
        <v>17</v>
      </c>
      <c r="I566" t="str">
        <f>"062223011341"</f>
        <v>062223011341</v>
      </c>
    </row>
    <row r="567" spans="1:9" x14ac:dyDescent="0.25">
      <c r="A567" t="s">
        <v>523</v>
      </c>
      <c r="B567" t="s">
        <v>13</v>
      </c>
      <c r="C567">
        <v>23.9</v>
      </c>
      <c r="D567">
        <v>24.35</v>
      </c>
      <c r="E567" t="s">
        <v>17</v>
      </c>
      <c r="F567">
        <v>23.31</v>
      </c>
      <c r="G567">
        <v>22.63</v>
      </c>
      <c r="H567" t="s">
        <v>17</v>
      </c>
      <c r="I567" t="str">
        <f>"062805010727"</f>
        <v>062805010727</v>
      </c>
    </row>
    <row r="568" spans="1:9" x14ac:dyDescent="0.25">
      <c r="A568" t="s">
        <v>524</v>
      </c>
      <c r="B568" t="s">
        <v>13</v>
      </c>
      <c r="C568">
        <v>21.5</v>
      </c>
      <c r="D568">
        <v>19.329999999999998</v>
      </c>
      <c r="E568" t="s">
        <v>17</v>
      </c>
      <c r="F568">
        <v>21.67</v>
      </c>
      <c r="G568">
        <v>21.31</v>
      </c>
      <c r="H568" t="s">
        <v>17</v>
      </c>
      <c r="I568" t="str">
        <f>"069105112283"</f>
        <v>069105112283</v>
      </c>
    </row>
    <row r="569" spans="1:9" x14ac:dyDescent="0.25">
      <c r="A569" t="s">
        <v>525</v>
      </c>
      <c r="B569" t="s">
        <v>13</v>
      </c>
      <c r="C569">
        <v>12</v>
      </c>
      <c r="D569">
        <v>13</v>
      </c>
      <c r="E569" t="s">
        <v>17</v>
      </c>
      <c r="F569">
        <v>23.67</v>
      </c>
      <c r="G569">
        <v>22.46</v>
      </c>
      <c r="H569" t="s">
        <v>17</v>
      </c>
      <c r="I569" t="str">
        <f>"063384011189"</f>
        <v>063384011189</v>
      </c>
    </row>
    <row r="570" spans="1:9" x14ac:dyDescent="0.25">
      <c r="A570" t="s">
        <v>526</v>
      </c>
      <c r="B570" t="s">
        <v>13</v>
      </c>
      <c r="C570" t="s">
        <v>17</v>
      </c>
      <c r="D570" t="s">
        <v>14</v>
      </c>
      <c r="E570" t="s">
        <v>14</v>
      </c>
      <c r="F570" t="s">
        <v>17</v>
      </c>
      <c r="G570" t="s">
        <v>14</v>
      </c>
      <c r="H570" t="s">
        <v>14</v>
      </c>
      <c r="I570" t="str">
        <f>"062271013135"</f>
        <v>062271013135</v>
      </c>
    </row>
    <row r="571" spans="1:9" x14ac:dyDescent="0.25">
      <c r="A571" t="s">
        <v>527</v>
      </c>
      <c r="B571" t="s">
        <v>13</v>
      </c>
      <c r="C571">
        <v>21.2</v>
      </c>
      <c r="D571">
        <v>22.8</v>
      </c>
      <c r="E571" t="s">
        <v>17</v>
      </c>
      <c r="F571">
        <v>24.81</v>
      </c>
      <c r="G571">
        <v>22.63</v>
      </c>
      <c r="H571" t="s">
        <v>17</v>
      </c>
      <c r="I571" t="str">
        <f>"063186007420"</f>
        <v>063186007420</v>
      </c>
    </row>
    <row r="572" spans="1:9" x14ac:dyDescent="0.25">
      <c r="A572" t="s">
        <v>528</v>
      </c>
      <c r="B572" t="s">
        <v>13</v>
      </c>
      <c r="C572">
        <v>11.3</v>
      </c>
      <c r="D572">
        <v>12.5</v>
      </c>
      <c r="E572" t="s">
        <v>17</v>
      </c>
      <c r="F572">
        <v>17.43</v>
      </c>
      <c r="G572">
        <v>14.64</v>
      </c>
      <c r="H572" t="s">
        <v>17</v>
      </c>
      <c r="I572" t="str">
        <f>"063639012231"</f>
        <v>063639012231</v>
      </c>
    </row>
    <row r="573" spans="1:9" x14ac:dyDescent="0.25">
      <c r="A573" t="s">
        <v>529</v>
      </c>
      <c r="B573" t="s">
        <v>13</v>
      </c>
      <c r="C573">
        <v>11</v>
      </c>
      <c r="D573">
        <v>11</v>
      </c>
      <c r="E573" t="s">
        <v>17</v>
      </c>
      <c r="F573">
        <v>20.18</v>
      </c>
      <c r="G573">
        <v>20.45</v>
      </c>
      <c r="H573" t="s">
        <v>17</v>
      </c>
      <c r="I573" t="str">
        <f>"062805012542"</f>
        <v>062805012542</v>
      </c>
    </row>
    <row r="574" spans="1:9" x14ac:dyDescent="0.25">
      <c r="A574" t="s">
        <v>530</v>
      </c>
      <c r="B574" t="s">
        <v>13</v>
      </c>
      <c r="C574">
        <v>16</v>
      </c>
      <c r="D574">
        <v>16</v>
      </c>
      <c r="E574" t="s">
        <v>17</v>
      </c>
      <c r="F574">
        <v>23.44</v>
      </c>
      <c r="G574">
        <v>23.31</v>
      </c>
      <c r="H574" t="s">
        <v>17</v>
      </c>
      <c r="I574" t="str">
        <f>"062271012761"</f>
        <v>062271012761</v>
      </c>
    </row>
    <row r="575" spans="1:9" x14ac:dyDescent="0.25">
      <c r="A575" t="s">
        <v>531</v>
      </c>
      <c r="B575" t="s">
        <v>13</v>
      </c>
      <c r="C575">
        <v>15</v>
      </c>
      <c r="D575">
        <v>15</v>
      </c>
      <c r="E575" t="s">
        <v>17</v>
      </c>
      <c r="F575">
        <v>24.93</v>
      </c>
      <c r="G575">
        <v>24.47</v>
      </c>
      <c r="H575" t="s">
        <v>17</v>
      </c>
      <c r="I575" t="str">
        <f>"062271012679"</f>
        <v>062271012679</v>
      </c>
    </row>
    <row r="576" spans="1:9" x14ac:dyDescent="0.25">
      <c r="A576" t="s">
        <v>532</v>
      </c>
      <c r="B576" t="s">
        <v>13</v>
      </c>
      <c r="C576">
        <v>23.9</v>
      </c>
      <c r="D576">
        <v>22.08</v>
      </c>
      <c r="E576" t="s">
        <v>17</v>
      </c>
      <c r="F576">
        <v>20.079999999999998</v>
      </c>
      <c r="G576">
        <v>17.89</v>
      </c>
      <c r="H576" t="s">
        <v>17</v>
      </c>
      <c r="I576" t="str">
        <f>"062805012331"</f>
        <v>062805012331</v>
      </c>
    </row>
    <row r="577" spans="1:9" x14ac:dyDescent="0.25">
      <c r="A577" t="s">
        <v>533</v>
      </c>
      <c r="B577" t="s">
        <v>13</v>
      </c>
      <c r="C577">
        <v>9</v>
      </c>
      <c r="D577">
        <v>9</v>
      </c>
      <c r="E577" t="s">
        <v>17</v>
      </c>
      <c r="F577">
        <v>26.11</v>
      </c>
      <c r="G577">
        <v>25.56</v>
      </c>
      <c r="H577" t="s">
        <v>17</v>
      </c>
      <c r="I577" t="str">
        <f>"062271012205"</f>
        <v>062271012205</v>
      </c>
    </row>
    <row r="578" spans="1:9" x14ac:dyDescent="0.25">
      <c r="A578" t="s">
        <v>534</v>
      </c>
      <c r="B578" t="s">
        <v>13</v>
      </c>
      <c r="C578">
        <v>13</v>
      </c>
      <c r="D578">
        <v>12</v>
      </c>
      <c r="E578" t="s">
        <v>14</v>
      </c>
      <c r="F578">
        <v>25</v>
      </c>
      <c r="G578">
        <v>24.25</v>
      </c>
      <c r="H578" t="s">
        <v>14</v>
      </c>
      <c r="I578" t="str">
        <f>"062271012856"</f>
        <v>062271012856</v>
      </c>
    </row>
    <row r="579" spans="1:9" x14ac:dyDescent="0.25">
      <c r="A579" t="s">
        <v>535</v>
      </c>
      <c r="B579" t="s">
        <v>13</v>
      </c>
      <c r="C579">
        <v>12</v>
      </c>
      <c r="D579">
        <v>12</v>
      </c>
      <c r="E579" t="s">
        <v>14</v>
      </c>
      <c r="F579">
        <v>25.25</v>
      </c>
      <c r="G579">
        <v>24.08</v>
      </c>
      <c r="H579" t="s">
        <v>14</v>
      </c>
      <c r="I579" t="str">
        <f>"062271012967"</f>
        <v>062271012967</v>
      </c>
    </row>
    <row r="580" spans="1:9" x14ac:dyDescent="0.25">
      <c r="A580" t="s">
        <v>536</v>
      </c>
      <c r="B580" t="s">
        <v>13</v>
      </c>
      <c r="C580">
        <v>12</v>
      </c>
      <c r="D580">
        <v>12</v>
      </c>
      <c r="E580" t="s">
        <v>17</v>
      </c>
      <c r="F580">
        <v>24.75</v>
      </c>
      <c r="G580">
        <v>24.67</v>
      </c>
      <c r="H580" t="s">
        <v>17</v>
      </c>
      <c r="I580" t="str">
        <f>"060132412077"</f>
        <v>060132412077</v>
      </c>
    </row>
    <row r="581" spans="1:9" x14ac:dyDescent="0.25">
      <c r="A581" t="s">
        <v>537</v>
      </c>
      <c r="B581" t="s">
        <v>13</v>
      </c>
      <c r="C581">
        <v>23.63</v>
      </c>
      <c r="D581">
        <v>22.83</v>
      </c>
      <c r="E581" t="s">
        <v>17</v>
      </c>
      <c r="F581">
        <v>25.77</v>
      </c>
      <c r="G581">
        <v>23.35</v>
      </c>
      <c r="H581" t="s">
        <v>17</v>
      </c>
      <c r="I581" t="str">
        <f>"063801012244"</f>
        <v>063801012244</v>
      </c>
    </row>
    <row r="582" spans="1:9" x14ac:dyDescent="0.25">
      <c r="A582" t="s">
        <v>538</v>
      </c>
      <c r="B582" t="s">
        <v>13</v>
      </c>
      <c r="C582">
        <v>21.1</v>
      </c>
      <c r="D582">
        <v>24.69</v>
      </c>
      <c r="E582" t="s">
        <v>17</v>
      </c>
      <c r="F582">
        <v>23.74</v>
      </c>
      <c r="G582">
        <v>19.440000000000001</v>
      </c>
      <c r="H582" t="s">
        <v>17</v>
      </c>
      <c r="I582" t="str">
        <f>"062805010459"</f>
        <v>062805010459</v>
      </c>
    </row>
    <row r="583" spans="1:9" x14ac:dyDescent="0.25">
      <c r="A583" t="s">
        <v>539</v>
      </c>
      <c r="B583" t="s">
        <v>13</v>
      </c>
      <c r="C583">
        <v>11</v>
      </c>
      <c r="D583">
        <v>12</v>
      </c>
      <c r="E583" t="s">
        <v>17</v>
      </c>
      <c r="F583">
        <v>24.18</v>
      </c>
      <c r="G583">
        <v>23.5</v>
      </c>
      <c r="H583" t="s">
        <v>17</v>
      </c>
      <c r="I583" t="str">
        <f>"062805010724"</f>
        <v>062805010724</v>
      </c>
    </row>
    <row r="584" spans="1:9" x14ac:dyDescent="0.25">
      <c r="A584" t="s">
        <v>540</v>
      </c>
      <c r="B584" t="s">
        <v>13</v>
      </c>
      <c r="C584">
        <v>17</v>
      </c>
      <c r="D584">
        <v>18</v>
      </c>
      <c r="E584" t="s">
        <v>17</v>
      </c>
      <c r="F584">
        <v>22.82</v>
      </c>
      <c r="G584">
        <v>21.33</v>
      </c>
      <c r="H584" t="s">
        <v>17</v>
      </c>
      <c r="I584" t="str">
        <f>"062805008440"</f>
        <v>062805008440</v>
      </c>
    </row>
    <row r="585" spans="1:9" x14ac:dyDescent="0.25">
      <c r="A585" t="s">
        <v>541</v>
      </c>
      <c r="B585" t="s">
        <v>13</v>
      </c>
      <c r="C585">
        <v>21.1</v>
      </c>
      <c r="D585">
        <v>20.8</v>
      </c>
      <c r="E585" t="s">
        <v>17</v>
      </c>
      <c r="F585">
        <v>25.59</v>
      </c>
      <c r="G585">
        <v>25.96</v>
      </c>
      <c r="H585" t="s">
        <v>17</v>
      </c>
      <c r="I585" t="str">
        <f>"062271011655"</f>
        <v>062271011655</v>
      </c>
    </row>
    <row r="586" spans="1:9" x14ac:dyDescent="0.25">
      <c r="A586" t="s">
        <v>542</v>
      </c>
      <c r="B586" t="s">
        <v>13</v>
      </c>
      <c r="C586">
        <v>24</v>
      </c>
      <c r="D586">
        <v>20</v>
      </c>
      <c r="E586" t="s">
        <v>17</v>
      </c>
      <c r="F586">
        <v>24.71</v>
      </c>
      <c r="G586">
        <v>24.05</v>
      </c>
      <c r="H586" t="s">
        <v>17</v>
      </c>
      <c r="I586" t="str">
        <f>"062271012634"</f>
        <v>062271012634</v>
      </c>
    </row>
    <row r="587" spans="1:9" x14ac:dyDescent="0.25">
      <c r="A587" t="s">
        <v>543</v>
      </c>
      <c r="B587" t="s">
        <v>13</v>
      </c>
      <c r="C587">
        <v>16</v>
      </c>
      <c r="D587">
        <v>17</v>
      </c>
      <c r="E587" t="s">
        <v>17</v>
      </c>
      <c r="F587">
        <v>25.44</v>
      </c>
      <c r="G587">
        <v>23.82</v>
      </c>
      <c r="H587" t="s">
        <v>17</v>
      </c>
      <c r="I587" t="str">
        <f>"060132412106"</f>
        <v>060132412106</v>
      </c>
    </row>
    <row r="588" spans="1:9" x14ac:dyDescent="0.25">
      <c r="A588" t="s">
        <v>544</v>
      </c>
      <c r="B588" t="s">
        <v>13</v>
      </c>
      <c r="C588">
        <v>16</v>
      </c>
      <c r="D588">
        <v>21</v>
      </c>
      <c r="E588" t="s">
        <v>17</v>
      </c>
      <c r="F588">
        <v>23.63</v>
      </c>
      <c r="G588">
        <v>18</v>
      </c>
      <c r="H588" t="s">
        <v>17</v>
      </c>
      <c r="I588" t="str">
        <f>"062223010389"</f>
        <v>062223010389</v>
      </c>
    </row>
    <row r="589" spans="1:9" x14ac:dyDescent="0.25">
      <c r="A589" t="s">
        <v>545</v>
      </c>
      <c r="B589" t="s">
        <v>13</v>
      </c>
      <c r="C589">
        <v>16</v>
      </c>
      <c r="D589">
        <v>17</v>
      </c>
      <c r="E589" t="s">
        <v>17</v>
      </c>
      <c r="F589">
        <v>23.88</v>
      </c>
      <c r="G589">
        <v>22.41</v>
      </c>
      <c r="H589" t="s">
        <v>17</v>
      </c>
      <c r="I589" t="str">
        <f>"063801011423"</f>
        <v>063801011423</v>
      </c>
    </row>
    <row r="590" spans="1:9" x14ac:dyDescent="0.25">
      <c r="A590" t="s">
        <v>546</v>
      </c>
      <c r="B590" t="s">
        <v>13</v>
      </c>
      <c r="C590">
        <v>12</v>
      </c>
      <c r="D590">
        <v>12</v>
      </c>
      <c r="E590" t="s">
        <v>14</v>
      </c>
      <c r="F590">
        <v>24.92</v>
      </c>
      <c r="G590">
        <v>24.08</v>
      </c>
      <c r="H590" t="s">
        <v>14</v>
      </c>
      <c r="I590" t="str">
        <f>"062271012950"</f>
        <v>062271012950</v>
      </c>
    </row>
    <row r="591" spans="1:9" x14ac:dyDescent="0.25">
      <c r="A591" t="s">
        <v>547</v>
      </c>
      <c r="B591" t="s">
        <v>13</v>
      </c>
      <c r="C591">
        <v>16</v>
      </c>
      <c r="D591">
        <v>17</v>
      </c>
      <c r="E591" t="s">
        <v>17</v>
      </c>
      <c r="F591">
        <v>24.94</v>
      </c>
      <c r="G591">
        <v>23.59</v>
      </c>
      <c r="H591" t="s">
        <v>17</v>
      </c>
      <c r="I591" t="str">
        <f>"060813011809"</f>
        <v>060813011809</v>
      </c>
    </row>
    <row r="592" spans="1:9" x14ac:dyDescent="0.25">
      <c r="A592" t="s">
        <v>548</v>
      </c>
      <c r="B592" t="s">
        <v>13</v>
      </c>
      <c r="C592">
        <v>12</v>
      </c>
      <c r="D592">
        <v>12</v>
      </c>
      <c r="E592" t="s">
        <v>17</v>
      </c>
      <c r="F592">
        <v>24.92</v>
      </c>
      <c r="G592">
        <v>24.5</v>
      </c>
      <c r="H592" t="s">
        <v>17</v>
      </c>
      <c r="I592" t="str">
        <f>"060132412447"</f>
        <v>060132412447</v>
      </c>
    </row>
    <row r="593" spans="1:9" x14ac:dyDescent="0.25">
      <c r="A593" t="s">
        <v>549</v>
      </c>
      <c r="B593" t="s">
        <v>13</v>
      </c>
      <c r="C593">
        <v>11</v>
      </c>
      <c r="D593">
        <v>12</v>
      </c>
      <c r="E593" t="s">
        <v>17</v>
      </c>
      <c r="F593">
        <v>24</v>
      </c>
      <c r="G593">
        <v>22</v>
      </c>
      <c r="H593" t="s">
        <v>17</v>
      </c>
      <c r="I593" t="str">
        <f>"063867012365"</f>
        <v>063867012365</v>
      </c>
    </row>
    <row r="594" spans="1:9" x14ac:dyDescent="0.25">
      <c r="A594" t="s">
        <v>550</v>
      </c>
      <c r="B594" t="s">
        <v>13</v>
      </c>
      <c r="C594">
        <v>15.2</v>
      </c>
      <c r="D594">
        <v>15.25</v>
      </c>
      <c r="E594" t="s">
        <v>17</v>
      </c>
      <c r="F594">
        <v>21.64</v>
      </c>
      <c r="G594">
        <v>20.59</v>
      </c>
      <c r="H594" t="s">
        <v>17</v>
      </c>
      <c r="I594" t="str">
        <f>"060134212511"</f>
        <v>060134212511</v>
      </c>
    </row>
    <row r="595" spans="1:9" x14ac:dyDescent="0.25">
      <c r="A595" t="s">
        <v>551</v>
      </c>
      <c r="B595" t="s">
        <v>13</v>
      </c>
      <c r="C595">
        <v>16</v>
      </c>
      <c r="D595">
        <v>20.5</v>
      </c>
      <c r="E595" t="s">
        <v>17</v>
      </c>
      <c r="F595">
        <v>24.44</v>
      </c>
      <c r="G595">
        <v>18.73</v>
      </c>
      <c r="H595" t="s">
        <v>17</v>
      </c>
      <c r="I595" t="str">
        <f>"062223008323"</f>
        <v>062223008323</v>
      </c>
    </row>
    <row r="596" spans="1:9" x14ac:dyDescent="0.25">
      <c r="A596" t="s">
        <v>552</v>
      </c>
      <c r="B596" t="s">
        <v>13</v>
      </c>
      <c r="C596">
        <v>4.2300000000000004</v>
      </c>
      <c r="D596" t="s">
        <v>14</v>
      </c>
      <c r="E596" t="s">
        <v>14</v>
      </c>
      <c r="F596">
        <v>39.01</v>
      </c>
      <c r="G596" t="s">
        <v>14</v>
      </c>
      <c r="H596" t="s">
        <v>14</v>
      </c>
      <c r="I596" t="str">
        <f>"060000113121"</f>
        <v>060000113121</v>
      </c>
    </row>
    <row r="597" spans="1:9" x14ac:dyDescent="0.25">
      <c r="A597" t="s">
        <v>553</v>
      </c>
      <c r="B597" t="s">
        <v>13</v>
      </c>
      <c r="C597">
        <v>65.83</v>
      </c>
      <c r="D597">
        <v>67.25</v>
      </c>
      <c r="E597" t="s">
        <v>17</v>
      </c>
      <c r="F597">
        <v>21.42</v>
      </c>
      <c r="G597">
        <v>22.08</v>
      </c>
      <c r="H597" t="s">
        <v>17</v>
      </c>
      <c r="I597" t="str">
        <f>"060330000247"</f>
        <v>060330000247</v>
      </c>
    </row>
    <row r="598" spans="1:9" x14ac:dyDescent="0.25">
      <c r="A598" t="s">
        <v>554</v>
      </c>
      <c r="B598" t="s">
        <v>13</v>
      </c>
      <c r="C598">
        <v>28.15</v>
      </c>
      <c r="D598">
        <v>28.73</v>
      </c>
      <c r="E598" t="s">
        <v>17</v>
      </c>
      <c r="F598">
        <v>20.36</v>
      </c>
      <c r="G598">
        <v>19.84</v>
      </c>
      <c r="H598" t="s">
        <v>17</v>
      </c>
      <c r="I598" t="str">
        <f>"060330000248"</f>
        <v>060330000248</v>
      </c>
    </row>
    <row r="599" spans="1:9" x14ac:dyDescent="0.25">
      <c r="A599" t="s">
        <v>555</v>
      </c>
      <c r="B599" t="s">
        <v>13</v>
      </c>
      <c r="C599" t="s">
        <v>17</v>
      </c>
      <c r="D599" t="s">
        <v>14</v>
      </c>
      <c r="E599" t="s">
        <v>14</v>
      </c>
      <c r="F599" t="s">
        <v>17</v>
      </c>
      <c r="G599" t="s">
        <v>14</v>
      </c>
      <c r="H599" t="s">
        <v>14</v>
      </c>
      <c r="I599" t="str">
        <f>"064032013329"</f>
        <v>064032013329</v>
      </c>
    </row>
    <row r="600" spans="1:9" x14ac:dyDescent="0.25">
      <c r="A600" t="s">
        <v>556</v>
      </c>
      <c r="B600" t="s">
        <v>13</v>
      </c>
      <c r="C600">
        <v>22</v>
      </c>
      <c r="D600">
        <v>23</v>
      </c>
      <c r="E600" t="s">
        <v>17</v>
      </c>
      <c r="F600">
        <v>25.59</v>
      </c>
      <c r="G600">
        <v>25.74</v>
      </c>
      <c r="H600" t="s">
        <v>17</v>
      </c>
      <c r="I600" t="str">
        <f>"063684006248"</f>
        <v>063684006248</v>
      </c>
    </row>
    <row r="601" spans="1:9" x14ac:dyDescent="0.25">
      <c r="A601" t="s">
        <v>557</v>
      </c>
      <c r="B601" t="s">
        <v>13</v>
      </c>
      <c r="C601">
        <v>17</v>
      </c>
      <c r="D601">
        <v>17</v>
      </c>
      <c r="E601" t="s">
        <v>17</v>
      </c>
      <c r="F601">
        <v>20.41</v>
      </c>
      <c r="G601">
        <v>21.18</v>
      </c>
      <c r="H601" t="s">
        <v>17</v>
      </c>
      <c r="I601" t="str">
        <f>"062271002828"</f>
        <v>062271002828</v>
      </c>
    </row>
    <row r="602" spans="1:9" x14ac:dyDescent="0.25">
      <c r="A602" t="s">
        <v>558</v>
      </c>
      <c r="B602" t="s">
        <v>13</v>
      </c>
      <c r="C602">
        <v>67.569999999999993</v>
      </c>
      <c r="D602">
        <v>72.3</v>
      </c>
      <c r="E602" t="s">
        <v>17</v>
      </c>
      <c r="F602">
        <v>26.03</v>
      </c>
      <c r="G602">
        <v>24.74</v>
      </c>
      <c r="H602" t="s">
        <v>17</v>
      </c>
      <c r="I602" t="str">
        <f>"062466003699"</f>
        <v>062466003699</v>
      </c>
    </row>
    <row r="603" spans="1:9" x14ac:dyDescent="0.25">
      <c r="A603" t="s">
        <v>559</v>
      </c>
      <c r="B603" t="s">
        <v>13</v>
      </c>
      <c r="C603">
        <v>1</v>
      </c>
      <c r="D603">
        <v>1</v>
      </c>
      <c r="E603" t="s">
        <v>17</v>
      </c>
      <c r="F603">
        <v>5</v>
      </c>
      <c r="G603">
        <v>8</v>
      </c>
      <c r="H603" t="s">
        <v>17</v>
      </c>
      <c r="I603" t="str">
        <f>"060342012736"</f>
        <v>060342012736</v>
      </c>
    </row>
    <row r="604" spans="1:9" x14ac:dyDescent="0.25">
      <c r="A604" t="s">
        <v>560</v>
      </c>
      <c r="B604" t="s">
        <v>13</v>
      </c>
      <c r="C604">
        <v>1</v>
      </c>
      <c r="D604">
        <v>1</v>
      </c>
      <c r="E604" t="s">
        <v>17</v>
      </c>
      <c r="F604">
        <v>5</v>
      </c>
      <c r="G604">
        <v>5</v>
      </c>
      <c r="H604" t="s">
        <v>17</v>
      </c>
      <c r="I604" t="str">
        <f>"060342011167"</f>
        <v>060342011167</v>
      </c>
    </row>
    <row r="605" spans="1:9" x14ac:dyDescent="0.25">
      <c r="A605" t="s">
        <v>561</v>
      </c>
      <c r="B605" t="s">
        <v>13</v>
      </c>
      <c r="C605" t="s">
        <v>14</v>
      </c>
      <c r="D605" t="s">
        <v>14</v>
      </c>
      <c r="E605" t="s">
        <v>17</v>
      </c>
      <c r="F605" t="s">
        <v>14</v>
      </c>
      <c r="G605" t="s">
        <v>14</v>
      </c>
      <c r="H605" t="s">
        <v>17</v>
      </c>
      <c r="I605" t="str">
        <f>"063680500405"</f>
        <v>063680500405</v>
      </c>
    </row>
    <row r="606" spans="1:9" x14ac:dyDescent="0.25">
      <c r="A606" t="s">
        <v>562</v>
      </c>
      <c r="B606" t="s">
        <v>13</v>
      </c>
      <c r="C606">
        <v>23.6</v>
      </c>
      <c r="D606">
        <v>22.83</v>
      </c>
      <c r="E606" t="s">
        <v>17</v>
      </c>
      <c r="F606">
        <v>21.4</v>
      </c>
      <c r="G606">
        <v>21.9</v>
      </c>
      <c r="H606" t="s">
        <v>17</v>
      </c>
      <c r="I606" t="str">
        <f>"060348004813"</f>
        <v>060348004813</v>
      </c>
    </row>
    <row r="607" spans="1:9" x14ac:dyDescent="0.25">
      <c r="A607" t="s">
        <v>563</v>
      </c>
      <c r="B607" t="s">
        <v>13</v>
      </c>
      <c r="C607">
        <v>32.51</v>
      </c>
      <c r="D607">
        <v>36</v>
      </c>
      <c r="E607" t="s">
        <v>17</v>
      </c>
      <c r="F607">
        <v>20.82</v>
      </c>
      <c r="G607">
        <v>21.92</v>
      </c>
      <c r="H607" t="s">
        <v>17</v>
      </c>
      <c r="I607" t="str">
        <f>"060985001046"</f>
        <v>060985001046</v>
      </c>
    </row>
    <row r="608" spans="1:9" x14ac:dyDescent="0.25">
      <c r="A608" t="s">
        <v>564</v>
      </c>
      <c r="B608" t="s">
        <v>13</v>
      </c>
      <c r="C608">
        <v>21</v>
      </c>
      <c r="D608">
        <v>18</v>
      </c>
      <c r="E608" t="s">
        <v>17</v>
      </c>
      <c r="F608">
        <v>30.57</v>
      </c>
      <c r="G608">
        <v>33</v>
      </c>
      <c r="H608" t="s">
        <v>17</v>
      </c>
      <c r="I608" t="str">
        <f>"063432010634"</f>
        <v>063432010634</v>
      </c>
    </row>
    <row r="609" spans="1:9" x14ac:dyDescent="0.25">
      <c r="A609" t="s">
        <v>565</v>
      </c>
      <c r="B609" t="s">
        <v>13</v>
      </c>
      <c r="C609">
        <v>26.93</v>
      </c>
      <c r="D609">
        <v>24.93</v>
      </c>
      <c r="E609" t="s">
        <v>17</v>
      </c>
      <c r="F609">
        <v>24.36</v>
      </c>
      <c r="G609">
        <v>25.35</v>
      </c>
      <c r="H609" t="s">
        <v>17</v>
      </c>
      <c r="I609" t="str">
        <f>"063492005897"</f>
        <v>063492005897</v>
      </c>
    </row>
    <row r="610" spans="1:9" x14ac:dyDescent="0.25">
      <c r="A610" t="s">
        <v>566</v>
      </c>
      <c r="B610" t="s">
        <v>13</v>
      </c>
      <c r="C610">
        <v>30.21</v>
      </c>
      <c r="D610">
        <v>34.200000000000003</v>
      </c>
      <c r="E610" t="s">
        <v>17</v>
      </c>
      <c r="F610">
        <v>16.02</v>
      </c>
      <c r="G610">
        <v>16.809999999999999</v>
      </c>
      <c r="H610" t="s">
        <v>17</v>
      </c>
      <c r="I610" t="str">
        <f>"063432005411"</f>
        <v>063432005411</v>
      </c>
    </row>
    <row r="611" spans="1:9" x14ac:dyDescent="0.25">
      <c r="A611" t="s">
        <v>567</v>
      </c>
      <c r="B611" t="s">
        <v>13</v>
      </c>
      <c r="C611">
        <v>34.01</v>
      </c>
      <c r="D611">
        <v>40.520000000000003</v>
      </c>
      <c r="E611" t="s">
        <v>17</v>
      </c>
      <c r="F611">
        <v>22.99</v>
      </c>
      <c r="G611">
        <v>20.36</v>
      </c>
      <c r="H611" t="s">
        <v>17</v>
      </c>
      <c r="I611" t="str">
        <f>"062271002829"</f>
        <v>062271002829</v>
      </c>
    </row>
    <row r="612" spans="1:9" x14ac:dyDescent="0.25">
      <c r="A612" t="s">
        <v>568</v>
      </c>
      <c r="B612" t="s">
        <v>13</v>
      </c>
      <c r="C612">
        <v>29.5</v>
      </c>
      <c r="D612">
        <v>32.67</v>
      </c>
      <c r="E612" t="s">
        <v>17</v>
      </c>
      <c r="F612">
        <v>22.78</v>
      </c>
      <c r="G612">
        <v>21.15</v>
      </c>
      <c r="H612" t="s">
        <v>17</v>
      </c>
      <c r="I612" t="str">
        <f>"062640003987"</f>
        <v>062640003987</v>
      </c>
    </row>
    <row r="613" spans="1:9" x14ac:dyDescent="0.25">
      <c r="A613" t="s">
        <v>569</v>
      </c>
      <c r="B613" t="s">
        <v>13</v>
      </c>
      <c r="C613">
        <v>25</v>
      </c>
      <c r="D613">
        <v>27</v>
      </c>
      <c r="E613" t="s">
        <v>17</v>
      </c>
      <c r="F613">
        <v>26.16</v>
      </c>
      <c r="G613">
        <v>23.37</v>
      </c>
      <c r="H613" t="s">
        <v>17</v>
      </c>
      <c r="I613" t="str">
        <f>"063801006399"</f>
        <v>063801006399</v>
      </c>
    </row>
    <row r="614" spans="1:9" x14ac:dyDescent="0.25">
      <c r="A614" t="s">
        <v>570</v>
      </c>
      <c r="B614" t="s">
        <v>13</v>
      </c>
      <c r="C614">
        <v>30.8</v>
      </c>
      <c r="D614">
        <v>30.3</v>
      </c>
      <c r="E614" t="s">
        <v>17</v>
      </c>
      <c r="F614">
        <v>25.84</v>
      </c>
      <c r="G614">
        <v>26.63</v>
      </c>
      <c r="H614" t="s">
        <v>17</v>
      </c>
      <c r="I614" t="str">
        <f>"062361001374"</f>
        <v>062361001374</v>
      </c>
    </row>
    <row r="615" spans="1:9" x14ac:dyDescent="0.25">
      <c r="A615" t="s">
        <v>571</v>
      </c>
      <c r="B615" t="s">
        <v>13</v>
      </c>
      <c r="C615">
        <v>26.14</v>
      </c>
      <c r="D615">
        <v>24.95</v>
      </c>
      <c r="E615" t="s">
        <v>17</v>
      </c>
      <c r="F615">
        <v>20.89</v>
      </c>
      <c r="G615">
        <v>23.37</v>
      </c>
      <c r="H615" t="s">
        <v>17</v>
      </c>
      <c r="I615" t="str">
        <f>"062706004090"</f>
        <v>062706004090</v>
      </c>
    </row>
    <row r="616" spans="1:9" x14ac:dyDescent="0.25">
      <c r="A616" t="s">
        <v>572</v>
      </c>
      <c r="B616" t="s">
        <v>13</v>
      </c>
      <c r="C616">
        <v>12.8</v>
      </c>
      <c r="D616" t="s">
        <v>14</v>
      </c>
      <c r="E616" t="s">
        <v>14</v>
      </c>
      <c r="F616">
        <v>27.34</v>
      </c>
      <c r="G616" t="s">
        <v>14</v>
      </c>
      <c r="H616" t="s">
        <v>14</v>
      </c>
      <c r="I616" t="str">
        <f>"062271013065"</f>
        <v>062271013065</v>
      </c>
    </row>
    <row r="617" spans="1:9" x14ac:dyDescent="0.25">
      <c r="A617" t="s">
        <v>573</v>
      </c>
      <c r="B617" t="s">
        <v>13</v>
      </c>
      <c r="C617">
        <v>13.8</v>
      </c>
      <c r="D617" t="s">
        <v>14</v>
      </c>
      <c r="E617" t="s">
        <v>14</v>
      </c>
      <c r="F617">
        <v>25</v>
      </c>
      <c r="G617" t="s">
        <v>14</v>
      </c>
      <c r="H617" t="s">
        <v>14</v>
      </c>
      <c r="I617" t="str">
        <f>"062271013095"</f>
        <v>062271013095</v>
      </c>
    </row>
    <row r="618" spans="1:9" x14ac:dyDescent="0.25">
      <c r="A618" t="s">
        <v>574</v>
      </c>
      <c r="B618" t="s">
        <v>13</v>
      </c>
      <c r="C618">
        <v>15.8</v>
      </c>
      <c r="D618" t="s">
        <v>14</v>
      </c>
      <c r="E618" t="s">
        <v>14</v>
      </c>
      <c r="F618">
        <v>20.76</v>
      </c>
      <c r="G618" t="s">
        <v>14</v>
      </c>
      <c r="H618" t="s">
        <v>14</v>
      </c>
      <c r="I618" t="str">
        <f>"062271013166"</f>
        <v>062271013166</v>
      </c>
    </row>
    <row r="619" spans="1:9" x14ac:dyDescent="0.25">
      <c r="A619" t="s">
        <v>575</v>
      </c>
      <c r="B619" t="s">
        <v>13</v>
      </c>
      <c r="C619">
        <v>23</v>
      </c>
      <c r="D619">
        <v>24</v>
      </c>
      <c r="E619" t="s">
        <v>17</v>
      </c>
      <c r="F619">
        <v>25.43</v>
      </c>
      <c r="G619">
        <v>23.88</v>
      </c>
      <c r="H619" t="s">
        <v>17</v>
      </c>
      <c r="I619" t="str">
        <f>"060002503570"</f>
        <v>060002503570</v>
      </c>
    </row>
    <row r="620" spans="1:9" x14ac:dyDescent="0.25">
      <c r="A620" t="s">
        <v>576</v>
      </c>
      <c r="B620" t="s">
        <v>13</v>
      </c>
      <c r="C620">
        <v>22</v>
      </c>
      <c r="D620">
        <v>20</v>
      </c>
      <c r="E620" t="s">
        <v>17</v>
      </c>
      <c r="F620">
        <v>22.95</v>
      </c>
      <c r="G620">
        <v>25</v>
      </c>
      <c r="H620" t="s">
        <v>17</v>
      </c>
      <c r="I620" t="str">
        <f>"062271011622"</f>
        <v>062271011622</v>
      </c>
    </row>
    <row r="621" spans="1:9" x14ac:dyDescent="0.25">
      <c r="A621" t="s">
        <v>577</v>
      </c>
      <c r="B621" t="s">
        <v>13</v>
      </c>
      <c r="C621">
        <v>9.5</v>
      </c>
      <c r="D621">
        <v>9</v>
      </c>
      <c r="E621" t="s">
        <v>17</v>
      </c>
      <c r="F621">
        <v>21.68</v>
      </c>
      <c r="G621">
        <v>22.78</v>
      </c>
      <c r="H621" t="s">
        <v>17</v>
      </c>
      <c r="I621" t="str">
        <f>"060690000633"</f>
        <v>060690000633</v>
      </c>
    </row>
    <row r="622" spans="1:9" x14ac:dyDescent="0.25">
      <c r="A622" t="s">
        <v>578</v>
      </c>
      <c r="B622" t="s">
        <v>13</v>
      </c>
      <c r="C622">
        <v>18</v>
      </c>
      <c r="D622">
        <v>18.45</v>
      </c>
      <c r="E622" t="s">
        <v>17</v>
      </c>
      <c r="F622">
        <v>22</v>
      </c>
      <c r="G622">
        <v>21.73</v>
      </c>
      <c r="H622" t="s">
        <v>17</v>
      </c>
      <c r="I622" t="str">
        <f>"063264008646"</f>
        <v>063264008646</v>
      </c>
    </row>
    <row r="623" spans="1:9" x14ac:dyDescent="0.25">
      <c r="A623" t="s">
        <v>579</v>
      </c>
      <c r="B623" t="s">
        <v>13</v>
      </c>
      <c r="C623">
        <v>26</v>
      </c>
      <c r="D623">
        <v>25</v>
      </c>
      <c r="E623" t="s">
        <v>17</v>
      </c>
      <c r="F623">
        <v>28.88</v>
      </c>
      <c r="G623">
        <v>28.88</v>
      </c>
      <c r="H623" t="s">
        <v>17</v>
      </c>
      <c r="I623" t="str">
        <f>"069113511049"</f>
        <v>069113511049</v>
      </c>
    </row>
    <row r="624" spans="1:9" x14ac:dyDescent="0.25">
      <c r="A624" t="s">
        <v>580</v>
      </c>
      <c r="B624" t="s">
        <v>13</v>
      </c>
      <c r="C624">
        <v>10</v>
      </c>
      <c r="D624">
        <v>9</v>
      </c>
      <c r="E624" t="s">
        <v>17</v>
      </c>
      <c r="F624">
        <v>22.1</v>
      </c>
      <c r="G624">
        <v>23.89</v>
      </c>
      <c r="H624" t="s">
        <v>17</v>
      </c>
      <c r="I624" t="str">
        <f>"062271002831"</f>
        <v>062271002831</v>
      </c>
    </row>
    <row r="625" spans="1:9" x14ac:dyDescent="0.25">
      <c r="A625" t="s">
        <v>581</v>
      </c>
      <c r="B625" t="s">
        <v>13</v>
      </c>
      <c r="C625">
        <v>4</v>
      </c>
      <c r="D625">
        <v>4</v>
      </c>
      <c r="E625" t="s">
        <v>17</v>
      </c>
      <c r="F625">
        <v>32.5</v>
      </c>
      <c r="G625">
        <v>34.25</v>
      </c>
      <c r="H625" t="s">
        <v>17</v>
      </c>
      <c r="I625" t="str">
        <f>"062271002830"</f>
        <v>062271002830</v>
      </c>
    </row>
    <row r="626" spans="1:9" x14ac:dyDescent="0.25">
      <c r="A626" t="s">
        <v>582</v>
      </c>
      <c r="B626" t="s">
        <v>13</v>
      </c>
      <c r="C626">
        <v>31.75</v>
      </c>
      <c r="D626">
        <v>32.67</v>
      </c>
      <c r="E626" t="s">
        <v>17</v>
      </c>
      <c r="F626">
        <v>19.78</v>
      </c>
      <c r="G626">
        <v>19.25</v>
      </c>
      <c r="H626" t="s">
        <v>17</v>
      </c>
      <c r="I626" t="str">
        <f>"062250007299"</f>
        <v>062250007299</v>
      </c>
    </row>
    <row r="627" spans="1:9" x14ac:dyDescent="0.25">
      <c r="A627" t="s">
        <v>583</v>
      </c>
      <c r="B627" t="s">
        <v>13</v>
      </c>
      <c r="C627">
        <v>25</v>
      </c>
      <c r="D627">
        <v>29</v>
      </c>
      <c r="E627" t="s">
        <v>17</v>
      </c>
      <c r="F627">
        <v>30.48</v>
      </c>
      <c r="G627">
        <v>24.72</v>
      </c>
      <c r="H627" t="s">
        <v>17</v>
      </c>
      <c r="I627" t="str">
        <f>"060002909508"</f>
        <v>060002909508</v>
      </c>
    </row>
    <row r="628" spans="1:9" x14ac:dyDescent="0.25">
      <c r="A628" t="s">
        <v>584</v>
      </c>
      <c r="B628" t="s">
        <v>13</v>
      </c>
      <c r="C628">
        <v>28</v>
      </c>
      <c r="D628">
        <v>32</v>
      </c>
      <c r="E628" t="s">
        <v>17</v>
      </c>
      <c r="F628">
        <v>27.04</v>
      </c>
      <c r="G628">
        <v>24.44</v>
      </c>
      <c r="H628" t="s">
        <v>17</v>
      </c>
      <c r="I628" t="str">
        <f>"063227007334"</f>
        <v>063227007334</v>
      </c>
    </row>
    <row r="629" spans="1:9" x14ac:dyDescent="0.25">
      <c r="A629" t="s">
        <v>585</v>
      </c>
      <c r="B629" t="s">
        <v>13</v>
      </c>
      <c r="C629">
        <v>27.6</v>
      </c>
      <c r="D629">
        <v>28.9</v>
      </c>
      <c r="E629" t="s">
        <v>17</v>
      </c>
      <c r="F629">
        <v>23.73</v>
      </c>
      <c r="G629">
        <v>21.83</v>
      </c>
      <c r="H629" t="s">
        <v>17</v>
      </c>
      <c r="I629" t="str">
        <f>"063227007335"</f>
        <v>063227007335</v>
      </c>
    </row>
    <row r="630" spans="1:9" x14ac:dyDescent="0.25">
      <c r="A630" t="s">
        <v>586</v>
      </c>
      <c r="B630" t="s">
        <v>13</v>
      </c>
      <c r="C630">
        <v>10</v>
      </c>
      <c r="D630">
        <v>10</v>
      </c>
      <c r="E630" t="s">
        <v>17</v>
      </c>
      <c r="F630">
        <v>21.9</v>
      </c>
      <c r="G630">
        <v>24.5</v>
      </c>
      <c r="H630" t="s">
        <v>17</v>
      </c>
      <c r="I630" t="str">
        <f>"064068002907"</f>
        <v>064068002907</v>
      </c>
    </row>
    <row r="631" spans="1:9" x14ac:dyDescent="0.25">
      <c r="A631" t="s">
        <v>587</v>
      </c>
      <c r="B631" t="s">
        <v>13</v>
      </c>
      <c r="C631">
        <v>11.46</v>
      </c>
      <c r="D631">
        <v>11.4</v>
      </c>
      <c r="E631" t="s">
        <v>17</v>
      </c>
      <c r="F631">
        <v>24.26</v>
      </c>
      <c r="G631">
        <v>18.329999999999998</v>
      </c>
      <c r="H631" t="s">
        <v>17</v>
      </c>
      <c r="I631" t="str">
        <f>"062994012028"</f>
        <v>062994012028</v>
      </c>
    </row>
    <row r="632" spans="1:9" x14ac:dyDescent="0.25">
      <c r="A632" t="s">
        <v>588</v>
      </c>
      <c r="B632" t="s">
        <v>13</v>
      </c>
      <c r="C632">
        <v>16.5</v>
      </c>
      <c r="D632">
        <v>16.5</v>
      </c>
      <c r="E632" t="s">
        <v>17</v>
      </c>
      <c r="F632">
        <v>23.21</v>
      </c>
      <c r="G632">
        <v>24.06</v>
      </c>
      <c r="H632" t="s">
        <v>17</v>
      </c>
      <c r="I632" t="str">
        <f>"062994011929"</f>
        <v>062994011929</v>
      </c>
    </row>
    <row r="633" spans="1:9" x14ac:dyDescent="0.25">
      <c r="A633" t="s">
        <v>589</v>
      </c>
      <c r="B633" t="s">
        <v>13</v>
      </c>
      <c r="C633">
        <v>25</v>
      </c>
      <c r="D633">
        <v>26</v>
      </c>
      <c r="E633" t="s">
        <v>17</v>
      </c>
      <c r="F633">
        <v>30.36</v>
      </c>
      <c r="G633">
        <v>28.23</v>
      </c>
      <c r="H633" t="s">
        <v>17</v>
      </c>
      <c r="I633" t="str">
        <f>"060750009747"</f>
        <v>060750009747</v>
      </c>
    </row>
    <row r="634" spans="1:9" x14ac:dyDescent="0.25">
      <c r="A634" t="s">
        <v>590</v>
      </c>
      <c r="B634" t="s">
        <v>13</v>
      </c>
      <c r="C634">
        <v>43.8</v>
      </c>
      <c r="D634">
        <v>43.6</v>
      </c>
      <c r="E634" t="s">
        <v>17</v>
      </c>
      <c r="F634">
        <v>25</v>
      </c>
      <c r="G634">
        <v>24.2</v>
      </c>
      <c r="H634" t="s">
        <v>17</v>
      </c>
      <c r="I634" t="str">
        <f>"060750008606"</f>
        <v>060750008606</v>
      </c>
    </row>
    <row r="635" spans="1:9" x14ac:dyDescent="0.25">
      <c r="A635" t="s">
        <v>591</v>
      </c>
      <c r="B635" t="s">
        <v>13</v>
      </c>
      <c r="C635">
        <v>23</v>
      </c>
      <c r="D635">
        <v>23.1</v>
      </c>
      <c r="E635" t="s">
        <v>17</v>
      </c>
      <c r="F635">
        <v>24.48</v>
      </c>
      <c r="G635">
        <v>22.42</v>
      </c>
      <c r="H635" t="s">
        <v>17</v>
      </c>
      <c r="I635" t="str">
        <f>"060681000604"</f>
        <v>060681000604</v>
      </c>
    </row>
    <row r="636" spans="1:9" x14ac:dyDescent="0.25">
      <c r="A636" t="s">
        <v>592</v>
      </c>
      <c r="B636" t="s">
        <v>13</v>
      </c>
      <c r="C636">
        <v>17.13</v>
      </c>
      <c r="D636">
        <v>17</v>
      </c>
      <c r="E636" t="s">
        <v>17</v>
      </c>
      <c r="F636">
        <v>32.22</v>
      </c>
      <c r="G636">
        <v>31.76</v>
      </c>
      <c r="H636" t="s">
        <v>17</v>
      </c>
      <c r="I636" t="str">
        <f>"062025002424"</f>
        <v>062025002424</v>
      </c>
    </row>
    <row r="637" spans="1:9" x14ac:dyDescent="0.25">
      <c r="A637" t="s">
        <v>593</v>
      </c>
      <c r="B637" t="s">
        <v>13</v>
      </c>
      <c r="C637">
        <v>25</v>
      </c>
      <c r="D637">
        <v>25</v>
      </c>
      <c r="E637" t="s">
        <v>17</v>
      </c>
      <c r="F637">
        <v>25.72</v>
      </c>
      <c r="G637">
        <v>25.8</v>
      </c>
      <c r="H637" t="s">
        <v>17</v>
      </c>
      <c r="I637" t="str">
        <f>"061455007285"</f>
        <v>061455007285</v>
      </c>
    </row>
    <row r="638" spans="1:9" x14ac:dyDescent="0.25">
      <c r="A638" t="s">
        <v>594</v>
      </c>
      <c r="B638" t="s">
        <v>13</v>
      </c>
      <c r="C638">
        <v>18.7</v>
      </c>
      <c r="D638">
        <v>16.8</v>
      </c>
      <c r="E638" t="s">
        <v>17</v>
      </c>
      <c r="F638">
        <v>23.85</v>
      </c>
      <c r="G638">
        <v>24.64</v>
      </c>
      <c r="H638" t="s">
        <v>17</v>
      </c>
      <c r="I638" t="str">
        <f>"062637003934"</f>
        <v>062637003934</v>
      </c>
    </row>
    <row r="639" spans="1:9" x14ac:dyDescent="0.25">
      <c r="A639" t="s">
        <v>595</v>
      </c>
      <c r="B639" t="s">
        <v>13</v>
      </c>
      <c r="C639">
        <v>24</v>
      </c>
      <c r="D639">
        <v>23</v>
      </c>
      <c r="E639" t="s">
        <v>17</v>
      </c>
      <c r="F639">
        <v>25.96</v>
      </c>
      <c r="G639">
        <v>27.39</v>
      </c>
      <c r="H639" t="s">
        <v>17</v>
      </c>
      <c r="I639" t="str">
        <f>"061455001705"</f>
        <v>061455001705</v>
      </c>
    </row>
    <row r="640" spans="1:9" x14ac:dyDescent="0.25">
      <c r="A640" t="s">
        <v>596</v>
      </c>
      <c r="B640" t="s">
        <v>13</v>
      </c>
      <c r="C640">
        <v>58.1</v>
      </c>
      <c r="D640">
        <v>58.3</v>
      </c>
      <c r="E640" t="s">
        <v>17</v>
      </c>
      <c r="F640">
        <v>23.22</v>
      </c>
      <c r="G640">
        <v>23.38</v>
      </c>
      <c r="H640" t="s">
        <v>17</v>
      </c>
      <c r="I640" t="str">
        <f>"060360000268"</f>
        <v>060360000268</v>
      </c>
    </row>
    <row r="641" spans="1:9" x14ac:dyDescent="0.25">
      <c r="A641" t="s">
        <v>597</v>
      </c>
      <c r="B641" t="s">
        <v>13</v>
      </c>
      <c r="C641">
        <v>37.299999999999997</v>
      </c>
      <c r="D641">
        <v>35.6</v>
      </c>
      <c r="E641" t="s">
        <v>17</v>
      </c>
      <c r="F641">
        <v>26.73</v>
      </c>
      <c r="G641">
        <v>27.72</v>
      </c>
      <c r="H641" t="s">
        <v>17</v>
      </c>
      <c r="I641" t="str">
        <f>"061336009815"</f>
        <v>061336009815</v>
      </c>
    </row>
    <row r="642" spans="1:9" x14ac:dyDescent="0.25">
      <c r="A642" t="s">
        <v>598</v>
      </c>
      <c r="B642" t="s">
        <v>13</v>
      </c>
      <c r="C642">
        <v>10</v>
      </c>
      <c r="D642">
        <v>9.8000000000000007</v>
      </c>
      <c r="E642" t="s">
        <v>17</v>
      </c>
      <c r="F642">
        <v>16.399999999999999</v>
      </c>
      <c r="G642">
        <v>12.14</v>
      </c>
      <c r="H642" t="s">
        <v>17</v>
      </c>
      <c r="I642" t="str">
        <f>"062724004122"</f>
        <v>062724004122</v>
      </c>
    </row>
    <row r="643" spans="1:9" x14ac:dyDescent="0.25">
      <c r="A643" t="s">
        <v>599</v>
      </c>
      <c r="B643" t="s">
        <v>13</v>
      </c>
      <c r="C643">
        <v>7.6</v>
      </c>
      <c r="D643">
        <v>9.3000000000000007</v>
      </c>
      <c r="E643" t="s">
        <v>17</v>
      </c>
      <c r="F643">
        <v>17.63</v>
      </c>
      <c r="G643">
        <v>13.76</v>
      </c>
      <c r="H643" t="s">
        <v>17</v>
      </c>
      <c r="I643" t="str">
        <f>"063753006340"</f>
        <v>063753006340</v>
      </c>
    </row>
    <row r="644" spans="1:9" x14ac:dyDescent="0.25">
      <c r="A644" t="s">
        <v>600</v>
      </c>
      <c r="B644" t="s">
        <v>13</v>
      </c>
      <c r="C644">
        <v>31.1</v>
      </c>
      <c r="D644">
        <v>31.05</v>
      </c>
      <c r="E644" t="s">
        <v>17</v>
      </c>
      <c r="F644">
        <v>22.48</v>
      </c>
      <c r="G644">
        <v>23.19</v>
      </c>
      <c r="H644" t="s">
        <v>17</v>
      </c>
      <c r="I644" t="str">
        <f>"062343003558"</f>
        <v>062343003558</v>
      </c>
    </row>
    <row r="645" spans="1:9" x14ac:dyDescent="0.25">
      <c r="A645" t="s">
        <v>601</v>
      </c>
      <c r="B645" t="s">
        <v>13</v>
      </c>
      <c r="C645">
        <v>64.22</v>
      </c>
      <c r="D645">
        <v>67.48</v>
      </c>
      <c r="E645" t="s">
        <v>17</v>
      </c>
      <c r="F645">
        <v>20.13</v>
      </c>
      <c r="G645">
        <v>20.440000000000001</v>
      </c>
      <c r="H645" t="s">
        <v>17</v>
      </c>
      <c r="I645" t="str">
        <f>"062580009583"</f>
        <v>062580009583</v>
      </c>
    </row>
    <row r="646" spans="1:9" x14ac:dyDescent="0.25">
      <c r="A646" t="s">
        <v>602</v>
      </c>
      <c r="B646" t="s">
        <v>13</v>
      </c>
      <c r="C646">
        <v>20</v>
      </c>
      <c r="D646">
        <v>23</v>
      </c>
      <c r="E646" t="s">
        <v>17</v>
      </c>
      <c r="F646">
        <v>25</v>
      </c>
      <c r="G646">
        <v>23.83</v>
      </c>
      <c r="H646" t="s">
        <v>17</v>
      </c>
      <c r="I646" t="str">
        <f>"060819000799"</f>
        <v>060819000799</v>
      </c>
    </row>
    <row r="647" spans="1:9" x14ac:dyDescent="0.25">
      <c r="A647" t="s">
        <v>603</v>
      </c>
      <c r="B647" t="s">
        <v>13</v>
      </c>
      <c r="C647">
        <v>16</v>
      </c>
      <c r="D647">
        <v>17</v>
      </c>
      <c r="E647" t="s">
        <v>17</v>
      </c>
      <c r="F647">
        <v>19.309999999999999</v>
      </c>
      <c r="G647">
        <v>19.41</v>
      </c>
      <c r="H647" t="s">
        <v>17</v>
      </c>
      <c r="I647" t="str">
        <f>"064256006966"</f>
        <v>064256006966</v>
      </c>
    </row>
    <row r="648" spans="1:9" x14ac:dyDescent="0.25">
      <c r="A648" t="s">
        <v>604</v>
      </c>
      <c r="B648" t="s">
        <v>13</v>
      </c>
      <c r="C648">
        <v>29.5</v>
      </c>
      <c r="D648">
        <v>30.5</v>
      </c>
      <c r="E648" t="s">
        <v>17</v>
      </c>
      <c r="F648">
        <v>23.69</v>
      </c>
      <c r="G648">
        <v>22.79</v>
      </c>
      <c r="H648" t="s">
        <v>17</v>
      </c>
      <c r="I648" t="str">
        <f>"060714000650"</f>
        <v>060714000650</v>
      </c>
    </row>
    <row r="649" spans="1:9" x14ac:dyDescent="0.25">
      <c r="A649" t="s">
        <v>605</v>
      </c>
      <c r="B649" t="s">
        <v>13</v>
      </c>
      <c r="C649">
        <v>23</v>
      </c>
      <c r="D649">
        <v>24.9</v>
      </c>
      <c r="E649" t="s">
        <v>17</v>
      </c>
      <c r="F649">
        <v>24.39</v>
      </c>
      <c r="G649">
        <v>21.97</v>
      </c>
      <c r="H649" t="s">
        <v>17</v>
      </c>
      <c r="I649" t="str">
        <f>"063509005932"</f>
        <v>063509005932</v>
      </c>
    </row>
    <row r="650" spans="1:9" x14ac:dyDescent="0.25">
      <c r="A650" t="s">
        <v>606</v>
      </c>
      <c r="B650" t="s">
        <v>13</v>
      </c>
      <c r="C650">
        <v>25.92</v>
      </c>
      <c r="D650">
        <v>26.92</v>
      </c>
      <c r="E650" t="s">
        <v>17</v>
      </c>
      <c r="F650">
        <v>23.92</v>
      </c>
      <c r="G650">
        <v>22.4</v>
      </c>
      <c r="H650" t="s">
        <v>17</v>
      </c>
      <c r="I650" t="str">
        <f>"061455001706"</f>
        <v>061455001706</v>
      </c>
    </row>
    <row r="651" spans="1:9" x14ac:dyDescent="0.25">
      <c r="A651" t="s">
        <v>607</v>
      </c>
      <c r="B651" t="s">
        <v>13</v>
      </c>
      <c r="C651">
        <v>25.6</v>
      </c>
      <c r="D651">
        <v>28.6</v>
      </c>
      <c r="E651" t="s">
        <v>17</v>
      </c>
      <c r="F651">
        <v>29.69</v>
      </c>
      <c r="G651">
        <v>27.03</v>
      </c>
      <c r="H651" t="s">
        <v>17</v>
      </c>
      <c r="I651" t="str">
        <f>"062619003911"</f>
        <v>062619003911</v>
      </c>
    </row>
    <row r="652" spans="1:9" x14ac:dyDescent="0.25">
      <c r="A652" t="s">
        <v>607</v>
      </c>
      <c r="B652" t="s">
        <v>13</v>
      </c>
      <c r="C652">
        <v>4</v>
      </c>
      <c r="D652">
        <v>3.95</v>
      </c>
      <c r="E652" t="s">
        <v>17</v>
      </c>
      <c r="F652">
        <v>27.75</v>
      </c>
      <c r="G652">
        <v>25.82</v>
      </c>
      <c r="H652" t="s">
        <v>17</v>
      </c>
      <c r="I652" t="str">
        <f>"060361000286"</f>
        <v>060361000286</v>
      </c>
    </row>
    <row r="653" spans="1:9" x14ac:dyDescent="0.25">
      <c r="A653" t="s">
        <v>607</v>
      </c>
      <c r="B653" t="s">
        <v>13</v>
      </c>
      <c r="C653">
        <v>24.8</v>
      </c>
      <c r="D653">
        <v>23.8</v>
      </c>
      <c r="E653" t="s">
        <v>17</v>
      </c>
      <c r="F653">
        <v>17.739999999999998</v>
      </c>
      <c r="G653">
        <v>18.45</v>
      </c>
      <c r="H653" t="s">
        <v>17</v>
      </c>
      <c r="I653" t="str">
        <f>"063432005412"</f>
        <v>063432005412</v>
      </c>
    </row>
    <row r="654" spans="1:9" x14ac:dyDescent="0.25">
      <c r="A654" t="s">
        <v>608</v>
      </c>
      <c r="B654" t="s">
        <v>13</v>
      </c>
      <c r="C654">
        <v>3.75</v>
      </c>
      <c r="D654">
        <v>5.65</v>
      </c>
      <c r="E654" t="s">
        <v>17</v>
      </c>
      <c r="F654">
        <v>14.93</v>
      </c>
      <c r="G654">
        <v>10.44</v>
      </c>
      <c r="H654" t="s">
        <v>17</v>
      </c>
      <c r="I654" t="str">
        <f>"060361000287"</f>
        <v>060361000287</v>
      </c>
    </row>
    <row r="655" spans="1:9" x14ac:dyDescent="0.25">
      <c r="A655" t="s">
        <v>609</v>
      </c>
      <c r="B655" t="s">
        <v>13</v>
      </c>
      <c r="C655">
        <v>2.08</v>
      </c>
      <c r="D655">
        <v>2.4</v>
      </c>
      <c r="E655" t="s">
        <v>17</v>
      </c>
      <c r="F655">
        <v>9.6199999999999992</v>
      </c>
      <c r="G655">
        <v>12.5</v>
      </c>
      <c r="H655" t="s">
        <v>17</v>
      </c>
      <c r="I655" t="str">
        <f>"060361010304"</f>
        <v>060361010304</v>
      </c>
    </row>
    <row r="656" spans="1:9" x14ac:dyDescent="0.25">
      <c r="A656" t="s">
        <v>610</v>
      </c>
      <c r="B656" t="s">
        <v>13</v>
      </c>
      <c r="C656" t="s">
        <v>17</v>
      </c>
      <c r="D656" t="s">
        <v>17</v>
      </c>
      <c r="E656" t="s">
        <v>17</v>
      </c>
      <c r="F656" t="s">
        <v>17</v>
      </c>
      <c r="G656" t="s">
        <v>17</v>
      </c>
      <c r="H656" t="s">
        <v>17</v>
      </c>
      <c r="I656" t="str">
        <f>"060361012701"</f>
        <v>060361012701</v>
      </c>
    </row>
    <row r="657" spans="1:9" x14ac:dyDescent="0.25">
      <c r="A657" t="s">
        <v>611</v>
      </c>
      <c r="B657" t="s">
        <v>13</v>
      </c>
      <c r="C657">
        <v>109.3</v>
      </c>
      <c r="D657">
        <v>102.38</v>
      </c>
      <c r="E657" t="s">
        <v>17</v>
      </c>
      <c r="F657">
        <v>26.51</v>
      </c>
      <c r="G657">
        <v>27.58</v>
      </c>
      <c r="H657" t="s">
        <v>17</v>
      </c>
      <c r="I657" t="str">
        <f>"061954002340"</f>
        <v>061954002340</v>
      </c>
    </row>
    <row r="658" spans="1:9" x14ac:dyDescent="0.25">
      <c r="A658" t="s">
        <v>612</v>
      </c>
      <c r="B658" t="s">
        <v>13</v>
      </c>
      <c r="C658">
        <v>25</v>
      </c>
      <c r="D658">
        <v>22</v>
      </c>
      <c r="E658" t="s">
        <v>17</v>
      </c>
      <c r="F658">
        <v>26.64</v>
      </c>
      <c r="G658">
        <v>26.73</v>
      </c>
      <c r="H658" t="s">
        <v>17</v>
      </c>
      <c r="I658" t="str">
        <f>"061524001919"</f>
        <v>061524001919</v>
      </c>
    </row>
    <row r="659" spans="1:9" x14ac:dyDescent="0.25">
      <c r="A659" t="s">
        <v>612</v>
      </c>
      <c r="B659" t="s">
        <v>13</v>
      </c>
      <c r="C659">
        <v>33</v>
      </c>
      <c r="D659">
        <v>33</v>
      </c>
      <c r="E659" t="s">
        <v>17</v>
      </c>
      <c r="F659">
        <v>16.64</v>
      </c>
      <c r="G659">
        <v>17.850000000000001</v>
      </c>
      <c r="H659" t="s">
        <v>17</v>
      </c>
      <c r="I659" t="str">
        <f>"063432005413"</f>
        <v>063432005413</v>
      </c>
    </row>
    <row r="660" spans="1:9" x14ac:dyDescent="0.25">
      <c r="A660" t="s">
        <v>613</v>
      </c>
      <c r="B660" t="s">
        <v>13</v>
      </c>
      <c r="C660">
        <v>25</v>
      </c>
      <c r="D660">
        <v>25</v>
      </c>
      <c r="E660" t="s">
        <v>17</v>
      </c>
      <c r="F660">
        <v>29.92</v>
      </c>
      <c r="G660">
        <v>29.92</v>
      </c>
      <c r="H660" t="s">
        <v>17</v>
      </c>
      <c r="I660" t="str">
        <f>"062271002833"</f>
        <v>062271002833</v>
      </c>
    </row>
    <row r="661" spans="1:9" x14ac:dyDescent="0.25">
      <c r="A661" t="s">
        <v>614</v>
      </c>
      <c r="B661" t="s">
        <v>13</v>
      </c>
      <c r="C661">
        <v>65.87</v>
      </c>
      <c r="D661">
        <v>68.55</v>
      </c>
      <c r="E661" t="s">
        <v>17</v>
      </c>
      <c r="F661">
        <v>20.28</v>
      </c>
      <c r="G661">
        <v>20.16</v>
      </c>
      <c r="H661" t="s">
        <v>17</v>
      </c>
      <c r="I661" t="str">
        <f>"063441005587"</f>
        <v>063441005587</v>
      </c>
    </row>
    <row r="662" spans="1:9" x14ac:dyDescent="0.25">
      <c r="A662" t="s">
        <v>615</v>
      </c>
      <c r="B662" t="s">
        <v>13</v>
      </c>
      <c r="C662">
        <v>40.04</v>
      </c>
      <c r="D662">
        <v>42.42</v>
      </c>
      <c r="E662" t="s">
        <v>17</v>
      </c>
      <c r="F662">
        <v>30.57</v>
      </c>
      <c r="G662">
        <v>29.96</v>
      </c>
      <c r="H662" t="s">
        <v>17</v>
      </c>
      <c r="I662" t="str">
        <f>"064098006746"</f>
        <v>064098006746</v>
      </c>
    </row>
    <row r="663" spans="1:9" x14ac:dyDescent="0.25">
      <c r="A663" t="s">
        <v>616</v>
      </c>
      <c r="B663" t="s">
        <v>13</v>
      </c>
      <c r="C663" t="s">
        <v>17</v>
      </c>
      <c r="D663" t="s">
        <v>17</v>
      </c>
      <c r="E663" t="s">
        <v>17</v>
      </c>
      <c r="F663" t="s">
        <v>17</v>
      </c>
      <c r="G663" t="s">
        <v>17</v>
      </c>
      <c r="H663" t="s">
        <v>17</v>
      </c>
      <c r="I663" t="str">
        <f>"063680500406"</f>
        <v>063680500406</v>
      </c>
    </row>
    <row r="664" spans="1:9" x14ac:dyDescent="0.25">
      <c r="A664" t="s">
        <v>617</v>
      </c>
      <c r="B664" t="s">
        <v>13</v>
      </c>
      <c r="C664" t="s">
        <v>17</v>
      </c>
      <c r="D664" t="str">
        <f>"0.10"</f>
        <v>0.10</v>
      </c>
      <c r="E664" t="s">
        <v>17</v>
      </c>
      <c r="F664" t="s">
        <v>17</v>
      </c>
      <c r="G664">
        <v>10</v>
      </c>
      <c r="H664" t="s">
        <v>17</v>
      </c>
      <c r="I664" t="str">
        <f>"063052007950"</f>
        <v>063052007950</v>
      </c>
    </row>
    <row r="665" spans="1:9" x14ac:dyDescent="0.25">
      <c r="A665" t="s">
        <v>618</v>
      </c>
      <c r="B665" t="s">
        <v>13</v>
      </c>
      <c r="C665">
        <v>14</v>
      </c>
      <c r="D665">
        <v>16</v>
      </c>
      <c r="E665" t="s">
        <v>17</v>
      </c>
      <c r="F665">
        <v>29.29</v>
      </c>
      <c r="G665">
        <v>26.38</v>
      </c>
      <c r="H665" t="s">
        <v>17</v>
      </c>
      <c r="I665" t="str">
        <f>"062781004204"</f>
        <v>062781004204</v>
      </c>
    </row>
    <row r="666" spans="1:9" x14ac:dyDescent="0.25">
      <c r="A666" t="s">
        <v>619</v>
      </c>
      <c r="B666" t="s">
        <v>13</v>
      </c>
      <c r="C666">
        <v>31.4</v>
      </c>
      <c r="D666">
        <v>31.2</v>
      </c>
      <c r="E666" t="s">
        <v>17</v>
      </c>
      <c r="F666">
        <v>22.96</v>
      </c>
      <c r="G666">
        <v>23.85</v>
      </c>
      <c r="H666" t="s">
        <v>17</v>
      </c>
      <c r="I666" t="str">
        <f>"061632502036"</f>
        <v>061632502036</v>
      </c>
    </row>
    <row r="667" spans="1:9" x14ac:dyDescent="0.25">
      <c r="A667" t="s">
        <v>620</v>
      </c>
      <c r="B667" t="s">
        <v>13</v>
      </c>
      <c r="C667">
        <v>19</v>
      </c>
      <c r="D667">
        <v>19.5</v>
      </c>
      <c r="E667" t="s">
        <v>17</v>
      </c>
      <c r="F667">
        <v>21.53</v>
      </c>
      <c r="G667">
        <v>21.28</v>
      </c>
      <c r="H667" t="s">
        <v>17</v>
      </c>
      <c r="I667" t="str">
        <f>"062271002834"</f>
        <v>062271002834</v>
      </c>
    </row>
    <row r="668" spans="1:9" x14ac:dyDescent="0.25">
      <c r="A668" t="s">
        <v>621</v>
      </c>
      <c r="B668" t="s">
        <v>13</v>
      </c>
      <c r="C668">
        <v>14.8</v>
      </c>
      <c r="D668">
        <v>18.45</v>
      </c>
      <c r="E668" t="s">
        <v>17</v>
      </c>
      <c r="F668">
        <v>30.14</v>
      </c>
      <c r="G668">
        <v>25.91</v>
      </c>
      <c r="H668" t="s">
        <v>17</v>
      </c>
      <c r="I668" t="str">
        <f>"060423005028"</f>
        <v>060423005028</v>
      </c>
    </row>
    <row r="669" spans="1:9" x14ac:dyDescent="0.25">
      <c r="A669" t="s">
        <v>622</v>
      </c>
      <c r="B669" t="s">
        <v>13</v>
      </c>
      <c r="C669" t="s">
        <v>14</v>
      </c>
      <c r="D669" t="s">
        <v>14</v>
      </c>
      <c r="E669" t="s">
        <v>17</v>
      </c>
      <c r="F669" t="s">
        <v>14</v>
      </c>
      <c r="G669" t="s">
        <v>14</v>
      </c>
      <c r="H669" t="s">
        <v>17</v>
      </c>
      <c r="I669" t="str">
        <f>"060369007512"</f>
        <v>060369007512</v>
      </c>
    </row>
    <row r="670" spans="1:9" x14ac:dyDescent="0.25">
      <c r="A670" t="s">
        <v>623</v>
      </c>
      <c r="B670" t="s">
        <v>13</v>
      </c>
      <c r="C670">
        <v>92.44</v>
      </c>
      <c r="D670">
        <v>90.93</v>
      </c>
      <c r="E670" t="s">
        <v>17</v>
      </c>
      <c r="F670">
        <v>23.86</v>
      </c>
      <c r="G670">
        <v>25.27</v>
      </c>
      <c r="H670" t="s">
        <v>17</v>
      </c>
      <c r="I670" t="str">
        <f>"060369000324"</f>
        <v>060369000324</v>
      </c>
    </row>
    <row r="671" spans="1:9" x14ac:dyDescent="0.25">
      <c r="A671" t="s">
        <v>624</v>
      </c>
      <c r="B671" t="s">
        <v>13</v>
      </c>
      <c r="C671">
        <v>23</v>
      </c>
      <c r="D671">
        <v>23</v>
      </c>
      <c r="E671" t="s">
        <v>17</v>
      </c>
      <c r="F671">
        <v>28.52</v>
      </c>
      <c r="G671">
        <v>27.09</v>
      </c>
      <c r="H671" t="s">
        <v>17</v>
      </c>
      <c r="I671" t="str">
        <f>"060297000224"</f>
        <v>060297000224</v>
      </c>
    </row>
    <row r="672" spans="1:9" x14ac:dyDescent="0.25">
      <c r="A672" t="s">
        <v>625</v>
      </c>
      <c r="B672" t="s">
        <v>13</v>
      </c>
      <c r="C672">
        <v>32</v>
      </c>
      <c r="D672">
        <v>31</v>
      </c>
      <c r="E672" t="s">
        <v>17</v>
      </c>
      <c r="F672">
        <v>28.53</v>
      </c>
      <c r="G672">
        <v>30.13</v>
      </c>
      <c r="H672" t="s">
        <v>17</v>
      </c>
      <c r="I672" t="str">
        <f>"063697009195"</f>
        <v>063697009195</v>
      </c>
    </row>
    <row r="673" spans="1:9" x14ac:dyDescent="0.25">
      <c r="A673" t="s">
        <v>626</v>
      </c>
      <c r="B673" t="s">
        <v>13</v>
      </c>
      <c r="C673">
        <v>26.1</v>
      </c>
      <c r="D673">
        <v>26.25</v>
      </c>
      <c r="E673" t="s">
        <v>17</v>
      </c>
      <c r="F673">
        <v>25.48</v>
      </c>
      <c r="G673">
        <v>26.59</v>
      </c>
      <c r="H673" t="s">
        <v>17</v>
      </c>
      <c r="I673" t="str">
        <f>"060001609087"</f>
        <v>060001609087</v>
      </c>
    </row>
    <row r="674" spans="1:9" x14ac:dyDescent="0.25">
      <c r="A674" t="s">
        <v>627</v>
      </c>
      <c r="B674" t="s">
        <v>13</v>
      </c>
      <c r="C674" t="s">
        <v>17</v>
      </c>
      <c r="D674" t="s">
        <v>17</v>
      </c>
      <c r="E674" t="s">
        <v>17</v>
      </c>
      <c r="F674" t="s">
        <v>17</v>
      </c>
      <c r="G674" t="s">
        <v>17</v>
      </c>
      <c r="H674" t="s">
        <v>17</v>
      </c>
      <c r="I674" t="str">
        <f>"060013111116"</f>
        <v>060013111116</v>
      </c>
    </row>
    <row r="675" spans="1:9" x14ac:dyDescent="0.25">
      <c r="A675" t="s">
        <v>628</v>
      </c>
      <c r="B675" t="s">
        <v>13</v>
      </c>
      <c r="C675">
        <v>44.15</v>
      </c>
      <c r="D675">
        <v>43</v>
      </c>
      <c r="E675" t="s">
        <v>17</v>
      </c>
      <c r="F675">
        <v>25.55</v>
      </c>
      <c r="G675">
        <v>27.42</v>
      </c>
      <c r="H675" t="s">
        <v>17</v>
      </c>
      <c r="I675" t="str">
        <f>"060263000170"</f>
        <v>060263000170</v>
      </c>
    </row>
    <row r="676" spans="1:9" x14ac:dyDescent="0.25">
      <c r="A676" t="s">
        <v>629</v>
      </c>
      <c r="B676" t="s">
        <v>13</v>
      </c>
      <c r="C676">
        <v>7.5</v>
      </c>
      <c r="D676">
        <v>7</v>
      </c>
      <c r="E676" t="s">
        <v>17</v>
      </c>
      <c r="F676">
        <v>15.6</v>
      </c>
      <c r="G676">
        <v>16.14</v>
      </c>
      <c r="H676" t="s">
        <v>17</v>
      </c>
      <c r="I676" t="str">
        <f>"060372000343"</f>
        <v>060372000343</v>
      </c>
    </row>
    <row r="677" spans="1:9" x14ac:dyDescent="0.25">
      <c r="A677" t="s">
        <v>630</v>
      </c>
      <c r="B677" t="s">
        <v>13</v>
      </c>
      <c r="C677">
        <v>8.1</v>
      </c>
      <c r="D677">
        <v>6</v>
      </c>
      <c r="E677" t="s">
        <v>17</v>
      </c>
      <c r="F677">
        <v>17.53</v>
      </c>
      <c r="G677">
        <v>29.17</v>
      </c>
      <c r="H677" t="s">
        <v>17</v>
      </c>
      <c r="I677" t="str">
        <f>"060375000344"</f>
        <v>060375000344</v>
      </c>
    </row>
    <row r="678" spans="1:9" x14ac:dyDescent="0.25">
      <c r="A678" t="s">
        <v>631</v>
      </c>
      <c r="B678" t="s">
        <v>13</v>
      </c>
      <c r="C678">
        <v>10</v>
      </c>
      <c r="D678" t="s">
        <v>17</v>
      </c>
      <c r="E678" t="s">
        <v>17</v>
      </c>
      <c r="F678">
        <v>23.8</v>
      </c>
      <c r="G678" t="s">
        <v>17</v>
      </c>
      <c r="H678" t="s">
        <v>17</v>
      </c>
      <c r="I678" t="str">
        <f>"061203012184"</f>
        <v>061203012184</v>
      </c>
    </row>
    <row r="679" spans="1:9" x14ac:dyDescent="0.25">
      <c r="A679" t="s">
        <v>632</v>
      </c>
      <c r="B679" t="s">
        <v>13</v>
      </c>
      <c r="C679">
        <v>18.2</v>
      </c>
      <c r="D679">
        <v>17.8</v>
      </c>
      <c r="E679" t="s">
        <v>17</v>
      </c>
      <c r="F679">
        <v>25.6</v>
      </c>
      <c r="G679">
        <v>26.12</v>
      </c>
      <c r="H679" t="s">
        <v>17</v>
      </c>
      <c r="I679" t="str">
        <f>"062637003935"</f>
        <v>062637003935</v>
      </c>
    </row>
    <row r="680" spans="1:9" x14ac:dyDescent="0.25">
      <c r="A680" t="s">
        <v>632</v>
      </c>
      <c r="B680" t="s">
        <v>13</v>
      </c>
      <c r="C680">
        <v>20</v>
      </c>
      <c r="D680">
        <v>20</v>
      </c>
      <c r="E680" t="s">
        <v>17</v>
      </c>
      <c r="F680">
        <v>32</v>
      </c>
      <c r="G680">
        <v>31.95</v>
      </c>
      <c r="H680" t="s">
        <v>17</v>
      </c>
      <c r="I680" t="str">
        <f>"062025002425"</f>
        <v>062025002425</v>
      </c>
    </row>
    <row r="681" spans="1:9" x14ac:dyDescent="0.25">
      <c r="A681" t="s">
        <v>633</v>
      </c>
      <c r="B681" t="s">
        <v>13</v>
      </c>
      <c r="C681">
        <v>42.05</v>
      </c>
      <c r="D681">
        <v>43</v>
      </c>
      <c r="E681" t="s">
        <v>17</v>
      </c>
      <c r="F681">
        <v>22.88</v>
      </c>
      <c r="G681">
        <v>22.65</v>
      </c>
      <c r="H681" t="s">
        <v>17</v>
      </c>
      <c r="I681" t="str">
        <f>"063468005831"</f>
        <v>063468005831</v>
      </c>
    </row>
    <row r="682" spans="1:9" x14ac:dyDescent="0.25">
      <c r="A682" t="s">
        <v>633</v>
      </c>
      <c r="B682" t="s">
        <v>13</v>
      </c>
      <c r="C682">
        <v>35</v>
      </c>
      <c r="D682">
        <v>33.82</v>
      </c>
      <c r="E682" t="s">
        <v>17</v>
      </c>
      <c r="F682">
        <v>27.89</v>
      </c>
      <c r="G682">
        <v>29.86</v>
      </c>
      <c r="H682" t="s">
        <v>17</v>
      </c>
      <c r="I682" t="str">
        <f>"062250002697"</f>
        <v>062250002697</v>
      </c>
    </row>
    <row r="683" spans="1:9" x14ac:dyDescent="0.25">
      <c r="A683" t="s">
        <v>634</v>
      </c>
      <c r="B683" t="s">
        <v>13</v>
      </c>
      <c r="C683">
        <v>14.5</v>
      </c>
      <c r="D683">
        <v>14.5</v>
      </c>
      <c r="E683" t="s">
        <v>17</v>
      </c>
      <c r="F683">
        <v>30.14</v>
      </c>
      <c r="G683">
        <v>29.1</v>
      </c>
      <c r="H683" t="s">
        <v>17</v>
      </c>
      <c r="I683" t="str">
        <f>"062547003788"</f>
        <v>062547003788</v>
      </c>
    </row>
    <row r="684" spans="1:9" x14ac:dyDescent="0.25">
      <c r="A684" t="s">
        <v>635</v>
      </c>
      <c r="B684" t="s">
        <v>13</v>
      </c>
      <c r="C684">
        <v>16</v>
      </c>
      <c r="D684">
        <v>14.5</v>
      </c>
      <c r="E684" t="s">
        <v>17</v>
      </c>
      <c r="F684">
        <v>23.06</v>
      </c>
      <c r="G684">
        <v>26.62</v>
      </c>
      <c r="H684" t="s">
        <v>17</v>
      </c>
      <c r="I684" t="str">
        <f>"062271002837"</f>
        <v>062271002837</v>
      </c>
    </row>
    <row r="685" spans="1:9" x14ac:dyDescent="0.25">
      <c r="A685" t="s">
        <v>636</v>
      </c>
      <c r="B685" t="s">
        <v>13</v>
      </c>
      <c r="C685">
        <v>5.32</v>
      </c>
      <c r="D685">
        <v>5</v>
      </c>
      <c r="E685" t="s">
        <v>17</v>
      </c>
      <c r="F685">
        <v>21.99</v>
      </c>
      <c r="G685">
        <v>25.2</v>
      </c>
      <c r="H685" t="s">
        <v>17</v>
      </c>
      <c r="I685" t="str">
        <f>"060378000346"</f>
        <v>060378000346</v>
      </c>
    </row>
    <row r="686" spans="1:9" x14ac:dyDescent="0.25">
      <c r="A686" t="s">
        <v>637</v>
      </c>
      <c r="B686" t="s">
        <v>13</v>
      </c>
      <c r="C686" t="s">
        <v>17</v>
      </c>
      <c r="D686" t="s">
        <v>14</v>
      </c>
      <c r="E686" t="s">
        <v>14</v>
      </c>
      <c r="F686" t="s">
        <v>17</v>
      </c>
      <c r="G686" t="s">
        <v>14</v>
      </c>
      <c r="H686" t="s">
        <v>14</v>
      </c>
      <c r="I686" t="str">
        <f>"060384013223"</f>
        <v>060384013223</v>
      </c>
    </row>
    <row r="687" spans="1:9" x14ac:dyDescent="0.25">
      <c r="A687" t="s">
        <v>638</v>
      </c>
      <c r="B687" t="s">
        <v>13</v>
      </c>
      <c r="C687">
        <v>38.83</v>
      </c>
      <c r="D687">
        <v>40.99</v>
      </c>
      <c r="E687" t="s">
        <v>17</v>
      </c>
      <c r="F687">
        <v>30.47</v>
      </c>
      <c r="G687">
        <v>27.54</v>
      </c>
      <c r="H687" t="s">
        <v>17</v>
      </c>
      <c r="I687" t="str">
        <f>"060384000347"</f>
        <v>060384000347</v>
      </c>
    </row>
    <row r="688" spans="1:9" x14ac:dyDescent="0.25">
      <c r="A688" t="s">
        <v>639</v>
      </c>
      <c r="B688" t="s">
        <v>13</v>
      </c>
      <c r="C688" t="str">
        <f>"0.00"</f>
        <v>0.00</v>
      </c>
      <c r="D688">
        <v>5</v>
      </c>
      <c r="E688" t="s">
        <v>17</v>
      </c>
      <c r="F688" t="s">
        <v>14</v>
      </c>
      <c r="G688">
        <v>15.8</v>
      </c>
      <c r="H688" t="s">
        <v>17</v>
      </c>
      <c r="I688" t="str">
        <f>"060384008555"</f>
        <v>060384008555</v>
      </c>
    </row>
    <row r="689" spans="1:9" x14ac:dyDescent="0.25">
      <c r="A689" t="s">
        <v>640</v>
      </c>
      <c r="B689" t="s">
        <v>13</v>
      </c>
      <c r="C689" t="s">
        <v>17</v>
      </c>
      <c r="D689" t="s">
        <v>17</v>
      </c>
      <c r="E689" t="s">
        <v>14</v>
      </c>
      <c r="F689" t="s">
        <v>17</v>
      </c>
      <c r="G689" t="s">
        <v>17</v>
      </c>
      <c r="H689" t="s">
        <v>14</v>
      </c>
      <c r="I689" t="str">
        <f>"060384012834"</f>
        <v>060384012834</v>
      </c>
    </row>
    <row r="690" spans="1:9" x14ac:dyDescent="0.25">
      <c r="A690" t="s">
        <v>641</v>
      </c>
      <c r="B690" t="s">
        <v>13</v>
      </c>
      <c r="C690">
        <v>24</v>
      </c>
      <c r="D690">
        <v>24.33</v>
      </c>
      <c r="E690" t="s">
        <v>17</v>
      </c>
      <c r="F690">
        <v>24.08</v>
      </c>
      <c r="G690">
        <v>26.43</v>
      </c>
      <c r="H690" t="s">
        <v>17</v>
      </c>
      <c r="I690" t="str">
        <f>"060003601114"</f>
        <v>060003601114</v>
      </c>
    </row>
    <row r="691" spans="1:9" x14ac:dyDescent="0.25">
      <c r="A691" t="s">
        <v>642</v>
      </c>
      <c r="B691" t="s">
        <v>13</v>
      </c>
      <c r="C691">
        <v>14</v>
      </c>
      <c r="D691">
        <v>14</v>
      </c>
      <c r="E691" t="s">
        <v>17</v>
      </c>
      <c r="F691">
        <v>22.79</v>
      </c>
      <c r="G691">
        <v>22.86</v>
      </c>
      <c r="H691" t="s">
        <v>17</v>
      </c>
      <c r="I691" t="str">
        <f>"060387000354"</f>
        <v>060387000354</v>
      </c>
    </row>
    <row r="692" spans="1:9" x14ac:dyDescent="0.25">
      <c r="A692" t="s">
        <v>643</v>
      </c>
      <c r="B692" t="s">
        <v>13</v>
      </c>
      <c r="C692">
        <v>25</v>
      </c>
      <c r="D692">
        <v>26.25</v>
      </c>
      <c r="E692" t="s">
        <v>17</v>
      </c>
      <c r="F692">
        <v>26.76</v>
      </c>
      <c r="G692">
        <v>25.6</v>
      </c>
      <c r="H692" t="s">
        <v>17</v>
      </c>
      <c r="I692" t="str">
        <f>"060216007259"</f>
        <v>060216007259</v>
      </c>
    </row>
    <row r="693" spans="1:9" x14ac:dyDescent="0.25">
      <c r="A693" t="s">
        <v>643</v>
      </c>
      <c r="B693" t="s">
        <v>13</v>
      </c>
      <c r="C693">
        <v>19.010000000000002</v>
      </c>
      <c r="D693">
        <v>20.04</v>
      </c>
      <c r="E693" t="s">
        <v>17</v>
      </c>
      <c r="F693">
        <v>23.36</v>
      </c>
      <c r="G693">
        <v>22.46</v>
      </c>
      <c r="H693" t="s">
        <v>17</v>
      </c>
      <c r="I693" t="str">
        <f>"060964001006"</f>
        <v>060964001006</v>
      </c>
    </row>
    <row r="694" spans="1:9" x14ac:dyDescent="0.25">
      <c r="A694" t="s">
        <v>644</v>
      </c>
      <c r="B694" t="s">
        <v>13</v>
      </c>
      <c r="C694">
        <v>2</v>
      </c>
      <c r="D694">
        <v>2</v>
      </c>
      <c r="E694" t="s">
        <v>17</v>
      </c>
      <c r="F694">
        <v>10.5</v>
      </c>
      <c r="G694">
        <v>11</v>
      </c>
      <c r="H694" t="s">
        <v>17</v>
      </c>
      <c r="I694" t="str">
        <f>"069106310763"</f>
        <v>069106310763</v>
      </c>
    </row>
    <row r="695" spans="1:9" x14ac:dyDescent="0.25">
      <c r="A695" t="s">
        <v>645</v>
      </c>
      <c r="B695" t="s">
        <v>13</v>
      </c>
      <c r="C695" t="s">
        <v>14</v>
      </c>
      <c r="D695">
        <v>2.5</v>
      </c>
      <c r="E695" t="s">
        <v>17</v>
      </c>
      <c r="F695" t="s">
        <v>17</v>
      </c>
      <c r="G695">
        <v>6.8</v>
      </c>
      <c r="H695" t="s">
        <v>17</v>
      </c>
      <c r="I695" t="str">
        <f>"062805012051"</f>
        <v>062805012051</v>
      </c>
    </row>
    <row r="696" spans="1:9" x14ac:dyDescent="0.25">
      <c r="A696" t="s">
        <v>646</v>
      </c>
      <c r="B696" t="s">
        <v>13</v>
      </c>
      <c r="C696">
        <v>11</v>
      </c>
      <c r="D696">
        <v>12</v>
      </c>
      <c r="E696" t="s">
        <v>17</v>
      </c>
      <c r="F696">
        <v>30.27</v>
      </c>
      <c r="G696">
        <v>28.33</v>
      </c>
      <c r="H696" t="s">
        <v>17</v>
      </c>
      <c r="I696" t="str">
        <f>"060133612404"</f>
        <v>060133612404</v>
      </c>
    </row>
    <row r="697" spans="1:9" x14ac:dyDescent="0.25">
      <c r="A697" t="s">
        <v>647</v>
      </c>
      <c r="B697" t="s">
        <v>13</v>
      </c>
      <c r="C697">
        <v>45.76</v>
      </c>
      <c r="D697">
        <v>58.04</v>
      </c>
      <c r="E697" t="s">
        <v>17</v>
      </c>
      <c r="F697">
        <v>24.45</v>
      </c>
      <c r="G697">
        <v>20.02</v>
      </c>
      <c r="H697" t="s">
        <v>17</v>
      </c>
      <c r="I697" t="str">
        <f>"062271012771"</f>
        <v>062271012771</v>
      </c>
    </row>
    <row r="698" spans="1:9" x14ac:dyDescent="0.25">
      <c r="A698" t="s">
        <v>648</v>
      </c>
      <c r="B698" t="s">
        <v>13</v>
      </c>
      <c r="C698">
        <v>11.2</v>
      </c>
      <c r="D698">
        <v>15.6</v>
      </c>
      <c r="E698" t="s">
        <v>17</v>
      </c>
      <c r="F698">
        <v>31.7</v>
      </c>
      <c r="G698">
        <v>25.58</v>
      </c>
      <c r="H698" t="s">
        <v>17</v>
      </c>
      <c r="I698" t="str">
        <f>"064015000774"</f>
        <v>064015000774</v>
      </c>
    </row>
    <row r="699" spans="1:9" x14ac:dyDescent="0.25">
      <c r="A699" t="s">
        <v>649</v>
      </c>
      <c r="B699" t="s">
        <v>13</v>
      </c>
      <c r="C699">
        <v>11.5</v>
      </c>
      <c r="D699" t="s">
        <v>14</v>
      </c>
      <c r="E699" t="s">
        <v>14</v>
      </c>
      <c r="F699">
        <v>26</v>
      </c>
      <c r="G699" t="s">
        <v>14</v>
      </c>
      <c r="H699" t="s">
        <v>14</v>
      </c>
      <c r="I699" t="str">
        <f>"063360013046"</f>
        <v>063360013046</v>
      </c>
    </row>
    <row r="700" spans="1:9" x14ac:dyDescent="0.25">
      <c r="A700" t="s">
        <v>650</v>
      </c>
      <c r="B700" t="s">
        <v>13</v>
      </c>
      <c r="C700">
        <v>33</v>
      </c>
      <c r="D700">
        <v>37</v>
      </c>
      <c r="E700" t="s">
        <v>17</v>
      </c>
      <c r="F700">
        <v>24.03</v>
      </c>
      <c r="G700">
        <v>23.54</v>
      </c>
      <c r="H700" t="s">
        <v>17</v>
      </c>
      <c r="I700" t="str">
        <f>"061233005016"</f>
        <v>061233005016</v>
      </c>
    </row>
    <row r="701" spans="1:9" x14ac:dyDescent="0.25">
      <c r="A701" t="s">
        <v>651</v>
      </c>
      <c r="B701" t="s">
        <v>13</v>
      </c>
      <c r="C701">
        <v>8.5</v>
      </c>
      <c r="D701">
        <v>9.5</v>
      </c>
      <c r="E701" t="s">
        <v>17</v>
      </c>
      <c r="F701">
        <v>24.59</v>
      </c>
      <c r="G701">
        <v>23.05</v>
      </c>
      <c r="H701" t="s">
        <v>17</v>
      </c>
      <c r="I701" t="str">
        <f>"061962010692"</f>
        <v>061962010692</v>
      </c>
    </row>
    <row r="702" spans="1:9" x14ac:dyDescent="0.25">
      <c r="A702" t="s">
        <v>652</v>
      </c>
      <c r="B702" t="s">
        <v>13</v>
      </c>
      <c r="C702">
        <v>20</v>
      </c>
      <c r="D702">
        <v>20</v>
      </c>
      <c r="E702" t="s">
        <v>17</v>
      </c>
      <c r="F702">
        <v>22.9</v>
      </c>
      <c r="G702">
        <v>20.05</v>
      </c>
      <c r="H702" t="s">
        <v>17</v>
      </c>
      <c r="I702" t="str">
        <f>"063573006105"</f>
        <v>063573006105</v>
      </c>
    </row>
    <row r="703" spans="1:9" x14ac:dyDescent="0.25">
      <c r="A703" t="s">
        <v>653</v>
      </c>
      <c r="B703" t="s">
        <v>13</v>
      </c>
      <c r="C703">
        <v>35.14</v>
      </c>
      <c r="D703">
        <v>34.130000000000003</v>
      </c>
      <c r="E703" t="s">
        <v>17</v>
      </c>
      <c r="F703">
        <v>24.5</v>
      </c>
      <c r="G703">
        <v>24.11</v>
      </c>
      <c r="H703" t="s">
        <v>17</v>
      </c>
      <c r="I703" t="str">
        <f>"060579000520"</f>
        <v>060579000520</v>
      </c>
    </row>
    <row r="704" spans="1:9" x14ac:dyDescent="0.25">
      <c r="A704" t="s">
        <v>654</v>
      </c>
      <c r="B704" t="s">
        <v>13</v>
      </c>
      <c r="C704" t="s">
        <v>14</v>
      </c>
      <c r="D704">
        <v>9.6</v>
      </c>
      <c r="E704" t="s">
        <v>17</v>
      </c>
      <c r="F704" t="s">
        <v>17</v>
      </c>
      <c r="G704">
        <v>24.17</v>
      </c>
      <c r="H704" t="s">
        <v>17</v>
      </c>
      <c r="I704" t="str">
        <f>"060744000683"</f>
        <v>060744000683</v>
      </c>
    </row>
    <row r="705" spans="1:9" x14ac:dyDescent="0.25">
      <c r="A705" t="s">
        <v>655</v>
      </c>
      <c r="B705" t="s">
        <v>13</v>
      </c>
      <c r="C705">
        <v>32</v>
      </c>
      <c r="D705">
        <v>32</v>
      </c>
      <c r="E705" t="s">
        <v>17</v>
      </c>
      <c r="F705">
        <v>30.31</v>
      </c>
      <c r="G705">
        <v>30</v>
      </c>
      <c r="H705" t="s">
        <v>17</v>
      </c>
      <c r="I705" t="str">
        <f>"060195000083"</f>
        <v>060195000083</v>
      </c>
    </row>
    <row r="706" spans="1:9" x14ac:dyDescent="0.25">
      <c r="A706" t="s">
        <v>656</v>
      </c>
      <c r="B706" t="s">
        <v>13</v>
      </c>
      <c r="C706">
        <v>15</v>
      </c>
      <c r="D706">
        <v>17</v>
      </c>
      <c r="E706" t="s">
        <v>17</v>
      </c>
      <c r="F706">
        <v>25.27</v>
      </c>
      <c r="G706">
        <v>23.76</v>
      </c>
      <c r="H706" t="s">
        <v>17</v>
      </c>
      <c r="I706" t="str">
        <f>"063132004854"</f>
        <v>063132004854</v>
      </c>
    </row>
    <row r="707" spans="1:9" x14ac:dyDescent="0.25">
      <c r="A707" t="s">
        <v>657</v>
      </c>
      <c r="B707" t="s">
        <v>13</v>
      </c>
      <c r="C707">
        <v>14.7</v>
      </c>
      <c r="D707">
        <v>14.7</v>
      </c>
      <c r="E707" t="s">
        <v>17</v>
      </c>
      <c r="F707">
        <v>19.39</v>
      </c>
      <c r="G707">
        <v>18.03</v>
      </c>
      <c r="H707" t="s">
        <v>17</v>
      </c>
      <c r="I707" t="str">
        <f>"063432005414"</f>
        <v>063432005414</v>
      </c>
    </row>
    <row r="708" spans="1:9" x14ac:dyDescent="0.25">
      <c r="A708" t="s">
        <v>658</v>
      </c>
      <c r="B708" t="s">
        <v>13</v>
      </c>
      <c r="C708">
        <v>16</v>
      </c>
      <c r="D708">
        <v>19.5</v>
      </c>
      <c r="E708" t="s">
        <v>17</v>
      </c>
      <c r="F708">
        <v>31.44</v>
      </c>
      <c r="G708">
        <v>25.08</v>
      </c>
      <c r="H708" t="s">
        <v>17</v>
      </c>
      <c r="I708" t="str">
        <f>"063171001207"</f>
        <v>063171001207</v>
      </c>
    </row>
    <row r="709" spans="1:9" x14ac:dyDescent="0.25">
      <c r="A709" t="s">
        <v>659</v>
      </c>
      <c r="B709" t="s">
        <v>13</v>
      </c>
      <c r="C709">
        <v>7</v>
      </c>
      <c r="D709">
        <v>7</v>
      </c>
      <c r="E709" t="s">
        <v>17</v>
      </c>
      <c r="F709">
        <v>15.43</v>
      </c>
      <c r="G709">
        <v>14.14</v>
      </c>
      <c r="H709" t="s">
        <v>17</v>
      </c>
      <c r="I709" t="str">
        <f>"062079010631"</f>
        <v>062079010631</v>
      </c>
    </row>
    <row r="710" spans="1:9" x14ac:dyDescent="0.25">
      <c r="A710" t="s">
        <v>660</v>
      </c>
      <c r="B710" t="s">
        <v>13</v>
      </c>
      <c r="C710">
        <v>27</v>
      </c>
      <c r="D710">
        <v>26</v>
      </c>
      <c r="E710" t="s">
        <v>17</v>
      </c>
      <c r="F710">
        <v>23.93</v>
      </c>
      <c r="G710">
        <v>24.31</v>
      </c>
      <c r="H710" t="s">
        <v>17</v>
      </c>
      <c r="I710" t="str">
        <f>"061005001087"</f>
        <v>061005001087</v>
      </c>
    </row>
    <row r="711" spans="1:9" x14ac:dyDescent="0.25">
      <c r="A711" t="s">
        <v>661</v>
      </c>
      <c r="B711" t="s">
        <v>13</v>
      </c>
      <c r="C711">
        <v>29.04</v>
      </c>
      <c r="D711">
        <v>29.05</v>
      </c>
      <c r="E711" t="s">
        <v>17</v>
      </c>
      <c r="F711">
        <v>29.24</v>
      </c>
      <c r="G711">
        <v>30.43</v>
      </c>
      <c r="H711" t="s">
        <v>17</v>
      </c>
      <c r="I711" t="str">
        <f>"062958002166"</f>
        <v>062958002166</v>
      </c>
    </row>
    <row r="712" spans="1:9" x14ac:dyDescent="0.25">
      <c r="A712" t="s">
        <v>662</v>
      </c>
      <c r="B712" t="s">
        <v>13</v>
      </c>
      <c r="C712">
        <v>21.25</v>
      </c>
      <c r="D712">
        <v>22</v>
      </c>
      <c r="E712" t="s">
        <v>17</v>
      </c>
      <c r="F712">
        <v>27.2</v>
      </c>
      <c r="G712">
        <v>26.18</v>
      </c>
      <c r="H712" t="s">
        <v>17</v>
      </c>
      <c r="I712" t="str">
        <f>"062583010404"</f>
        <v>062583010404</v>
      </c>
    </row>
    <row r="713" spans="1:9" x14ac:dyDescent="0.25">
      <c r="A713" t="s">
        <v>663</v>
      </c>
      <c r="B713" t="s">
        <v>13</v>
      </c>
      <c r="C713">
        <v>23.15</v>
      </c>
      <c r="D713">
        <v>25.01</v>
      </c>
      <c r="E713" t="s">
        <v>17</v>
      </c>
      <c r="F713">
        <v>24.75</v>
      </c>
      <c r="G713">
        <v>21.35</v>
      </c>
      <c r="H713" t="s">
        <v>17</v>
      </c>
      <c r="I713" t="str">
        <f>"061149011703"</f>
        <v>061149011703</v>
      </c>
    </row>
    <row r="714" spans="1:9" x14ac:dyDescent="0.25">
      <c r="A714" t="s">
        <v>664</v>
      </c>
      <c r="B714" t="s">
        <v>13</v>
      </c>
      <c r="C714">
        <v>18.57</v>
      </c>
      <c r="D714">
        <v>19.149999999999999</v>
      </c>
      <c r="E714" t="s">
        <v>17</v>
      </c>
      <c r="F714">
        <v>18.63</v>
      </c>
      <c r="G714">
        <v>17.489999999999998</v>
      </c>
      <c r="H714" t="s">
        <v>17</v>
      </c>
      <c r="I714" t="str">
        <f>"062961007802"</f>
        <v>062961007802</v>
      </c>
    </row>
    <row r="715" spans="1:9" x14ac:dyDescent="0.25">
      <c r="A715" t="s">
        <v>665</v>
      </c>
      <c r="B715" t="s">
        <v>13</v>
      </c>
      <c r="C715">
        <v>23.11</v>
      </c>
      <c r="D715">
        <v>22.91</v>
      </c>
      <c r="E715" t="s">
        <v>17</v>
      </c>
      <c r="F715">
        <v>22.67</v>
      </c>
      <c r="G715">
        <v>23.83</v>
      </c>
      <c r="H715" t="s">
        <v>17</v>
      </c>
      <c r="I715" t="str">
        <f>"064347007030"</f>
        <v>064347007030</v>
      </c>
    </row>
    <row r="716" spans="1:9" x14ac:dyDescent="0.25">
      <c r="A716" t="s">
        <v>666</v>
      </c>
      <c r="B716" t="s">
        <v>13</v>
      </c>
      <c r="C716">
        <v>62.16</v>
      </c>
      <c r="D716">
        <v>64.23</v>
      </c>
      <c r="E716" t="s">
        <v>17</v>
      </c>
      <c r="F716">
        <v>22.3</v>
      </c>
      <c r="G716">
        <v>22.43</v>
      </c>
      <c r="H716" t="s">
        <v>17</v>
      </c>
      <c r="I716" t="str">
        <f>"060402000355"</f>
        <v>060402000355</v>
      </c>
    </row>
    <row r="717" spans="1:9" x14ac:dyDescent="0.25">
      <c r="A717" t="s">
        <v>667</v>
      </c>
      <c r="B717" t="s">
        <v>13</v>
      </c>
      <c r="C717">
        <v>31.76</v>
      </c>
      <c r="D717">
        <v>34.15</v>
      </c>
      <c r="E717" t="s">
        <v>17</v>
      </c>
      <c r="F717">
        <v>23.9</v>
      </c>
      <c r="G717">
        <v>22.64</v>
      </c>
      <c r="H717" t="s">
        <v>17</v>
      </c>
      <c r="I717" t="str">
        <f>"060402000356"</f>
        <v>060402000356</v>
      </c>
    </row>
    <row r="718" spans="1:9" x14ac:dyDescent="0.25">
      <c r="A718" t="s">
        <v>668</v>
      </c>
      <c r="B718" t="s">
        <v>13</v>
      </c>
      <c r="C718">
        <v>22.44</v>
      </c>
      <c r="D718">
        <v>22.54</v>
      </c>
      <c r="E718" t="s">
        <v>17</v>
      </c>
      <c r="F718">
        <v>23.04</v>
      </c>
      <c r="G718">
        <v>21.43</v>
      </c>
      <c r="H718" t="s">
        <v>17</v>
      </c>
      <c r="I718" t="str">
        <f>"060006404869"</f>
        <v>060006404869</v>
      </c>
    </row>
    <row r="719" spans="1:9" x14ac:dyDescent="0.25">
      <c r="A719" t="s">
        <v>669</v>
      </c>
      <c r="B719" t="s">
        <v>13</v>
      </c>
      <c r="C719">
        <v>26.6</v>
      </c>
      <c r="D719">
        <v>25.5</v>
      </c>
      <c r="E719" t="s">
        <v>17</v>
      </c>
      <c r="F719">
        <v>26.24</v>
      </c>
      <c r="G719">
        <v>26.43</v>
      </c>
      <c r="H719" t="s">
        <v>17</v>
      </c>
      <c r="I719" t="str">
        <f>"060261000148"</f>
        <v>060261000148</v>
      </c>
    </row>
    <row r="720" spans="1:9" x14ac:dyDescent="0.25">
      <c r="A720" t="s">
        <v>670</v>
      </c>
      <c r="B720" t="s">
        <v>13</v>
      </c>
      <c r="C720">
        <v>26</v>
      </c>
      <c r="D720">
        <v>29.7</v>
      </c>
      <c r="E720" t="s">
        <v>17</v>
      </c>
      <c r="F720">
        <v>27</v>
      </c>
      <c r="G720">
        <v>26.3</v>
      </c>
      <c r="H720" t="s">
        <v>17</v>
      </c>
      <c r="I720" t="str">
        <f>"062250002698"</f>
        <v>062250002698</v>
      </c>
    </row>
    <row r="721" spans="1:9" x14ac:dyDescent="0.25">
      <c r="A721" t="s">
        <v>670</v>
      </c>
      <c r="B721" t="s">
        <v>13</v>
      </c>
      <c r="C721">
        <v>23</v>
      </c>
      <c r="D721">
        <v>24</v>
      </c>
      <c r="E721" t="s">
        <v>17</v>
      </c>
      <c r="F721">
        <v>21.74</v>
      </c>
      <c r="G721">
        <v>19.63</v>
      </c>
      <c r="H721" t="s">
        <v>17</v>
      </c>
      <c r="I721" t="str">
        <f>"063417005347"</f>
        <v>063417005347</v>
      </c>
    </row>
    <row r="722" spans="1:9" x14ac:dyDescent="0.25">
      <c r="A722" t="s">
        <v>671</v>
      </c>
      <c r="B722" t="s">
        <v>13</v>
      </c>
      <c r="C722">
        <v>34</v>
      </c>
      <c r="D722">
        <v>35.5</v>
      </c>
      <c r="E722" t="s">
        <v>17</v>
      </c>
      <c r="F722">
        <v>22.59</v>
      </c>
      <c r="G722">
        <v>21.55</v>
      </c>
      <c r="H722" t="s">
        <v>17</v>
      </c>
      <c r="I722" t="str">
        <f>"062271002839"</f>
        <v>062271002839</v>
      </c>
    </row>
    <row r="723" spans="1:9" x14ac:dyDescent="0.25">
      <c r="A723" t="s">
        <v>672</v>
      </c>
      <c r="B723" t="s">
        <v>13</v>
      </c>
      <c r="C723">
        <v>48.5</v>
      </c>
      <c r="D723">
        <v>54.4</v>
      </c>
      <c r="E723" t="s">
        <v>17</v>
      </c>
      <c r="F723">
        <v>23.75</v>
      </c>
      <c r="G723">
        <v>21.42</v>
      </c>
      <c r="H723" t="s">
        <v>17</v>
      </c>
      <c r="I723" t="str">
        <f>"060411000371"</f>
        <v>060411000371</v>
      </c>
    </row>
    <row r="724" spans="1:9" x14ac:dyDescent="0.25">
      <c r="A724" t="s">
        <v>673</v>
      </c>
      <c r="B724" t="s">
        <v>13</v>
      </c>
      <c r="C724">
        <v>35</v>
      </c>
      <c r="D724">
        <v>37</v>
      </c>
      <c r="E724" t="s">
        <v>17</v>
      </c>
      <c r="F724">
        <v>24.69</v>
      </c>
      <c r="G724">
        <v>24.19</v>
      </c>
      <c r="H724" t="s">
        <v>17</v>
      </c>
      <c r="I724" t="str">
        <f>"062271002840"</f>
        <v>062271002840</v>
      </c>
    </row>
    <row r="725" spans="1:9" x14ac:dyDescent="0.25">
      <c r="A725" t="s">
        <v>674</v>
      </c>
      <c r="B725" t="s">
        <v>13</v>
      </c>
      <c r="C725">
        <v>9.1300000000000008</v>
      </c>
      <c r="D725">
        <v>11</v>
      </c>
      <c r="E725" t="s">
        <v>17</v>
      </c>
      <c r="F725">
        <v>20.149999999999999</v>
      </c>
      <c r="G725">
        <v>17.36</v>
      </c>
      <c r="H725" t="s">
        <v>17</v>
      </c>
      <c r="I725" t="str">
        <f>"063311005121"</f>
        <v>063311005121</v>
      </c>
    </row>
    <row r="726" spans="1:9" x14ac:dyDescent="0.25">
      <c r="A726" t="s">
        <v>675</v>
      </c>
      <c r="B726" t="s">
        <v>13</v>
      </c>
      <c r="C726">
        <v>24.58</v>
      </c>
      <c r="D726">
        <v>25.25</v>
      </c>
      <c r="E726" t="s">
        <v>17</v>
      </c>
      <c r="F726">
        <v>27.79</v>
      </c>
      <c r="G726">
        <v>26.46</v>
      </c>
      <c r="H726" t="s">
        <v>17</v>
      </c>
      <c r="I726" t="str">
        <f>"060744003361"</f>
        <v>060744003361</v>
      </c>
    </row>
    <row r="727" spans="1:9" x14ac:dyDescent="0.25">
      <c r="A727" t="s">
        <v>676</v>
      </c>
      <c r="B727" t="s">
        <v>13</v>
      </c>
      <c r="C727">
        <v>32.5</v>
      </c>
      <c r="D727">
        <v>32</v>
      </c>
      <c r="E727" t="s">
        <v>17</v>
      </c>
      <c r="F727">
        <v>28.89</v>
      </c>
      <c r="G727">
        <v>27.22</v>
      </c>
      <c r="H727" t="s">
        <v>17</v>
      </c>
      <c r="I727" t="str">
        <f>"060558009323"</f>
        <v>060558009323</v>
      </c>
    </row>
    <row r="728" spans="1:9" x14ac:dyDescent="0.25">
      <c r="A728" t="s">
        <v>677</v>
      </c>
      <c r="B728" t="s">
        <v>13</v>
      </c>
      <c r="C728">
        <v>17.5</v>
      </c>
      <c r="D728">
        <v>23.1</v>
      </c>
      <c r="E728" t="s">
        <v>17</v>
      </c>
      <c r="F728">
        <v>28.86</v>
      </c>
      <c r="G728">
        <v>22.68</v>
      </c>
      <c r="H728" t="s">
        <v>17</v>
      </c>
      <c r="I728" t="str">
        <f>"060004807407"</f>
        <v>060004807407</v>
      </c>
    </row>
    <row r="729" spans="1:9" x14ac:dyDescent="0.25">
      <c r="A729" t="s">
        <v>678</v>
      </c>
      <c r="B729" t="s">
        <v>13</v>
      </c>
      <c r="C729">
        <v>37.75</v>
      </c>
      <c r="D729">
        <v>41.85</v>
      </c>
      <c r="E729" t="s">
        <v>17</v>
      </c>
      <c r="F729">
        <v>24.64</v>
      </c>
      <c r="G729">
        <v>22.03</v>
      </c>
      <c r="H729" t="s">
        <v>17</v>
      </c>
      <c r="I729" t="str">
        <f>"061692000943"</f>
        <v>061692000943</v>
      </c>
    </row>
    <row r="730" spans="1:9" x14ac:dyDescent="0.25">
      <c r="A730" t="s">
        <v>679</v>
      </c>
      <c r="B730" t="s">
        <v>13</v>
      </c>
      <c r="C730">
        <v>8.9</v>
      </c>
      <c r="D730">
        <v>9.1</v>
      </c>
      <c r="E730" t="s">
        <v>17</v>
      </c>
      <c r="F730">
        <v>17.079999999999998</v>
      </c>
      <c r="G730">
        <v>17.8</v>
      </c>
      <c r="H730" t="s">
        <v>17</v>
      </c>
      <c r="I730" t="str">
        <f>"060177008674"</f>
        <v>060177008674</v>
      </c>
    </row>
    <row r="731" spans="1:9" x14ac:dyDescent="0.25">
      <c r="A731" t="s">
        <v>680</v>
      </c>
      <c r="B731" t="s">
        <v>13</v>
      </c>
      <c r="C731">
        <v>12.6</v>
      </c>
      <c r="D731">
        <v>13.3</v>
      </c>
      <c r="E731" t="s">
        <v>17</v>
      </c>
      <c r="F731">
        <v>14.92</v>
      </c>
      <c r="G731">
        <v>17.29</v>
      </c>
      <c r="H731" t="s">
        <v>17</v>
      </c>
      <c r="I731" t="str">
        <f>"062805010720"</f>
        <v>062805010720</v>
      </c>
    </row>
    <row r="732" spans="1:9" x14ac:dyDescent="0.25">
      <c r="A732" t="s">
        <v>681</v>
      </c>
      <c r="B732" t="s">
        <v>13</v>
      </c>
      <c r="C732">
        <v>26.65</v>
      </c>
      <c r="D732">
        <v>26.76</v>
      </c>
      <c r="E732" t="s">
        <v>17</v>
      </c>
      <c r="F732">
        <v>21.99</v>
      </c>
      <c r="G732">
        <v>21.64</v>
      </c>
      <c r="H732" t="s">
        <v>17</v>
      </c>
      <c r="I732" t="str">
        <f>"063471005846"</f>
        <v>063471005846</v>
      </c>
    </row>
    <row r="733" spans="1:9" x14ac:dyDescent="0.25">
      <c r="A733" t="s">
        <v>682</v>
      </c>
      <c r="B733" t="s">
        <v>13</v>
      </c>
      <c r="C733">
        <v>21.5</v>
      </c>
      <c r="D733">
        <v>22.25</v>
      </c>
      <c r="E733" t="s">
        <v>17</v>
      </c>
      <c r="F733">
        <v>24.23</v>
      </c>
      <c r="G733">
        <v>20.85</v>
      </c>
      <c r="H733" t="s">
        <v>17</v>
      </c>
      <c r="I733" t="str">
        <f>"060177000006"</f>
        <v>060177000006</v>
      </c>
    </row>
    <row r="734" spans="1:9" x14ac:dyDescent="0.25">
      <c r="A734" t="s">
        <v>683</v>
      </c>
      <c r="B734" t="s">
        <v>13</v>
      </c>
      <c r="C734">
        <v>30.05</v>
      </c>
      <c r="D734">
        <v>29.95</v>
      </c>
      <c r="E734" t="s">
        <v>17</v>
      </c>
      <c r="F734">
        <v>21.4</v>
      </c>
      <c r="G734">
        <v>22.24</v>
      </c>
      <c r="H734" t="s">
        <v>17</v>
      </c>
      <c r="I734" t="str">
        <f>"062100000442"</f>
        <v>062100000442</v>
      </c>
    </row>
    <row r="735" spans="1:9" x14ac:dyDescent="0.25">
      <c r="A735" t="s">
        <v>684</v>
      </c>
      <c r="B735" t="s">
        <v>13</v>
      </c>
      <c r="C735">
        <v>22</v>
      </c>
      <c r="D735">
        <v>24</v>
      </c>
      <c r="E735" t="s">
        <v>17</v>
      </c>
      <c r="F735">
        <v>19.77</v>
      </c>
      <c r="G735">
        <v>18.38</v>
      </c>
      <c r="H735" t="s">
        <v>17</v>
      </c>
      <c r="I735" t="str">
        <f>"063432005416"</f>
        <v>063432005416</v>
      </c>
    </row>
    <row r="736" spans="1:9" x14ac:dyDescent="0.25">
      <c r="A736" t="s">
        <v>685</v>
      </c>
      <c r="B736" t="s">
        <v>13</v>
      </c>
      <c r="C736">
        <v>9</v>
      </c>
      <c r="D736">
        <v>7</v>
      </c>
      <c r="E736" t="s">
        <v>14</v>
      </c>
      <c r="F736">
        <v>26.44</v>
      </c>
      <c r="G736">
        <v>25.43</v>
      </c>
      <c r="H736" t="s">
        <v>14</v>
      </c>
      <c r="I736" t="str">
        <f>"069102112864"</f>
        <v>069102112864</v>
      </c>
    </row>
    <row r="737" spans="1:9" x14ac:dyDescent="0.25">
      <c r="A737" t="s">
        <v>686</v>
      </c>
      <c r="B737" t="s">
        <v>13</v>
      </c>
      <c r="C737" t="s">
        <v>14</v>
      </c>
      <c r="D737" t="s">
        <v>14</v>
      </c>
      <c r="E737" t="s">
        <v>17</v>
      </c>
      <c r="F737" t="s">
        <v>14</v>
      </c>
      <c r="G737" t="s">
        <v>14</v>
      </c>
      <c r="H737" t="s">
        <v>17</v>
      </c>
      <c r="I737" t="str">
        <f>"062553003816"</f>
        <v>062553003816</v>
      </c>
    </row>
    <row r="738" spans="1:9" x14ac:dyDescent="0.25">
      <c r="A738" t="s">
        <v>686</v>
      </c>
      <c r="B738" t="s">
        <v>13</v>
      </c>
      <c r="C738">
        <v>24.73</v>
      </c>
      <c r="D738">
        <v>25.1</v>
      </c>
      <c r="E738" t="s">
        <v>17</v>
      </c>
      <c r="F738">
        <v>22</v>
      </c>
      <c r="G738">
        <v>21.63</v>
      </c>
      <c r="H738" t="s">
        <v>17</v>
      </c>
      <c r="I738" t="str">
        <f>"063559006058"</f>
        <v>063559006058</v>
      </c>
    </row>
    <row r="739" spans="1:9" x14ac:dyDescent="0.25">
      <c r="A739" t="s">
        <v>687</v>
      </c>
      <c r="B739" t="s">
        <v>13</v>
      </c>
      <c r="C739">
        <v>9</v>
      </c>
      <c r="D739">
        <v>9</v>
      </c>
      <c r="E739" t="s">
        <v>17</v>
      </c>
      <c r="F739">
        <v>23.67</v>
      </c>
      <c r="G739">
        <v>26.67</v>
      </c>
      <c r="H739" t="s">
        <v>17</v>
      </c>
      <c r="I739" t="str">
        <f>"060420000379"</f>
        <v>060420000379</v>
      </c>
    </row>
    <row r="740" spans="1:9" x14ac:dyDescent="0.25">
      <c r="A740" t="s">
        <v>688</v>
      </c>
      <c r="B740" t="s">
        <v>13</v>
      </c>
      <c r="C740">
        <v>6.76</v>
      </c>
      <c r="D740">
        <v>6.94</v>
      </c>
      <c r="E740" t="s">
        <v>17</v>
      </c>
      <c r="F740">
        <v>20.56</v>
      </c>
      <c r="G740">
        <v>18.88</v>
      </c>
      <c r="H740" t="s">
        <v>17</v>
      </c>
      <c r="I740" t="str">
        <f>"063488011405"</f>
        <v>063488011405</v>
      </c>
    </row>
    <row r="741" spans="1:9" x14ac:dyDescent="0.25">
      <c r="A741" t="s">
        <v>689</v>
      </c>
      <c r="B741" t="s">
        <v>13</v>
      </c>
      <c r="C741">
        <v>10.01</v>
      </c>
      <c r="D741">
        <v>11.03</v>
      </c>
      <c r="E741" t="s">
        <v>17</v>
      </c>
      <c r="F741">
        <v>18.48</v>
      </c>
      <c r="G741">
        <v>17.23</v>
      </c>
      <c r="H741" t="s">
        <v>17</v>
      </c>
      <c r="I741" t="str">
        <f>"062580007213"</f>
        <v>062580007213</v>
      </c>
    </row>
    <row r="742" spans="1:9" x14ac:dyDescent="0.25">
      <c r="A742" t="s">
        <v>690</v>
      </c>
      <c r="B742" t="s">
        <v>13</v>
      </c>
      <c r="C742">
        <v>26</v>
      </c>
      <c r="D742">
        <v>27</v>
      </c>
      <c r="E742" t="s">
        <v>17</v>
      </c>
      <c r="F742">
        <v>20.27</v>
      </c>
      <c r="G742">
        <v>19.329999999999998</v>
      </c>
      <c r="H742" t="s">
        <v>17</v>
      </c>
      <c r="I742" t="str">
        <f>"063738006315"</f>
        <v>063738006315</v>
      </c>
    </row>
    <row r="743" spans="1:9" x14ac:dyDescent="0.25">
      <c r="A743" t="s">
        <v>691</v>
      </c>
      <c r="B743" t="s">
        <v>13</v>
      </c>
      <c r="C743">
        <v>6</v>
      </c>
      <c r="D743">
        <v>6</v>
      </c>
      <c r="E743" t="s">
        <v>17</v>
      </c>
      <c r="F743">
        <v>12</v>
      </c>
      <c r="G743">
        <v>15.33</v>
      </c>
      <c r="H743" t="s">
        <v>17</v>
      </c>
      <c r="I743" t="str">
        <f>"063600006162"</f>
        <v>063600006162</v>
      </c>
    </row>
    <row r="744" spans="1:9" x14ac:dyDescent="0.25">
      <c r="A744" t="s">
        <v>692</v>
      </c>
      <c r="B744" t="s">
        <v>13</v>
      </c>
      <c r="C744">
        <v>29.39</v>
      </c>
      <c r="D744">
        <v>25.67</v>
      </c>
      <c r="E744" t="s">
        <v>17</v>
      </c>
      <c r="F744">
        <v>18.920000000000002</v>
      </c>
      <c r="G744">
        <v>21</v>
      </c>
      <c r="H744" t="s">
        <v>17</v>
      </c>
      <c r="I744" t="str">
        <f>"063492005898"</f>
        <v>063492005898</v>
      </c>
    </row>
    <row r="745" spans="1:9" x14ac:dyDescent="0.25">
      <c r="A745" t="s">
        <v>693</v>
      </c>
      <c r="B745" t="s">
        <v>13</v>
      </c>
      <c r="C745">
        <v>24</v>
      </c>
      <c r="D745">
        <v>25</v>
      </c>
      <c r="E745" t="s">
        <v>17</v>
      </c>
      <c r="F745">
        <v>28.54</v>
      </c>
      <c r="G745">
        <v>25.16</v>
      </c>
      <c r="H745" t="s">
        <v>17</v>
      </c>
      <c r="I745" t="str">
        <f>"063255005009"</f>
        <v>063255005009</v>
      </c>
    </row>
    <row r="746" spans="1:9" x14ac:dyDescent="0.25">
      <c r="A746" t="s">
        <v>694</v>
      </c>
      <c r="B746" t="s">
        <v>13</v>
      </c>
      <c r="C746">
        <v>12.5</v>
      </c>
      <c r="D746">
        <v>13.5</v>
      </c>
      <c r="E746" t="s">
        <v>17</v>
      </c>
      <c r="F746">
        <v>15.28</v>
      </c>
      <c r="G746">
        <v>15.85</v>
      </c>
      <c r="H746" t="s">
        <v>17</v>
      </c>
      <c r="I746" t="str">
        <f>"063432005417"</f>
        <v>063432005417</v>
      </c>
    </row>
    <row r="747" spans="1:9" x14ac:dyDescent="0.25">
      <c r="A747" t="s">
        <v>695</v>
      </c>
      <c r="B747" t="s">
        <v>13</v>
      </c>
      <c r="C747">
        <v>28.05</v>
      </c>
      <c r="D747">
        <v>25.2</v>
      </c>
      <c r="E747" t="s">
        <v>17</v>
      </c>
      <c r="F747">
        <v>23.24</v>
      </c>
      <c r="G747">
        <v>24.84</v>
      </c>
      <c r="H747" t="s">
        <v>17</v>
      </c>
      <c r="I747" t="str">
        <f>"063492005899"</f>
        <v>063492005899</v>
      </c>
    </row>
    <row r="748" spans="1:9" x14ac:dyDescent="0.25">
      <c r="A748" t="s">
        <v>695</v>
      </c>
      <c r="B748" t="s">
        <v>13</v>
      </c>
      <c r="C748">
        <v>21.73</v>
      </c>
      <c r="D748">
        <v>25.14</v>
      </c>
      <c r="E748" t="s">
        <v>17</v>
      </c>
      <c r="F748">
        <v>19.329999999999998</v>
      </c>
      <c r="G748">
        <v>18.100000000000001</v>
      </c>
      <c r="H748" t="s">
        <v>17</v>
      </c>
      <c r="I748" t="str">
        <f>"063480005867"</f>
        <v>063480005867</v>
      </c>
    </row>
    <row r="749" spans="1:9" x14ac:dyDescent="0.25">
      <c r="A749" t="s">
        <v>696</v>
      </c>
      <c r="B749" t="s">
        <v>13</v>
      </c>
      <c r="C749">
        <v>19.36</v>
      </c>
      <c r="D749">
        <v>20.85</v>
      </c>
      <c r="E749" t="s">
        <v>17</v>
      </c>
      <c r="F749">
        <v>18.7</v>
      </c>
      <c r="G749">
        <v>15.49</v>
      </c>
      <c r="H749" t="s">
        <v>17</v>
      </c>
      <c r="I749" t="str">
        <f>"063033004729"</f>
        <v>063033004729</v>
      </c>
    </row>
    <row r="750" spans="1:9" x14ac:dyDescent="0.25">
      <c r="A750" t="s">
        <v>697</v>
      </c>
      <c r="B750" t="s">
        <v>13</v>
      </c>
      <c r="C750">
        <v>17</v>
      </c>
      <c r="D750">
        <v>3.6</v>
      </c>
      <c r="E750" t="s">
        <v>14</v>
      </c>
      <c r="F750">
        <v>23.94</v>
      </c>
      <c r="G750">
        <v>92.5</v>
      </c>
      <c r="H750" t="s">
        <v>14</v>
      </c>
      <c r="I750" t="str">
        <f>"062250013001"</f>
        <v>062250013001</v>
      </c>
    </row>
    <row r="751" spans="1:9" x14ac:dyDescent="0.25">
      <c r="A751" t="s">
        <v>698</v>
      </c>
      <c r="B751" t="s">
        <v>13</v>
      </c>
      <c r="C751">
        <v>25</v>
      </c>
      <c r="D751">
        <v>24</v>
      </c>
      <c r="E751" t="s">
        <v>17</v>
      </c>
      <c r="F751">
        <v>23.56</v>
      </c>
      <c r="G751">
        <v>23.46</v>
      </c>
      <c r="H751" t="s">
        <v>17</v>
      </c>
      <c r="I751" t="str">
        <f>"062271002841"</f>
        <v>062271002841</v>
      </c>
    </row>
    <row r="752" spans="1:9" x14ac:dyDescent="0.25">
      <c r="A752" t="s">
        <v>699</v>
      </c>
      <c r="B752" t="s">
        <v>13</v>
      </c>
      <c r="C752">
        <v>21.35</v>
      </c>
      <c r="D752">
        <v>19.37</v>
      </c>
      <c r="E752" t="s">
        <v>17</v>
      </c>
      <c r="F752">
        <v>23.61</v>
      </c>
      <c r="G752">
        <v>24.47</v>
      </c>
      <c r="H752" t="s">
        <v>17</v>
      </c>
      <c r="I752" t="str">
        <f>"064308006998"</f>
        <v>064308006998</v>
      </c>
    </row>
    <row r="753" spans="1:9" x14ac:dyDescent="0.25">
      <c r="A753" t="s">
        <v>700</v>
      </c>
      <c r="B753" t="s">
        <v>13</v>
      </c>
      <c r="C753">
        <v>87.15</v>
      </c>
      <c r="D753">
        <v>84.67</v>
      </c>
      <c r="E753" t="s">
        <v>17</v>
      </c>
      <c r="F753">
        <v>21.33</v>
      </c>
      <c r="G753">
        <v>22.82</v>
      </c>
      <c r="H753" t="s">
        <v>17</v>
      </c>
      <c r="I753" t="str">
        <f>"062223010314"</f>
        <v>062223010314</v>
      </c>
    </row>
    <row r="754" spans="1:9" x14ac:dyDescent="0.25">
      <c r="A754" t="s">
        <v>701</v>
      </c>
      <c r="B754" t="s">
        <v>13</v>
      </c>
      <c r="C754">
        <v>21</v>
      </c>
      <c r="D754">
        <v>21</v>
      </c>
      <c r="E754" t="s">
        <v>17</v>
      </c>
      <c r="F754">
        <v>25.43</v>
      </c>
      <c r="G754">
        <v>23.48</v>
      </c>
      <c r="H754" t="s">
        <v>17</v>
      </c>
      <c r="I754" t="str">
        <f>"060795008124"</f>
        <v>060795008124</v>
      </c>
    </row>
    <row r="755" spans="1:9" x14ac:dyDescent="0.25">
      <c r="A755" t="s">
        <v>702</v>
      </c>
      <c r="B755" t="s">
        <v>13</v>
      </c>
      <c r="C755">
        <v>40</v>
      </c>
      <c r="D755">
        <v>35.33</v>
      </c>
      <c r="E755" t="s">
        <v>17</v>
      </c>
      <c r="F755">
        <v>20.85</v>
      </c>
      <c r="G755">
        <v>23.44</v>
      </c>
      <c r="H755" t="s">
        <v>17</v>
      </c>
      <c r="I755" t="str">
        <f>"060327000413"</f>
        <v>060327000413</v>
      </c>
    </row>
    <row r="756" spans="1:9" x14ac:dyDescent="0.25">
      <c r="A756" t="s">
        <v>703</v>
      </c>
      <c r="B756" t="s">
        <v>13</v>
      </c>
      <c r="C756">
        <v>27.01</v>
      </c>
      <c r="D756">
        <v>18.010000000000002</v>
      </c>
      <c r="E756" t="s">
        <v>17</v>
      </c>
      <c r="F756">
        <v>18.84</v>
      </c>
      <c r="G756">
        <v>18.38</v>
      </c>
      <c r="H756" t="s">
        <v>17</v>
      </c>
      <c r="I756" t="str">
        <f>"064233006925"</f>
        <v>064233006925</v>
      </c>
    </row>
    <row r="757" spans="1:9" x14ac:dyDescent="0.25">
      <c r="A757" t="s">
        <v>704</v>
      </c>
      <c r="B757" t="s">
        <v>13</v>
      </c>
      <c r="C757">
        <v>32.450000000000003</v>
      </c>
      <c r="D757">
        <v>35.75</v>
      </c>
      <c r="E757" t="s">
        <v>17</v>
      </c>
      <c r="F757">
        <v>24.38</v>
      </c>
      <c r="G757">
        <v>23.78</v>
      </c>
      <c r="H757" t="s">
        <v>17</v>
      </c>
      <c r="I757" t="str">
        <f>"062688008918"</f>
        <v>062688008918</v>
      </c>
    </row>
    <row r="758" spans="1:9" x14ac:dyDescent="0.25">
      <c r="A758" t="s">
        <v>705</v>
      </c>
      <c r="B758" t="s">
        <v>13</v>
      </c>
      <c r="C758">
        <v>31.5</v>
      </c>
      <c r="D758">
        <v>31.5</v>
      </c>
      <c r="E758" t="s">
        <v>17</v>
      </c>
      <c r="F758">
        <v>29.14</v>
      </c>
      <c r="G758">
        <v>28.32</v>
      </c>
      <c r="H758" t="s">
        <v>17</v>
      </c>
      <c r="I758" t="str">
        <f>"062580009582"</f>
        <v>062580009582</v>
      </c>
    </row>
    <row r="759" spans="1:9" x14ac:dyDescent="0.25">
      <c r="A759" t="s">
        <v>705</v>
      </c>
      <c r="B759" t="s">
        <v>13</v>
      </c>
      <c r="C759" t="s">
        <v>14</v>
      </c>
      <c r="D759" t="s">
        <v>14</v>
      </c>
      <c r="E759" t="s">
        <v>17</v>
      </c>
      <c r="F759" t="s">
        <v>14</v>
      </c>
      <c r="G759" t="s">
        <v>14</v>
      </c>
      <c r="H759" t="s">
        <v>17</v>
      </c>
      <c r="I759" t="str">
        <f>"060207000089"</f>
        <v>060207000089</v>
      </c>
    </row>
    <row r="760" spans="1:9" x14ac:dyDescent="0.25">
      <c r="A760" t="s">
        <v>706</v>
      </c>
      <c r="B760" t="s">
        <v>13</v>
      </c>
      <c r="C760">
        <v>49.61</v>
      </c>
      <c r="D760">
        <v>50.83</v>
      </c>
      <c r="E760" t="s">
        <v>17</v>
      </c>
      <c r="F760">
        <v>22.01</v>
      </c>
      <c r="G760">
        <v>21.54</v>
      </c>
      <c r="H760" t="s">
        <v>17</v>
      </c>
      <c r="I760" t="str">
        <f>"061288011128"</f>
        <v>061288011128</v>
      </c>
    </row>
    <row r="761" spans="1:9" x14ac:dyDescent="0.25">
      <c r="A761" t="s">
        <v>707</v>
      </c>
      <c r="B761" t="s">
        <v>13</v>
      </c>
      <c r="C761">
        <v>17</v>
      </c>
      <c r="D761">
        <v>15</v>
      </c>
      <c r="E761" t="s">
        <v>17</v>
      </c>
      <c r="F761">
        <v>21.53</v>
      </c>
      <c r="G761">
        <v>25.33</v>
      </c>
      <c r="H761" t="s">
        <v>17</v>
      </c>
      <c r="I761" t="str">
        <f>"061152001283"</f>
        <v>061152001283</v>
      </c>
    </row>
    <row r="762" spans="1:9" x14ac:dyDescent="0.25">
      <c r="A762" t="s">
        <v>708</v>
      </c>
      <c r="B762" t="s">
        <v>13</v>
      </c>
      <c r="C762">
        <v>15</v>
      </c>
      <c r="D762">
        <v>17</v>
      </c>
      <c r="E762" t="s">
        <v>17</v>
      </c>
      <c r="F762">
        <v>24.93</v>
      </c>
      <c r="G762">
        <v>21</v>
      </c>
      <c r="H762" t="s">
        <v>17</v>
      </c>
      <c r="I762" t="str">
        <f>"060426008797"</f>
        <v>060426008797</v>
      </c>
    </row>
    <row r="763" spans="1:9" x14ac:dyDescent="0.25">
      <c r="A763" t="s">
        <v>709</v>
      </c>
      <c r="B763" t="s">
        <v>13</v>
      </c>
      <c r="C763">
        <v>13.75</v>
      </c>
      <c r="D763">
        <v>16.5</v>
      </c>
      <c r="E763" t="s">
        <v>17</v>
      </c>
      <c r="F763">
        <v>24.51</v>
      </c>
      <c r="G763">
        <v>20.239999999999998</v>
      </c>
      <c r="H763" t="s">
        <v>17</v>
      </c>
      <c r="I763" t="str">
        <f>"060426000385"</f>
        <v>060426000385</v>
      </c>
    </row>
    <row r="764" spans="1:9" x14ac:dyDescent="0.25">
      <c r="A764" t="s">
        <v>710</v>
      </c>
      <c r="B764" t="s">
        <v>13</v>
      </c>
      <c r="C764">
        <v>47.76</v>
      </c>
      <c r="D764">
        <v>46.75</v>
      </c>
      <c r="E764" t="s">
        <v>17</v>
      </c>
      <c r="F764">
        <v>26.7</v>
      </c>
      <c r="G764">
        <v>27.64</v>
      </c>
      <c r="H764" t="s">
        <v>17</v>
      </c>
      <c r="I764" t="str">
        <f>"063207011101"</f>
        <v>063207011101</v>
      </c>
    </row>
    <row r="765" spans="1:9" x14ac:dyDescent="0.25">
      <c r="A765" t="s">
        <v>711</v>
      </c>
      <c r="B765" t="s">
        <v>13</v>
      </c>
      <c r="C765">
        <v>23</v>
      </c>
      <c r="D765">
        <v>26.01</v>
      </c>
      <c r="E765" t="s">
        <v>17</v>
      </c>
      <c r="F765">
        <v>25.61</v>
      </c>
      <c r="G765">
        <v>23.34</v>
      </c>
      <c r="H765" t="s">
        <v>17</v>
      </c>
      <c r="I765" t="str">
        <f>"064119006813"</f>
        <v>064119006813</v>
      </c>
    </row>
    <row r="766" spans="1:9" x14ac:dyDescent="0.25">
      <c r="A766" t="s">
        <v>712</v>
      </c>
      <c r="B766" t="s">
        <v>13</v>
      </c>
      <c r="C766">
        <v>84.64</v>
      </c>
      <c r="D766">
        <v>84.92</v>
      </c>
      <c r="E766" t="s">
        <v>17</v>
      </c>
      <c r="F766">
        <v>29.15</v>
      </c>
      <c r="G766">
        <v>28.63</v>
      </c>
      <c r="H766" t="s">
        <v>17</v>
      </c>
      <c r="I766" t="str">
        <f>"060429000386"</f>
        <v>060429000386</v>
      </c>
    </row>
    <row r="767" spans="1:9" x14ac:dyDescent="0.25">
      <c r="A767" t="s">
        <v>713</v>
      </c>
      <c r="B767" t="s">
        <v>13</v>
      </c>
      <c r="C767" t="s">
        <v>17</v>
      </c>
      <c r="D767" t="s">
        <v>14</v>
      </c>
      <c r="E767" t="s">
        <v>14</v>
      </c>
      <c r="F767" t="s">
        <v>17</v>
      </c>
      <c r="G767" t="s">
        <v>14</v>
      </c>
      <c r="H767" t="s">
        <v>14</v>
      </c>
      <c r="I767" t="str">
        <f>"060429013598"</f>
        <v>060429013598</v>
      </c>
    </row>
    <row r="768" spans="1:9" x14ac:dyDescent="0.25">
      <c r="A768" t="s">
        <v>714</v>
      </c>
      <c r="B768" t="s">
        <v>13</v>
      </c>
      <c r="C768">
        <v>23</v>
      </c>
      <c r="D768">
        <v>23</v>
      </c>
      <c r="E768" t="s">
        <v>17</v>
      </c>
      <c r="F768">
        <v>24.04</v>
      </c>
      <c r="G768">
        <v>25.65</v>
      </c>
      <c r="H768" t="s">
        <v>17</v>
      </c>
      <c r="I768" t="str">
        <f>"062271002842"</f>
        <v>062271002842</v>
      </c>
    </row>
    <row r="769" spans="1:9" x14ac:dyDescent="0.25">
      <c r="A769" t="s">
        <v>715</v>
      </c>
      <c r="B769" t="s">
        <v>13</v>
      </c>
      <c r="C769">
        <v>29.04</v>
      </c>
      <c r="D769">
        <v>26.17</v>
      </c>
      <c r="E769" t="s">
        <v>17</v>
      </c>
      <c r="F769">
        <v>23.83</v>
      </c>
      <c r="G769">
        <v>26.18</v>
      </c>
      <c r="H769" t="s">
        <v>17</v>
      </c>
      <c r="I769" t="str">
        <f>"062223009896"</f>
        <v>062223009896</v>
      </c>
    </row>
    <row r="770" spans="1:9" x14ac:dyDescent="0.25">
      <c r="A770" t="s">
        <v>716</v>
      </c>
      <c r="B770" t="s">
        <v>13</v>
      </c>
      <c r="C770">
        <v>1.5</v>
      </c>
      <c r="D770" t="s">
        <v>17</v>
      </c>
      <c r="E770" t="s">
        <v>17</v>
      </c>
      <c r="F770">
        <v>6</v>
      </c>
      <c r="G770" t="s">
        <v>17</v>
      </c>
      <c r="H770" t="s">
        <v>17</v>
      </c>
      <c r="I770" t="str">
        <f>"063117007825"</f>
        <v>063117007825</v>
      </c>
    </row>
    <row r="771" spans="1:9" x14ac:dyDescent="0.25">
      <c r="A771" t="s">
        <v>717</v>
      </c>
      <c r="B771" t="s">
        <v>13</v>
      </c>
      <c r="C771">
        <v>29.67</v>
      </c>
      <c r="D771">
        <v>28.58</v>
      </c>
      <c r="E771" t="s">
        <v>17</v>
      </c>
      <c r="F771">
        <v>29.36</v>
      </c>
      <c r="G771">
        <v>29.22</v>
      </c>
      <c r="H771" t="s">
        <v>17</v>
      </c>
      <c r="I771" t="str">
        <f>"061392011837"</f>
        <v>061392011837</v>
      </c>
    </row>
    <row r="772" spans="1:9" x14ac:dyDescent="0.25">
      <c r="A772" t="s">
        <v>718</v>
      </c>
      <c r="B772" t="s">
        <v>13</v>
      </c>
      <c r="C772">
        <v>33</v>
      </c>
      <c r="D772">
        <v>34.07</v>
      </c>
      <c r="E772" t="s">
        <v>17</v>
      </c>
      <c r="F772">
        <v>26.42</v>
      </c>
      <c r="G772">
        <v>25.68</v>
      </c>
      <c r="H772" t="s">
        <v>17</v>
      </c>
      <c r="I772" t="str">
        <f>"061473008241"</f>
        <v>061473008241</v>
      </c>
    </row>
    <row r="773" spans="1:9" x14ac:dyDescent="0.25">
      <c r="A773" t="s">
        <v>719</v>
      </c>
      <c r="B773" t="s">
        <v>13</v>
      </c>
      <c r="C773">
        <v>14</v>
      </c>
      <c r="D773">
        <v>15.01</v>
      </c>
      <c r="E773" t="s">
        <v>17</v>
      </c>
      <c r="F773">
        <v>24</v>
      </c>
      <c r="G773">
        <v>23.25</v>
      </c>
      <c r="H773" t="s">
        <v>17</v>
      </c>
      <c r="I773" t="str">
        <f>"062271002843"</f>
        <v>062271002843</v>
      </c>
    </row>
    <row r="774" spans="1:9" x14ac:dyDescent="0.25">
      <c r="A774" t="s">
        <v>720</v>
      </c>
      <c r="B774" t="s">
        <v>13</v>
      </c>
      <c r="C774">
        <v>25.6</v>
      </c>
      <c r="D774">
        <v>20.440000000000001</v>
      </c>
      <c r="E774" t="s">
        <v>17</v>
      </c>
      <c r="F774">
        <v>18.95</v>
      </c>
      <c r="G774">
        <v>22.11</v>
      </c>
      <c r="H774" t="s">
        <v>17</v>
      </c>
      <c r="I774" t="str">
        <f>"062637003936"</f>
        <v>062637003936</v>
      </c>
    </row>
    <row r="775" spans="1:9" x14ac:dyDescent="0.25">
      <c r="A775" t="s">
        <v>721</v>
      </c>
      <c r="B775" t="s">
        <v>13</v>
      </c>
      <c r="C775">
        <v>27.53</v>
      </c>
      <c r="D775">
        <v>25.01</v>
      </c>
      <c r="E775" t="s">
        <v>17</v>
      </c>
      <c r="F775">
        <v>18.670000000000002</v>
      </c>
      <c r="G775">
        <v>18.79</v>
      </c>
      <c r="H775" t="s">
        <v>17</v>
      </c>
      <c r="I775" t="str">
        <f>"063216004975"</f>
        <v>063216004975</v>
      </c>
    </row>
    <row r="776" spans="1:9" x14ac:dyDescent="0.25">
      <c r="A776" t="s">
        <v>722</v>
      </c>
      <c r="B776" t="s">
        <v>13</v>
      </c>
      <c r="C776">
        <v>18.2</v>
      </c>
      <c r="D776">
        <v>19.899999999999999</v>
      </c>
      <c r="E776" t="s">
        <v>17</v>
      </c>
      <c r="F776">
        <v>27.25</v>
      </c>
      <c r="G776">
        <v>24.22</v>
      </c>
      <c r="H776" t="s">
        <v>17</v>
      </c>
      <c r="I776" t="str">
        <f>"062664004012"</f>
        <v>062664004012</v>
      </c>
    </row>
    <row r="777" spans="1:9" x14ac:dyDescent="0.25">
      <c r="A777" t="s">
        <v>723</v>
      </c>
      <c r="B777" t="s">
        <v>13</v>
      </c>
      <c r="C777">
        <v>17.600000000000001</v>
      </c>
      <c r="D777">
        <v>18.3</v>
      </c>
      <c r="E777" t="s">
        <v>17</v>
      </c>
      <c r="F777">
        <v>24.15</v>
      </c>
      <c r="G777">
        <v>22.51</v>
      </c>
      <c r="H777" t="s">
        <v>17</v>
      </c>
      <c r="I777" t="str">
        <f>"063324005165"</f>
        <v>063324005165</v>
      </c>
    </row>
    <row r="778" spans="1:9" x14ac:dyDescent="0.25">
      <c r="A778" t="s">
        <v>724</v>
      </c>
      <c r="B778" t="s">
        <v>13</v>
      </c>
      <c r="C778">
        <v>37</v>
      </c>
      <c r="D778">
        <v>38.5</v>
      </c>
      <c r="E778" t="s">
        <v>17</v>
      </c>
      <c r="F778">
        <v>31.11</v>
      </c>
      <c r="G778">
        <v>30.05</v>
      </c>
      <c r="H778" t="s">
        <v>17</v>
      </c>
      <c r="I778" t="str">
        <f>"062547003789"</f>
        <v>062547003789</v>
      </c>
    </row>
    <row r="779" spans="1:9" x14ac:dyDescent="0.25">
      <c r="A779" t="s">
        <v>725</v>
      </c>
      <c r="B779" t="s">
        <v>13</v>
      </c>
      <c r="C779">
        <v>140.63999999999999</v>
      </c>
      <c r="D779">
        <v>147.09</v>
      </c>
      <c r="E779" t="s">
        <v>17</v>
      </c>
      <c r="F779">
        <v>22.42</v>
      </c>
      <c r="G779">
        <v>22.22</v>
      </c>
      <c r="H779" t="s">
        <v>17</v>
      </c>
      <c r="I779" t="str">
        <f>"062547003790"</f>
        <v>062547003790</v>
      </c>
    </row>
    <row r="780" spans="1:9" x14ac:dyDescent="0.25">
      <c r="A780" t="s">
        <v>726</v>
      </c>
      <c r="B780" t="s">
        <v>13</v>
      </c>
      <c r="C780">
        <v>52.87</v>
      </c>
      <c r="D780">
        <v>53.56</v>
      </c>
      <c r="E780" t="s">
        <v>17</v>
      </c>
      <c r="F780">
        <v>23.51</v>
      </c>
      <c r="G780">
        <v>22.44</v>
      </c>
      <c r="H780" t="s">
        <v>17</v>
      </c>
      <c r="I780" t="str">
        <f>"062547003791"</f>
        <v>062547003791</v>
      </c>
    </row>
    <row r="781" spans="1:9" x14ac:dyDescent="0.25">
      <c r="A781" t="s">
        <v>727</v>
      </c>
      <c r="B781" t="s">
        <v>13</v>
      </c>
      <c r="C781">
        <v>8</v>
      </c>
      <c r="D781" t="s">
        <v>14</v>
      </c>
      <c r="E781" t="s">
        <v>14</v>
      </c>
      <c r="F781">
        <v>21.25</v>
      </c>
      <c r="G781" t="s">
        <v>14</v>
      </c>
      <c r="H781" t="s">
        <v>14</v>
      </c>
      <c r="I781" t="str">
        <f>"061578013165"</f>
        <v>061578013165</v>
      </c>
    </row>
    <row r="782" spans="1:9" x14ac:dyDescent="0.25">
      <c r="A782" t="s">
        <v>728</v>
      </c>
      <c r="B782" t="s">
        <v>13</v>
      </c>
      <c r="C782">
        <v>45.22</v>
      </c>
      <c r="D782">
        <v>47.2</v>
      </c>
      <c r="E782" t="s">
        <v>17</v>
      </c>
      <c r="F782">
        <v>21.16</v>
      </c>
      <c r="G782">
        <v>21.23</v>
      </c>
      <c r="H782" t="s">
        <v>17</v>
      </c>
      <c r="I782" t="str">
        <f>"063432005419"</f>
        <v>063432005419</v>
      </c>
    </row>
    <row r="783" spans="1:9" x14ac:dyDescent="0.25">
      <c r="A783" t="s">
        <v>729</v>
      </c>
      <c r="B783" t="s">
        <v>13</v>
      </c>
      <c r="C783">
        <v>45.01</v>
      </c>
      <c r="D783">
        <v>45</v>
      </c>
      <c r="E783" t="s">
        <v>17</v>
      </c>
      <c r="F783">
        <v>24.31</v>
      </c>
      <c r="G783">
        <v>24.07</v>
      </c>
      <c r="H783" t="s">
        <v>17</v>
      </c>
      <c r="I783" t="str">
        <f>"062454010582"</f>
        <v>062454010582</v>
      </c>
    </row>
    <row r="784" spans="1:9" x14ac:dyDescent="0.25">
      <c r="A784" t="s">
        <v>730</v>
      </c>
      <c r="B784" t="s">
        <v>13</v>
      </c>
      <c r="C784">
        <v>156.51</v>
      </c>
      <c r="D784">
        <v>176.11</v>
      </c>
      <c r="E784" t="s">
        <v>17</v>
      </c>
      <c r="F784">
        <v>23.77</v>
      </c>
      <c r="G784">
        <v>24.36</v>
      </c>
      <c r="H784" t="s">
        <v>17</v>
      </c>
      <c r="I784" t="str">
        <f>"062271002844"</f>
        <v>062271002844</v>
      </c>
    </row>
    <row r="785" spans="1:9" x14ac:dyDescent="0.25">
      <c r="A785" t="s">
        <v>731</v>
      </c>
      <c r="B785" t="s">
        <v>13</v>
      </c>
      <c r="C785">
        <v>16.5</v>
      </c>
      <c r="D785">
        <v>17.5</v>
      </c>
      <c r="E785" t="s">
        <v>17</v>
      </c>
      <c r="F785">
        <v>21.58</v>
      </c>
      <c r="G785">
        <v>20.170000000000002</v>
      </c>
      <c r="H785" t="s">
        <v>17</v>
      </c>
      <c r="I785" t="str">
        <f>"060435000392"</f>
        <v>060435000392</v>
      </c>
    </row>
    <row r="786" spans="1:9" x14ac:dyDescent="0.25">
      <c r="A786" t="s">
        <v>731</v>
      </c>
      <c r="B786" t="s">
        <v>13</v>
      </c>
      <c r="C786">
        <v>24.1</v>
      </c>
      <c r="D786">
        <v>26.5</v>
      </c>
      <c r="E786" t="s">
        <v>17</v>
      </c>
      <c r="F786">
        <v>28.76</v>
      </c>
      <c r="G786">
        <v>26.68</v>
      </c>
      <c r="H786" t="s">
        <v>17</v>
      </c>
      <c r="I786" t="str">
        <f>"062547003792"</f>
        <v>062547003792</v>
      </c>
    </row>
    <row r="787" spans="1:9" x14ac:dyDescent="0.25">
      <c r="A787" t="s">
        <v>731</v>
      </c>
      <c r="B787" t="s">
        <v>13</v>
      </c>
      <c r="C787">
        <v>24</v>
      </c>
      <c r="D787">
        <v>24.01</v>
      </c>
      <c r="E787" t="s">
        <v>17</v>
      </c>
      <c r="F787">
        <v>21.88</v>
      </c>
      <c r="G787">
        <v>23.53</v>
      </c>
      <c r="H787" t="s">
        <v>17</v>
      </c>
      <c r="I787" t="str">
        <f>"062805004241"</f>
        <v>062805004241</v>
      </c>
    </row>
    <row r="788" spans="1:9" x14ac:dyDescent="0.25">
      <c r="A788" t="s">
        <v>731</v>
      </c>
      <c r="B788" t="s">
        <v>13</v>
      </c>
      <c r="C788">
        <v>24</v>
      </c>
      <c r="D788">
        <v>25</v>
      </c>
      <c r="E788" t="s">
        <v>17</v>
      </c>
      <c r="F788">
        <v>29.96</v>
      </c>
      <c r="G788">
        <v>27.76</v>
      </c>
      <c r="H788" t="s">
        <v>17</v>
      </c>
      <c r="I788" t="str">
        <f>"062955004565"</f>
        <v>062955004565</v>
      </c>
    </row>
    <row r="789" spans="1:9" x14ac:dyDescent="0.25">
      <c r="A789" t="s">
        <v>732</v>
      </c>
      <c r="B789" t="s">
        <v>13</v>
      </c>
      <c r="C789">
        <v>77.2</v>
      </c>
      <c r="D789">
        <v>79.91</v>
      </c>
      <c r="E789" t="s">
        <v>17</v>
      </c>
      <c r="F789">
        <v>25.78</v>
      </c>
      <c r="G789">
        <v>25.5</v>
      </c>
      <c r="H789" t="s">
        <v>17</v>
      </c>
      <c r="I789" t="str">
        <f>"063462005756"</f>
        <v>063462005756</v>
      </c>
    </row>
    <row r="790" spans="1:9" x14ac:dyDescent="0.25">
      <c r="A790" t="s">
        <v>733</v>
      </c>
      <c r="B790" t="s">
        <v>13</v>
      </c>
      <c r="C790">
        <v>46.91</v>
      </c>
      <c r="D790">
        <v>49.2</v>
      </c>
      <c r="E790" t="s">
        <v>17</v>
      </c>
      <c r="F790">
        <v>25.52</v>
      </c>
      <c r="G790">
        <v>25.45</v>
      </c>
      <c r="H790" t="s">
        <v>17</v>
      </c>
      <c r="I790" t="str">
        <f>"060002811040"</f>
        <v>060002811040</v>
      </c>
    </row>
    <row r="791" spans="1:9" x14ac:dyDescent="0.25">
      <c r="A791" t="s">
        <v>734</v>
      </c>
      <c r="B791" t="s">
        <v>13</v>
      </c>
      <c r="C791">
        <v>12</v>
      </c>
      <c r="D791">
        <v>14</v>
      </c>
      <c r="E791" t="s">
        <v>17</v>
      </c>
      <c r="F791">
        <v>28.58</v>
      </c>
      <c r="G791">
        <v>28.71</v>
      </c>
      <c r="H791" t="s">
        <v>17</v>
      </c>
      <c r="I791" t="str">
        <f>"063423005394"</f>
        <v>063423005394</v>
      </c>
    </row>
    <row r="792" spans="1:9" x14ac:dyDescent="0.25">
      <c r="A792" t="s">
        <v>735</v>
      </c>
      <c r="B792" t="s">
        <v>13</v>
      </c>
      <c r="C792">
        <v>23</v>
      </c>
      <c r="D792">
        <v>27</v>
      </c>
      <c r="E792" t="s">
        <v>17</v>
      </c>
      <c r="F792">
        <v>24.52</v>
      </c>
      <c r="G792">
        <v>20.41</v>
      </c>
      <c r="H792" t="s">
        <v>17</v>
      </c>
      <c r="I792" t="str">
        <f>"063186004913"</f>
        <v>063186004913</v>
      </c>
    </row>
    <row r="793" spans="1:9" x14ac:dyDescent="0.25">
      <c r="A793" t="s">
        <v>736</v>
      </c>
      <c r="B793" t="s">
        <v>13</v>
      </c>
      <c r="C793">
        <v>17</v>
      </c>
      <c r="D793">
        <v>18</v>
      </c>
      <c r="E793" t="s">
        <v>17</v>
      </c>
      <c r="F793">
        <v>29.29</v>
      </c>
      <c r="G793">
        <v>25.94</v>
      </c>
      <c r="H793" t="s">
        <v>17</v>
      </c>
      <c r="I793" t="str">
        <f>"060006404870"</f>
        <v>060006404870</v>
      </c>
    </row>
    <row r="794" spans="1:9" x14ac:dyDescent="0.25">
      <c r="A794" t="s">
        <v>736</v>
      </c>
      <c r="B794" t="s">
        <v>13</v>
      </c>
      <c r="C794">
        <v>6</v>
      </c>
      <c r="D794">
        <v>6</v>
      </c>
      <c r="E794" t="s">
        <v>17</v>
      </c>
      <c r="F794">
        <v>20.5</v>
      </c>
      <c r="G794">
        <v>16.329999999999998</v>
      </c>
      <c r="H794" t="s">
        <v>17</v>
      </c>
      <c r="I794" t="str">
        <f>"060450000412"</f>
        <v>060450000412</v>
      </c>
    </row>
    <row r="795" spans="1:9" x14ac:dyDescent="0.25">
      <c r="A795" t="s">
        <v>737</v>
      </c>
      <c r="B795" t="s">
        <v>13</v>
      </c>
      <c r="C795" t="str">
        <f>"0.50"</f>
        <v>0.50</v>
      </c>
      <c r="D795" t="str">
        <f>"0.50"</f>
        <v>0.50</v>
      </c>
      <c r="E795" t="s">
        <v>17</v>
      </c>
      <c r="F795">
        <v>10</v>
      </c>
      <c r="G795">
        <v>8</v>
      </c>
      <c r="H795" t="s">
        <v>17</v>
      </c>
      <c r="I795" t="str">
        <f>"060450007906"</f>
        <v>060450007906</v>
      </c>
    </row>
    <row r="796" spans="1:9" x14ac:dyDescent="0.25">
      <c r="A796" t="s">
        <v>738</v>
      </c>
      <c r="B796" t="s">
        <v>13</v>
      </c>
      <c r="C796">
        <v>27.5</v>
      </c>
      <c r="D796">
        <v>35.1</v>
      </c>
      <c r="E796" t="s">
        <v>17</v>
      </c>
      <c r="F796">
        <v>25.75</v>
      </c>
      <c r="G796">
        <v>24.42</v>
      </c>
      <c r="H796" t="s">
        <v>17</v>
      </c>
      <c r="I796" t="str">
        <f>"060342000257"</f>
        <v>060342000257</v>
      </c>
    </row>
    <row r="797" spans="1:9" x14ac:dyDescent="0.25">
      <c r="A797" t="s">
        <v>738</v>
      </c>
      <c r="B797" t="s">
        <v>13</v>
      </c>
      <c r="C797">
        <v>19.2</v>
      </c>
      <c r="D797">
        <v>23.4</v>
      </c>
      <c r="E797" t="s">
        <v>17</v>
      </c>
      <c r="F797">
        <v>21.61</v>
      </c>
      <c r="G797">
        <v>18.55</v>
      </c>
      <c r="H797" t="s">
        <v>17</v>
      </c>
      <c r="I797" t="str">
        <f>"060438000393"</f>
        <v>060438000393</v>
      </c>
    </row>
    <row r="798" spans="1:9" x14ac:dyDescent="0.25">
      <c r="A798" t="s">
        <v>739</v>
      </c>
      <c r="B798" t="s">
        <v>13</v>
      </c>
      <c r="C798">
        <v>7.5</v>
      </c>
      <c r="D798" t="s">
        <v>14</v>
      </c>
      <c r="E798" t="s">
        <v>14</v>
      </c>
      <c r="F798">
        <v>23.87</v>
      </c>
      <c r="G798" t="s">
        <v>14</v>
      </c>
      <c r="H798" t="s">
        <v>14</v>
      </c>
      <c r="I798" t="str">
        <f>"060342013051"</f>
        <v>060342013051</v>
      </c>
    </row>
    <row r="799" spans="1:9" x14ac:dyDescent="0.25">
      <c r="A799" t="s">
        <v>740</v>
      </c>
      <c r="B799" t="s">
        <v>13</v>
      </c>
      <c r="C799">
        <v>9</v>
      </c>
      <c r="D799">
        <v>9</v>
      </c>
      <c r="E799" t="s">
        <v>17</v>
      </c>
      <c r="F799">
        <v>16.22</v>
      </c>
      <c r="G799">
        <v>16.22</v>
      </c>
      <c r="H799" t="s">
        <v>17</v>
      </c>
      <c r="I799" t="str">
        <f>"063480005868"</f>
        <v>063480005868</v>
      </c>
    </row>
    <row r="800" spans="1:9" x14ac:dyDescent="0.25">
      <c r="A800" t="s">
        <v>741</v>
      </c>
      <c r="B800" t="s">
        <v>13</v>
      </c>
      <c r="C800" t="s">
        <v>14</v>
      </c>
      <c r="D800">
        <v>2</v>
      </c>
      <c r="E800" t="s">
        <v>17</v>
      </c>
      <c r="F800" t="s">
        <v>17</v>
      </c>
      <c r="G800" t="s">
        <v>17</v>
      </c>
      <c r="H800" t="s">
        <v>17</v>
      </c>
      <c r="I800" t="str">
        <f>"060444012600"</f>
        <v>060444012600</v>
      </c>
    </row>
    <row r="801" spans="1:9" x14ac:dyDescent="0.25">
      <c r="A801" t="s">
        <v>742</v>
      </c>
      <c r="B801" t="s">
        <v>13</v>
      </c>
      <c r="C801">
        <v>4</v>
      </c>
      <c r="D801">
        <v>3</v>
      </c>
      <c r="E801" t="s">
        <v>17</v>
      </c>
      <c r="F801">
        <v>11.75</v>
      </c>
      <c r="G801">
        <v>14</v>
      </c>
      <c r="H801" t="s">
        <v>17</v>
      </c>
      <c r="I801" t="str">
        <f>"060444005832"</f>
        <v>060444005832</v>
      </c>
    </row>
    <row r="802" spans="1:9" x14ac:dyDescent="0.25">
      <c r="A802" t="s">
        <v>743</v>
      </c>
      <c r="B802" t="s">
        <v>13</v>
      </c>
      <c r="C802">
        <v>119.85</v>
      </c>
      <c r="D802">
        <v>123.25</v>
      </c>
      <c r="E802" t="s">
        <v>17</v>
      </c>
      <c r="F802">
        <v>24.53</v>
      </c>
      <c r="G802">
        <v>23.63</v>
      </c>
      <c r="H802" t="s">
        <v>17</v>
      </c>
      <c r="I802" t="str">
        <f>"060444000396"</f>
        <v>060444000396</v>
      </c>
    </row>
    <row r="803" spans="1:9" x14ac:dyDescent="0.25">
      <c r="A803" t="s">
        <v>744</v>
      </c>
      <c r="B803" t="s">
        <v>13</v>
      </c>
      <c r="C803">
        <v>23</v>
      </c>
      <c r="D803">
        <v>7</v>
      </c>
      <c r="E803" t="s">
        <v>17</v>
      </c>
      <c r="F803">
        <v>23.87</v>
      </c>
      <c r="G803">
        <v>23</v>
      </c>
      <c r="H803" t="s">
        <v>17</v>
      </c>
      <c r="I803" t="str">
        <f>"062271010854"</f>
        <v>062271010854</v>
      </c>
    </row>
    <row r="804" spans="1:9" x14ac:dyDescent="0.25">
      <c r="A804" t="s">
        <v>745</v>
      </c>
      <c r="B804" t="s">
        <v>13</v>
      </c>
      <c r="C804">
        <v>54.33</v>
      </c>
      <c r="D804">
        <v>76.069999999999993</v>
      </c>
      <c r="E804" t="s">
        <v>17</v>
      </c>
      <c r="F804">
        <v>18.77</v>
      </c>
      <c r="G804">
        <v>15.93</v>
      </c>
      <c r="H804" t="s">
        <v>17</v>
      </c>
      <c r="I804" t="str">
        <f>"062271007751"</f>
        <v>062271007751</v>
      </c>
    </row>
    <row r="805" spans="1:9" x14ac:dyDescent="0.25">
      <c r="A805" t="s">
        <v>746</v>
      </c>
      <c r="B805" t="s">
        <v>13</v>
      </c>
      <c r="C805">
        <v>12.5</v>
      </c>
      <c r="D805">
        <v>15.01</v>
      </c>
      <c r="E805" t="s">
        <v>17</v>
      </c>
      <c r="F805">
        <v>20.96</v>
      </c>
      <c r="G805">
        <v>17.850000000000001</v>
      </c>
      <c r="H805" t="s">
        <v>17</v>
      </c>
      <c r="I805" t="str">
        <f>"062271012335"</f>
        <v>062271012335</v>
      </c>
    </row>
    <row r="806" spans="1:9" x14ac:dyDescent="0.25">
      <c r="A806" t="s">
        <v>747</v>
      </c>
      <c r="B806" t="s">
        <v>13</v>
      </c>
      <c r="C806">
        <v>3</v>
      </c>
      <c r="D806">
        <v>3</v>
      </c>
      <c r="E806" t="s">
        <v>17</v>
      </c>
      <c r="F806">
        <v>10.67</v>
      </c>
      <c r="G806">
        <v>10.67</v>
      </c>
      <c r="H806" t="s">
        <v>17</v>
      </c>
      <c r="I806" t="str">
        <f>"060456000420"</f>
        <v>060456000420</v>
      </c>
    </row>
    <row r="807" spans="1:9" x14ac:dyDescent="0.25">
      <c r="A807" t="s">
        <v>748</v>
      </c>
      <c r="B807" t="s">
        <v>13</v>
      </c>
      <c r="C807">
        <v>20</v>
      </c>
      <c r="D807">
        <v>25.8</v>
      </c>
      <c r="E807" t="s">
        <v>17</v>
      </c>
      <c r="F807">
        <v>29.4</v>
      </c>
      <c r="G807">
        <v>23.1</v>
      </c>
      <c r="H807" t="s">
        <v>17</v>
      </c>
      <c r="I807" t="str">
        <f>"060285000209"</f>
        <v>060285000209</v>
      </c>
    </row>
    <row r="808" spans="1:9" x14ac:dyDescent="0.25">
      <c r="A808" t="s">
        <v>749</v>
      </c>
      <c r="B808" t="s">
        <v>13</v>
      </c>
      <c r="C808">
        <v>21</v>
      </c>
      <c r="D808">
        <v>22</v>
      </c>
      <c r="E808" t="s">
        <v>17</v>
      </c>
      <c r="F808">
        <v>31.19</v>
      </c>
      <c r="G808">
        <v>29.77</v>
      </c>
      <c r="H808" t="s">
        <v>17</v>
      </c>
      <c r="I808" t="str">
        <f>"063417005348"</f>
        <v>063417005348</v>
      </c>
    </row>
    <row r="809" spans="1:9" x14ac:dyDescent="0.25">
      <c r="A809" t="s">
        <v>749</v>
      </c>
      <c r="B809" t="s">
        <v>13</v>
      </c>
      <c r="C809">
        <v>38</v>
      </c>
      <c r="D809">
        <v>38.5</v>
      </c>
      <c r="E809" t="s">
        <v>17</v>
      </c>
      <c r="F809">
        <v>23.82</v>
      </c>
      <c r="G809">
        <v>23.79</v>
      </c>
      <c r="H809" t="s">
        <v>17</v>
      </c>
      <c r="I809" t="str">
        <f>"062271002848"</f>
        <v>062271002848</v>
      </c>
    </row>
    <row r="810" spans="1:9" x14ac:dyDescent="0.25">
      <c r="A810" t="s">
        <v>750</v>
      </c>
      <c r="B810" t="s">
        <v>13</v>
      </c>
      <c r="C810">
        <v>75.33</v>
      </c>
      <c r="D810">
        <v>86.53</v>
      </c>
      <c r="E810" t="s">
        <v>17</v>
      </c>
      <c r="F810">
        <v>18.39</v>
      </c>
      <c r="G810">
        <v>17.45</v>
      </c>
      <c r="H810" t="s">
        <v>17</v>
      </c>
      <c r="I810" t="str">
        <f>"062271002850"</f>
        <v>062271002850</v>
      </c>
    </row>
    <row r="811" spans="1:9" x14ac:dyDescent="0.25">
      <c r="A811" t="s">
        <v>751</v>
      </c>
      <c r="B811" t="s">
        <v>13</v>
      </c>
      <c r="C811">
        <v>25.43</v>
      </c>
      <c r="D811">
        <v>25.43</v>
      </c>
      <c r="E811" t="s">
        <v>17</v>
      </c>
      <c r="F811">
        <v>26.46</v>
      </c>
      <c r="G811">
        <v>26.43</v>
      </c>
      <c r="H811" t="s">
        <v>17</v>
      </c>
      <c r="I811" t="str">
        <f>"063237004986"</f>
        <v>063237004986</v>
      </c>
    </row>
    <row r="812" spans="1:9" x14ac:dyDescent="0.25">
      <c r="A812" t="s">
        <v>752</v>
      </c>
      <c r="B812" t="s">
        <v>13</v>
      </c>
      <c r="C812">
        <v>42</v>
      </c>
      <c r="D812">
        <v>42</v>
      </c>
      <c r="E812" t="s">
        <v>17</v>
      </c>
      <c r="F812">
        <v>22.31</v>
      </c>
      <c r="G812">
        <v>22.57</v>
      </c>
      <c r="H812" t="s">
        <v>17</v>
      </c>
      <c r="I812" t="str">
        <f>"061821002240"</f>
        <v>061821002240</v>
      </c>
    </row>
    <row r="813" spans="1:9" x14ac:dyDescent="0.25">
      <c r="A813" t="s">
        <v>753</v>
      </c>
      <c r="B813" t="s">
        <v>13</v>
      </c>
      <c r="C813">
        <v>20.6</v>
      </c>
      <c r="D813">
        <v>23.6</v>
      </c>
      <c r="E813" t="s">
        <v>17</v>
      </c>
      <c r="F813">
        <v>24.47</v>
      </c>
      <c r="G813">
        <v>23.86</v>
      </c>
      <c r="H813" t="s">
        <v>17</v>
      </c>
      <c r="I813" t="str">
        <f>"061005001088"</f>
        <v>061005001088</v>
      </c>
    </row>
    <row r="814" spans="1:9" x14ac:dyDescent="0.25">
      <c r="A814" t="s">
        <v>754</v>
      </c>
      <c r="B814" t="s">
        <v>13</v>
      </c>
      <c r="C814">
        <v>25.03</v>
      </c>
      <c r="D814">
        <v>25.85</v>
      </c>
      <c r="E814" t="s">
        <v>17</v>
      </c>
      <c r="F814">
        <v>19.62</v>
      </c>
      <c r="G814">
        <v>20.04</v>
      </c>
      <c r="H814" t="s">
        <v>17</v>
      </c>
      <c r="I814" t="str">
        <f>"060231008782"</f>
        <v>060231008782</v>
      </c>
    </row>
    <row r="815" spans="1:9" x14ac:dyDescent="0.25">
      <c r="A815" t="s">
        <v>755</v>
      </c>
      <c r="B815" t="s">
        <v>13</v>
      </c>
      <c r="C815">
        <v>22.6</v>
      </c>
      <c r="D815">
        <v>24</v>
      </c>
      <c r="E815" t="s">
        <v>17</v>
      </c>
      <c r="F815">
        <v>22.26</v>
      </c>
      <c r="G815">
        <v>21.42</v>
      </c>
      <c r="H815" t="s">
        <v>17</v>
      </c>
      <c r="I815" t="str">
        <f>"063432005570"</f>
        <v>063432005570</v>
      </c>
    </row>
    <row r="816" spans="1:9" x14ac:dyDescent="0.25">
      <c r="A816" t="s">
        <v>756</v>
      </c>
      <c r="B816" t="s">
        <v>13</v>
      </c>
      <c r="C816" t="s">
        <v>14</v>
      </c>
      <c r="D816">
        <v>2.04</v>
      </c>
      <c r="E816" t="s">
        <v>17</v>
      </c>
      <c r="F816" t="s">
        <v>14</v>
      </c>
      <c r="G816">
        <v>22.06</v>
      </c>
      <c r="H816" t="s">
        <v>17</v>
      </c>
      <c r="I816" t="str">
        <f>"060459000421"</f>
        <v>060459000421</v>
      </c>
    </row>
    <row r="817" spans="1:9" x14ac:dyDescent="0.25">
      <c r="A817" t="s">
        <v>756</v>
      </c>
      <c r="B817" t="s">
        <v>13</v>
      </c>
      <c r="C817" t="s">
        <v>17</v>
      </c>
      <c r="D817" t="s">
        <v>14</v>
      </c>
      <c r="E817" t="s">
        <v>14</v>
      </c>
      <c r="F817" t="s">
        <v>17</v>
      </c>
      <c r="G817" t="s">
        <v>14</v>
      </c>
      <c r="H817" t="s">
        <v>14</v>
      </c>
      <c r="I817" t="str">
        <f>"061317000421"</f>
        <v>061317000421</v>
      </c>
    </row>
    <row r="818" spans="1:9" x14ac:dyDescent="0.25">
      <c r="A818" t="s">
        <v>757</v>
      </c>
      <c r="B818" t="s">
        <v>13</v>
      </c>
      <c r="C818">
        <v>75.599999999999994</v>
      </c>
      <c r="D818">
        <v>71.599999999999994</v>
      </c>
      <c r="E818" t="s">
        <v>17</v>
      </c>
      <c r="F818">
        <v>21.69</v>
      </c>
      <c r="G818">
        <v>23.06</v>
      </c>
      <c r="H818" t="s">
        <v>17</v>
      </c>
      <c r="I818" t="str">
        <f>"060462000422"</f>
        <v>060462000422</v>
      </c>
    </row>
    <row r="819" spans="1:9" x14ac:dyDescent="0.25">
      <c r="A819" t="s">
        <v>758</v>
      </c>
      <c r="B819" t="s">
        <v>13</v>
      </c>
      <c r="C819">
        <v>51.2</v>
      </c>
      <c r="D819">
        <v>51.2</v>
      </c>
      <c r="E819" t="s">
        <v>17</v>
      </c>
      <c r="F819">
        <v>23.3</v>
      </c>
      <c r="G819">
        <v>22.85</v>
      </c>
      <c r="H819" t="s">
        <v>17</v>
      </c>
      <c r="I819" t="str">
        <f>"060462000423"</f>
        <v>060462000423</v>
      </c>
    </row>
    <row r="820" spans="1:9" x14ac:dyDescent="0.25">
      <c r="A820" t="s">
        <v>759</v>
      </c>
      <c r="B820" t="s">
        <v>13</v>
      </c>
      <c r="C820">
        <v>32</v>
      </c>
      <c r="D820">
        <v>32.04</v>
      </c>
      <c r="E820" t="s">
        <v>17</v>
      </c>
      <c r="F820">
        <v>9.66</v>
      </c>
      <c r="G820">
        <v>9.68</v>
      </c>
      <c r="H820" t="s">
        <v>17</v>
      </c>
      <c r="I820" t="str">
        <f>"062271007750"</f>
        <v>062271007750</v>
      </c>
    </row>
    <row r="821" spans="1:9" x14ac:dyDescent="0.25">
      <c r="A821" t="s">
        <v>760</v>
      </c>
      <c r="B821" t="s">
        <v>13</v>
      </c>
      <c r="C821">
        <v>25.27</v>
      </c>
      <c r="D821">
        <v>23.6</v>
      </c>
      <c r="E821" t="s">
        <v>17</v>
      </c>
      <c r="F821">
        <v>22.99</v>
      </c>
      <c r="G821">
        <v>24.66</v>
      </c>
      <c r="H821" t="s">
        <v>17</v>
      </c>
      <c r="I821" t="str">
        <f>"062628003922"</f>
        <v>062628003922</v>
      </c>
    </row>
    <row r="822" spans="1:9" x14ac:dyDescent="0.25">
      <c r="A822" t="s">
        <v>761</v>
      </c>
      <c r="B822" t="s">
        <v>13</v>
      </c>
      <c r="C822">
        <v>22.1</v>
      </c>
      <c r="D822">
        <v>23</v>
      </c>
      <c r="E822" t="s">
        <v>17</v>
      </c>
      <c r="F822">
        <v>31.67</v>
      </c>
      <c r="G822">
        <v>29.09</v>
      </c>
      <c r="H822" t="s">
        <v>17</v>
      </c>
      <c r="I822" t="str">
        <f>"064015009001"</f>
        <v>064015009001</v>
      </c>
    </row>
    <row r="823" spans="1:9" x14ac:dyDescent="0.25">
      <c r="A823" t="s">
        <v>762</v>
      </c>
      <c r="B823" t="s">
        <v>13</v>
      </c>
      <c r="C823">
        <v>6.2</v>
      </c>
      <c r="D823">
        <v>7.2</v>
      </c>
      <c r="E823" t="s">
        <v>17</v>
      </c>
      <c r="F823">
        <v>20.65</v>
      </c>
      <c r="G823">
        <v>19.440000000000001</v>
      </c>
      <c r="H823" t="s">
        <v>17</v>
      </c>
      <c r="I823" t="str">
        <f>"060528000498"</f>
        <v>060528000498</v>
      </c>
    </row>
    <row r="824" spans="1:9" x14ac:dyDescent="0.25">
      <c r="A824" t="s">
        <v>763</v>
      </c>
      <c r="B824" t="s">
        <v>13</v>
      </c>
      <c r="C824">
        <v>31.17</v>
      </c>
      <c r="D824">
        <v>31.13</v>
      </c>
      <c r="E824" t="s">
        <v>17</v>
      </c>
      <c r="F824">
        <v>27.4</v>
      </c>
      <c r="G824">
        <v>26.34</v>
      </c>
      <c r="H824" t="s">
        <v>17</v>
      </c>
      <c r="I824" t="str">
        <f>"063315010030"</f>
        <v>063315010030</v>
      </c>
    </row>
    <row r="825" spans="1:9" x14ac:dyDescent="0.25">
      <c r="A825" t="s">
        <v>763</v>
      </c>
      <c r="B825" t="s">
        <v>13</v>
      </c>
      <c r="C825">
        <v>30.5</v>
      </c>
      <c r="D825">
        <v>30.5</v>
      </c>
      <c r="E825" t="s">
        <v>17</v>
      </c>
      <c r="F825">
        <v>27.11</v>
      </c>
      <c r="G825">
        <v>26.03</v>
      </c>
      <c r="H825" t="s">
        <v>17</v>
      </c>
      <c r="I825" t="str">
        <f>"060985008262"</f>
        <v>060985008262</v>
      </c>
    </row>
    <row r="826" spans="1:9" x14ac:dyDescent="0.25">
      <c r="A826" t="s">
        <v>763</v>
      </c>
      <c r="B826" t="s">
        <v>13</v>
      </c>
      <c r="C826">
        <v>22</v>
      </c>
      <c r="D826">
        <v>24</v>
      </c>
      <c r="E826" t="s">
        <v>17</v>
      </c>
      <c r="F826">
        <v>25.95</v>
      </c>
      <c r="G826">
        <v>25.71</v>
      </c>
      <c r="H826" t="s">
        <v>17</v>
      </c>
      <c r="I826" t="str">
        <f>"061111011016"</f>
        <v>061111011016</v>
      </c>
    </row>
    <row r="827" spans="1:9" x14ac:dyDescent="0.25">
      <c r="A827" t="s">
        <v>763</v>
      </c>
      <c r="B827" t="s">
        <v>13</v>
      </c>
      <c r="C827">
        <v>24</v>
      </c>
      <c r="D827">
        <v>22</v>
      </c>
      <c r="E827" t="s">
        <v>17</v>
      </c>
      <c r="F827">
        <v>22.75</v>
      </c>
      <c r="G827">
        <v>22.23</v>
      </c>
      <c r="H827" t="s">
        <v>17</v>
      </c>
      <c r="I827" t="str">
        <f>"061524001928"</f>
        <v>061524001928</v>
      </c>
    </row>
    <row r="828" spans="1:9" x14ac:dyDescent="0.25">
      <c r="A828" t="s">
        <v>764</v>
      </c>
      <c r="B828" t="s">
        <v>13</v>
      </c>
      <c r="C828">
        <v>27.33</v>
      </c>
      <c r="D828">
        <v>25.34</v>
      </c>
      <c r="E828" t="s">
        <v>17</v>
      </c>
      <c r="F828">
        <v>22.83</v>
      </c>
      <c r="G828">
        <v>23.24</v>
      </c>
      <c r="H828" t="s">
        <v>17</v>
      </c>
      <c r="I828" t="str">
        <f>"061887002278"</f>
        <v>061887002278</v>
      </c>
    </row>
    <row r="829" spans="1:9" x14ac:dyDescent="0.25">
      <c r="A829" t="s">
        <v>765</v>
      </c>
      <c r="B829" t="s">
        <v>13</v>
      </c>
      <c r="C829">
        <v>69.34</v>
      </c>
      <c r="D829">
        <v>79.56</v>
      </c>
      <c r="E829" t="s">
        <v>17</v>
      </c>
      <c r="F829">
        <v>24.26</v>
      </c>
      <c r="G829">
        <v>23.4</v>
      </c>
      <c r="H829" t="s">
        <v>17</v>
      </c>
      <c r="I829" t="str">
        <f>"062271003021"</f>
        <v>062271003021</v>
      </c>
    </row>
    <row r="830" spans="1:9" x14ac:dyDescent="0.25">
      <c r="A830" t="s">
        <v>766</v>
      </c>
      <c r="B830" t="s">
        <v>13</v>
      </c>
      <c r="C830">
        <v>21</v>
      </c>
      <c r="D830">
        <v>24</v>
      </c>
      <c r="E830" t="s">
        <v>17</v>
      </c>
      <c r="F830">
        <v>30.14</v>
      </c>
      <c r="G830">
        <v>30.63</v>
      </c>
      <c r="H830" t="s">
        <v>17</v>
      </c>
      <c r="I830" t="str">
        <f>"061839002247"</f>
        <v>061839002247</v>
      </c>
    </row>
    <row r="831" spans="1:9" x14ac:dyDescent="0.25">
      <c r="A831" t="s">
        <v>767</v>
      </c>
      <c r="B831" t="s">
        <v>13</v>
      </c>
      <c r="C831">
        <v>28</v>
      </c>
      <c r="D831">
        <v>29.5</v>
      </c>
      <c r="E831" t="s">
        <v>17</v>
      </c>
      <c r="F831">
        <v>28.54</v>
      </c>
      <c r="G831">
        <v>28.17</v>
      </c>
      <c r="H831" t="s">
        <v>17</v>
      </c>
      <c r="I831" t="str">
        <f>"062334008894"</f>
        <v>062334008894</v>
      </c>
    </row>
    <row r="832" spans="1:9" x14ac:dyDescent="0.25">
      <c r="A832" t="s">
        <v>768</v>
      </c>
      <c r="B832" t="s">
        <v>13</v>
      </c>
      <c r="C832">
        <v>54.83</v>
      </c>
      <c r="D832">
        <v>55.03</v>
      </c>
      <c r="E832" t="s">
        <v>17</v>
      </c>
      <c r="F832">
        <v>18.88</v>
      </c>
      <c r="G832">
        <v>21.35</v>
      </c>
      <c r="H832" t="s">
        <v>17</v>
      </c>
      <c r="I832" t="str">
        <f>"062271002853"</f>
        <v>062271002853</v>
      </c>
    </row>
    <row r="833" spans="1:9" x14ac:dyDescent="0.25">
      <c r="A833" t="s">
        <v>769</v>
      </c>
      <c r="B833" t="s">
        <v>13</v>
      </c>
      <c r="C833">
        <v>39.869999999999997</v>
      </c>
      <c r="D833">
        <v>51.2</v>
      </c>
      <c r="E833" t="s">
        <v>17</v>
      </c>
      <c r="F833">
        <v>7.2</v>
      </c>
      <c r="G833">
        <v>6.05</v>
      </c>
      <c r="H833" t="s">
        <v>17</v>
      </c>
      <c r="I833" t="str">
        <f>"062271007753"</f>
        <v>062271007753</v>
      </c>
    </row>
    <row r="834" spans="1:9" x14ac:dyDescent="0.25">
      <c r="A834" t="s">
        <v>770</v>
      </c>
      <c r="B834" t="s">
        <v>13</v>
      </c>
      <c r="C834">
        <v>12</v>
      </c>
      <c r="D834">
        <v>10.5</v>
      </c>
      <c r="E834" t="s">
        <v>17</v>
      </c>
      <c r="F834">
        <v>22.58</v>
      </c>
      <c r="G834">
        <v>25.62</v>
      </c>
      <c r="H834" t="s">
        <v>17</v>
      </c>
      <c r="I834" t="str">
        <f>"063492007781"</f>
        <v>063492007781</v>
      </c>
    </row>
    <row r="835" spans="1:9" x14ac:dyDescent="0.25">
      <c r="A835" t="s">
        <v>771</v>
      </c>
      <c r="B835" t="s">
        <v>13</v>
      </c>
      <c r="C835">
        <v>19</v>
      </c>
      <c r="D835">
        <v>18.899999999999999</v>
      </c>
      <c r="E835" t="s">
        <v>17</v>
      </c>
      <c r="F835">
        <v>21.26</v>
      </c>
      <c r="G835">
        <v>21.8</v>
      </c>
      <c r="H835" t="s">
        <v>17</v>
      </c>
      <c r="I835" t="str">
        <f>"060474000431"</f>
        <v>060474000431</v>
      </c>
    </row>
    <row r="836" spans="1:9" x14ac:dyDescent="0.25">
      <c r="A836" t="s">
        <v>772</v>
      </c>
      <c r="B836" t="s">
        <v>13</v>
      </c>
      <c r="C836">
        <v>162.41</v>
      </c>
      <c r="D836">
        <v>170.5</v>
      </c>
      <c r="E836" t="s">
        <v>17</v>
      </c>
      <c r="F836">
        <v>19.559999999999999</v>
      </c>
      <c r="G836">
        <v>18.8</v>
      </c>
      <c r="H836" t="s">
        <v>17</v>
      </c>
      <c r="I836" t="str">
        <f>"060474000432"</f>
        <v>060474000432</v>
      </c>
    </row>
    <row r="837" spans="1:9" x14ac:dyDescent="0.25">
      <c r="A837" t="s">
        <v>773</v>
      </c>
      <c r="B837" t="s">
        <v>13</v>
      </c>
      <c r="C837" t="s">
        <v>17</v>
      </c>
      <c r="D837" t="s">
        <v>17</v>
      </c>
      <c r="E837" t="s">
        <v>14</v>
      </c>
      <c r="F837" t="s">
        <v>17</v>
      </c>
      <c r="G837" t="s">
        <v>17</v>
      </c>
      <c r="H837" t="s">
        <v>14</v>
      </c>
      <c r="I837" t="str">
        <f>"060474012843"</f>
        <v>060474012843</v>
      </c>
    </row>
    <row r="838" spans="1:9" x14ac:dyDescent="0.25">
      <c r="A838" t="s">
        <v>774</v>
      </c>
      <c r="B838" t="s">
        <v>13</v>
      </c>
      <c r="C838">
        <v>10.8</v>
      </c>
      <c r="D838">
        <v>9.8000000000000007</v>
      </c>
      <c r="E838" t="s">
        <v>17</v>
      </c>
      <c r="F838">
        <v>10.46</v>
      </c>
      <c r="G838">
        <v>13.88</v>
      </c>
      <c r="H838" t="s">
        <v>17</v>
      </c>
      <c r="I838" t="str">
        <f>"060474011300"</f>
        <v>060474011300</v>
      </c>
    </row>
    <row r="839" spans="1:9" x14ac:dyDescent="0.25">
      <c r="A839" t="s">
        <v>775</v>
      </c>
      <c r="B839" t="s">
        <v>13</v>
      </c>
      <c r="C839">
        <v>34.630000000000003</v>
      </c>
      <c r="D839">
        <v>30.54</v>
      </c>
      <c r="E839" t="s">
        <v>17</v>
      </c>
      <c r="F839">
        <v>29.48</v>
      </c>
      <c r="G839">
        <v>33.46</v>
      </c>
      <c r="H839" t="s">
        <v>17</v>
      </c>
      <c r="I839" t="str">
        <f>"060639010503"</f>
        <v>060639010503</v>
      </c>
    </row>
    <row r="840" spans="1:9" x14ac:dyDescent="0.25">
      <c r="A840" t="s">
        <v>776</v>
      </c>
      <c r="B840" t="s">
        <v>13</v>
      </c>
      <c r="C840">
        <v>35.1</v>
      </c>
      <c r="D840">
        <v>36</v>
      </c>
      <c r="E840" t="s">
        <v>17</v>
      </c>
      <c r="F840">
        <v>20.309999999999999</v>
      </c>
      <c r="G840">
        <v>20.329999999999998</v>
      </c>
      <c r="H840" t="s">
        <v>17</v>
      </c>
      <c r="I840" t="str">
        <f>"062847004388"</f>
        <v>062847004388</v>
      </c>
    </row>
    <row r="841" spans="1:9" x14ac:dyDescent="0.25">
      <c r="A841" t="s">
        <v>777</v>
      </c>
      <c r="B841" t="s">
        <v>13</v>
      </c>
      <c r="C841">
        <v>37.799999999999997</v>
      </c>
      <c r="D841">
        <v>39</v>
      </c>
      <c r="E841" t="s">
        <v>17</v>
      </c>
      <c r="F841">
        <v>21.67</v>
      </c>
      <c r="G841">
        <v>21.28</v>
      </c>
      <c r="H841" t="s">
        <v>17</v>
      </c>
      <c r="I841" t="str">
        <f>"062781004205"</f>
        <v>062781004205</v>
      </c>
    </row>
    <row r="842" spans="1:9" x14ac:dyDescent="0.25">
      <c r="A842" t="s">
        <v>778</v>
      </c>
      <c r="B842" t="s">
        <v>13</v>
      </c>
      <c r="C842">
        <v>18.23</v>
      </c>
      <c r="D842">
        <v>16.739999999999998</v>
      </c>
      <c r="E842" t="s">
        <v>17</v>
      </c>
      <c r="F842">
        <v>25.56</v>
      </c>
      <c r="G842">
        <v>26.05</v>
      </c>
      <c r="H842" t="s">
        <v>17</v>
      </c>
      <c r="I842" t="str">
        <f>"061269009536"</f>
        <v>061269009536</v>
      </c>
    </row>
    <row r="843" spans="1:9" x14ac:dyDescent="0.25">
      <c r="A843" t="s">
        <v>779</v>
      </c>
      <c r="B843" t="s">
        <v>13</v>
      </c>
      <c r="C843">
        <v>23</v>
      </c>
      <c r="D843">
        <v>24</v>
      </c>
      <c r="E843" t="s">
        <v>17</v>
      </c>
      <c r="F843">
        <v>25.3</v>
      </c>
      <c r="G843">
        <v>24.17</v>
      </c>
      <c r="H843" t="s">
        <v>17</v>
      </c>
      <c r="I843" t="str">
        <f>"061288011131"</f>
        <v>061288011131</v>
      </c>
    </row>
    <row r="844" spans="1:9" x14ac:dyDescent="0.25">
      <c r="A844" t="s">
        <v>780</v>
      </c>
      <c r="B844" t="s">
        <v>13</v>
      </c>
      <c r="C844">
        <v>46.9</v>
      </c>
      <c r="D844">
        <v>47.25</v>
      </c>
      <c r="E844" t="s">
        <v>17</v>
      </c>
      <c r="F844">
        <v>29.68</v>
      </c>
      <c r="G844">
        <v>29.12</v>
      </c>
      <c r="H844" t="s">
        <v>17</v>
      </c>
      <c r="I844" t="str">
        <f>"063153009425"</f>
        <v>063153009425</v>
      </c>
    </row>
    <row r="845" spans="1:9" x14ac:dyDescent="0.25">
      <c r="A845" t="s">
        <v>781</v>
      </c>
      <c r="B845" t="s">
        <v>13</v>
      </c>
      <c r="C845">
        <v>28.69</v>
      </c>
      <c r="D845">
        <v>28.31</v>
      </c>
      <c r="E845" t="s">
        <v>17</v>
      </c>
      <c r="F845">
        <v>26.66</v>
      </c>
      <c r="G845">
        <v>27.09</v>
      </c>
      <c r="H845" t="s">
        <v>17</v>
      </c>
      <c r="I845" t="str">
        <f>"063066004777"</f>
        <v>063066004777</v>
      </c>
    </row>
    <row r="846" spans="1:9" x14ac:dyDescent="0.25">
      <c r="A846" t="s">
        <v>782</v>
      </c>
      <c r="B846" t="s">
        <v>13</v>
      </c>
      <c r="C846">
        <v>16</v>
      </c>
      <c r="D846">
        <v>17</v>
      </c>
      <c r="E846" t="s">
        <v>17</v>
      </c>
      <c r="F846">
        <v>29.81</v>
      </c>
      <c r="G846">
        <v>31</v>
      </c>
      <c r="H846" t="s">
        <v>17</v>
      </c>
      <c r="I846" t="str">
        <f>"060003304680"</f>
        <v>060003304680</v>
      </c>
    </row>
    <row r="847" spans="1:9" x14ac:dyDescent="0.25">
      <c r="A847" t="s">
        <v>783</v>
      </c>
      <c r="B847" t="s">
        <v>13</v>
      </c>
      <c r="C847">
        <v>32.9</v>
      </c>
      <c r="D847">
        <v>34.4</v>
      </c>
      <c r="E847" t="s">
        <v>17</v>
      </c>
      <c r="F847">
        <v>27.29</v>
      </c>
      <c r="G847">
        <v>25.7</v>
      </c>
      <c r="H847" t="s">
        <v>17</v>
      </c>
      <c r="I847" t="str">
        <f>"060744007587"</f>
        <v>060744007587</v>
      </c>
    </row>
    <row r="848" spans="1:9" x14ac:dyDescent="0.25">
      <c r="A848" t="s">
        <v>784</v>
      </c>
      <c r="B848" t="s">
        <v>13</v>
      </c>
      <c r="C848">
        <v>11</v>
      </c>
      <c r="D848">
        <v>10.83</v>
      </c>
      <c r="E848" t="s">
        <v>17</v>
      </c>
      <c r="F848">
        <v>19.18</v>
      </c>
      <c r="G848">
        <v>19.760000000000002</v>
      </c>
      <c r="H848" t="s">
        <v>17</v>
      </c>
      <c r="I848" t="str">
        <f>"060276000202"</f>
        <v>060276000202</v>
      </c>
    </row>
    <row r="849" spans="1:9" x14ac:dyDescent="0.25">
      <c r="A849" t="s">
        <v>785</v>
      </c>
      <c r="B849" t="s">
        <v>13</v>
      </c>
      <c r="C849">
        <v>3</v>
      </c>
      <c r="D849">
        <v>2.9</v>
      </c>
      <c r="E849" t="s">
        <v>17</v>
      </c>
      <c r="F849">
        <v>21.33</v>
      </c>
      <c r="G849">
        <v>20.69</v>
      </c>
      <c r="H849" t="s">
        <v>17</v>
      </c>
      <c r="I849" t="str">
        <f>"063052004742"</f>
        <v>063052004742</v>
      </c>
    </row>
    <row r="850" spans="1:9" x14ac:dyDescent="0.25">
      <c r="A850" t="s">
        <v>786</v>
      </c>
      <c r="B850" t="s">
        <v>13</v>
      </c>
      <c r="C850" t="str">
        <f>"0.50"</f>
        <v>0.50</v>
      </c>
      <c r="D850" t="str">
        <f>"0.50"</f>
        <v>0.50</v>
      </c>
      <c r="E850" t="s">
        <v>17</v>
      </c>
      <c r="F850">
        <v>12</v>
      </c>
      <c r="G850">
        <v>12</v>
      </c>
      <c r="H850" t="s">
        <v>17</v>
      </c>
      <c r="I850" t="str">
        <f>"060480010400"</f>
        <v>060480010400</v>
      </c>
    </row>
    <row r="851" spans="1:9" x14ac:dyDescent="0.25">
      <c r="A851" t="s">
        <v>787</v>
      </c>
      <c r="B851" t="s">
        <v>13</v>
      </c>
      <c r="C851">
        <v>13.5</v>
      </c>
      <c r="D851">
        <v>15</v>
      </c>
      <c r="E851" t="s">
        <v>17</v>
      </c>
      <c r="F851">
        <v>27.26</v>
      </c>
      <c r="G851">
        <v>24.93</v>
      </c>
      <c r="H851" t="s">
        <v>17</v>
      </c>
      <c r="I851" t="str">
        <f>"062271010852"</f>
        <v>062271010852</v>
      </c>
    </row>
    <row r="852" spans="1:9" x14ac:dyDescent="0.25">
      <c r="A852" t="s">
        <v>788</v>
      </c>
      <c r="B852" t="s">
        <v>13</v>
      </c>
      <c r="C852">
        <v>23.18</v>
      </c>
      <c r="D852">
        <v>22.68</v>
      </c>
      <c r="E852" t="s">
        <v>17</v>
      </c>
      <c r="F852">
        <v>32.01</v>
      </c>
      <c r="G852">
        <v>33.07</v>
      </c>
      <c r="H852" t="s">
        <v>17</v>
      </c>
      <c r="I852" t="str">
        <f>"063942006564"</f>
        <v>063942006564</v>
      </c>
    </row>
    <row r="853" spans="1:9" x14ac:dyDescent="0.25">
      <c r="A853" t="s">
        <v>789</v>
      </c>
      <c r="B853" t="s">
        <v>13</v>
      </c>
      <c r="C853">
        <v>17</v>
      </c>
      <c r="D853">
        <v>17</v>
      </c>
      <c r="E853" t="s">
        <v>17</v>
      </c>
      <c r="F853">
        <v>22.53</v>
      </c>
      <c r="G853">
        <v>23.47</v>
      </c>
      <c r="H853" t="s">
        <v>17</v>
      </c>
      <c r="I853" t="str">
        <f>"062271002855"</f>
        <v>062271002855</v>
      </c>
    </row>
    <row r="854" spans="1:9" x14ac:dyDescent="0.25">
      <c r="A854" t="s">
        <v>790</v>
      </c>
      <c r="B854" t="s">
        <v>13</v>
      </c>
      <c r="C854">
        <v>17</v>
      </c>
      <c r="D854">
        <v>17</v>
      </c>
      <c r="E854" t="s">
        <v>17</v>
      </c>
      <c r="F854">
        <v>27.65</v>
      </c>
      <c r="G854">
        <v>27.18</v>
      </c>
      <c r="H854" t="s">
        <v>17</v>
      </c>
      <c r="I854" t="str">
        <f>"060003204951"</f>
        <v>060003204951</v>
      </c>
    </row>
    <row r="855" spans="1:9" x14ac:dyDescent="0.25">
      <c r="A855" t="s">
        <v>791</v>
      </c>
      <c r="B855" t="s">
        <v>13</v>
      </c>
      <c r="C855">
        <v>21</v>
      </c>
      <c r="D855">
        <v>21.5</v>
      </c>
      <c r="E855" t="s">
        <v>17</v>
      </c>
      <c r="F855">
        <v>21.95</v>
      </c>
      <c r="G855">
        <v>22.23</v>
      </c>
      <c r="H855" t="s">
        <v>17</v>
      </c>
      <c r="I855" t="str">
        <f>"063684006250"</f>
        <v>063684006250</v>
      </c>
    </row>
    <row r="856" spans="1:9" x14ac:dyDescent="0.25">
      <c r="A856" t="s">
        <v>792</v>
      </c>
      <c r="B856" t="s">
        <v>13</v>
      </c>
      <c r="C856">
        <v>15</v>
      </c>
      <c r="D856">
        <v>15</v>
      </c>
      <c r="E856" t="s">
        <v>17</v>
      </c>
      <c r="F856">
        <v>18.53</v>
      </c>
      <c r="G856">
        <v>18.600000000000001</v>
      </c>
      <c r="H856" t="s">
        <v>17</v>
      </c>
      <c r="I856" t="str">
        <f>"061077001191"</f>
        <v>061077001191</v>
      </c>
    </row>
    <row r="857" spans="1:9" x14ac:dyDescent="0.25">
      <c r="A857" t="s">
        <v>793</v>
      </c>
      <c r="B857" t="s">
        <v>13</v>
      </c>
      <c r="C857">
        <v>29.3</v>
      </c>
      <c r="D857">
        <v>25.3</v>
      </c>
      <c r="E857" t="s">
        <v>17</v>
      </c>
      <c r="F857">
        <v>18.809999999999999</v>
      </c>
      <c r="G857">
        <v>20.99</v>
      </c>
      <c r="H857" t="s">
        <v>17</v>
      </c>
      <c r="I857" t="str">
        <f>"060363007992"</f>
        <v>060363007992</v>
      </c>
    </row>
    <row r="858" spans="1:9" x14ac:dyDescent="0.25">
      <c r="A858" t="s">
        <v>794</v>
      </c>
      <c r="B858" t="s">
        <v>13</v>
      </c>
      <c r="C858">
        <v>36.1</v>
      </c>
      <c r="D858">
        <v>34.76</v>
      </c>
      <c r="E858" t="s">
        <v>17</v>
      </c>
      <c r="F858">
        <v>19.25</v>
      </c>
      <c r="G858">
        <v>20.02</v>
      </c>
      <c r="H858" t="s">
        <v>17</v>
      </c>
      <c r="I858" t="str">
        <f>"060363000313"</f>
        <v>060363000313</v>
      </c>
    </row>
    <row r="859" spans="1:9" x14ac:dyDescent="0.25">
      <c r="A859" t="s">
        <v>795</v>
      </c>
      <c r="B859" t="s">
        <v>13</v>
      </c>
      <c r="C859" t="s">
        <v>14</v>
      </c>
      <c r="D859" t="s">
        <v>14</v>
      </c>
      <c r="E859" t="s">
        <v>17</v>
      </c>
      <c r="F859" t="s">
        <v>14</v>
      </c>
      <c r="G859" t="s">
        <v>14</v>
      </c>
      <c r="H859" t="s">
        <v>17</v>
      </c>
      <c r="I859" t="str">
        <f>"062082012109"</f>
        <v>062082012109</v>
      </c>
    </row>
    <row r="860" spans="1:9" x14ac:dyDescent="0.25">
      <c r="A860" t="s">
        <v>795</v>
      </c>
      <c r="B860" t="s">
        <v>13</v>
      </c>
      <c r="C860">
        <v>31.7</v>
      </c>
      <c r="D860">
        <v>32.950000000000003</v>
      </c>
      <c r="E860" t="s">
        <v>14</v>
      </c>
      <c r="F860">
        <v>23.09</v>
      </c>
      <c r="G860">
        <v>21.67</v>
      </c>
      <c r="H860" t="s">
        <v>14</v>
      </c>
      <c r="I860" t="str">
        <f>"060141012109"</f>
        <v>060141012109</v>
      </c>
    </row>
    <row r="861" spans="1:9" x14ac:dyDescent="0.25">
      <c r="A861" t="s">
        <v>796</v>
      </c>
      <c r="B861" t="s">
        <v>13</v>
      </c>
      <c r="C861">
        <v>35.71</v>
      </c>
      <c r="D861">
        <v>39.6</v>
      </c>
      <c r="E861" t="s">
        <v>17</v>
      </c>
      <c r="F861">
        <v>19.97</v>
      </c>
      <c r="G861">
        <v>19.12</v>
      </c>
      <c r="H861" t="s">
        <v>17</v>
      </c>
      <c r="I861" t="str">
        <f>"063432008963"</f>
        <v>063432008963</v>
      </c>
    </row>
    <row r="862" spans="1:9" x14ac:dyDescent="0.25">
      <c r="A862" t="s">
        <v>797</v>
      </c>
      <c r="B862" t="s">
        <v>13</v>
      </c>
      <c r="C862">
        <v>34</v>
      </c>
      <c r="D862">
        <v>34</v>
      </c>
      <c r="E862" t="s">
        <v>17</v>
      </c>
      <c r="F862">
        <v>23.44</v>
      </c>
      <c r="G862">
        <v>23.24</v>
      </c>
      <c r="H862" t="s">
        <v>17</v>
      </c>
      <c r="I862" t="str">
        <f>"062271002939"</f>
        <v>062271002939</v>
      </c>
    </row>
    <row r="863" spans="1:9" x14ac:dyDescent="0.25">
      <c r="A863" t="s">
        <v>798</v>
      </c>
      <c r="B863" t="s">
        <v>13</v>
      </c>
      <c r="C863">
        <v>12</v>
      </c>
      <c r="D863">
        <v>13.5</v>
      </c>
      <c r="E863" t="s">
        <v>17</v>
      </c>
      <c r="F863">
        <v>24.33</v>
      </c>
      <c r="G863">
        <v>22.96</v>
      </c>
      <c r="H863" t="s">
        <v>17</v>
      </c>
      <c r="I863" t="str">
        <f>"064074006719"</f>
        <v>064074006719</v>
      </c>
    </row>
    <row r="864" spans="1:9" x14ac:dyDescent="0.25">
      <c r="A864" t="s">
        <v>799</v>
      </c>
      <c r="B864" t="s">
        <v>13</v>
      </c>
      <c r="C864">
        <v>94.07</v>
      </c>
      <c r="D864">
        <v>88.7</v>
      </c>
      <c r="E864" t="s">
        <v>17</v>
      </c>
      <c r="F864">
        <v>19.95</v>
      </c>
      <c r="G864">
        <v>22.27</v>
      </c>
      <c r="H864" t="s">
        <v>17</v>
      </c>
      <c r="I864" t="str">
        <f>"060483000471"</f>
        <v>060483000471</v>
      </c>
    </row>
    <row r="865" spans="1:9" x14ac:dyDescent="0.25">
      <c r="A865" t="s">
        <v>800</v>
      </c>
      <c r="B865" t="s">
        <v>13</v>
      </c>
      <c r="C865">
        <v>43.55</v>
      </c>
      <c r="D865">
        <v>42.85</v>
      </c>
      <c r="E865" t="s">
        <v>17</v>
      </c>
      <c r="F865">
        <v>16.670000000000002</v>
      </c>
      <c r="G865">
        <v>16.64</v>
      </c>
      <c r="H865" t="s">
        <v>17</v>
      </c>
      <c r="I865" t="str">
        <f>"060483000472"</f>
        <v>060483000472</v>
      </c>
    </row>
    <row r="866" spans="1:9" x14ac:dyDescent="0.25">
      <c r="A866" t="s">
        <v>801</v>
      </c>
      <c r="B866" t="s">
        <v>13</v>
      </c>
      <c r="C866" t="s">
        <v>14</v>
      </c>
      <c r="D866">
        <v>19.5</v>
      </c>
      <c r="E866" t="s">
        <v>17</v>
      </c>
      <c r="F866" t="s">
        <v>17</v>
      </c>
      <c r="G866">
        <v>23.23</v>
      </c>
      <c r="H866" t="s">
        <v>17</v>
      </c>
      <c r="I866" t="str">
        <f>"063522005962"</f>
        <v>063522005962</v>
      </c>
    </row>
    <row r="867" spans="1:9" x14ac:dyDescent="0.25">
      <c r="A867" t="s">
        <v>802</v>
      </c>
      <c r="B867" t="s">
        <v>13</v>
      </c>
      <c r="C867">
        <v>12.65</v>
      </c>
      <c r="D867">
        <v>14.9</v>
      </c>
      <c r="E867" t="s">
        <v>17</v>
      </c>
      <c r="F867">
        <v>16.440000000000001</v>
      </c>
      <c r="G867">
        <v>13.69</v>
      </c>
      <c r="H867" t="s">
        <v>17</v>
      </c>
      <c r="I867" t="str">
        <f>"060285011573"</f>
        <v>060285011573</v>
      </c>
    </row>
    <row r="868" spans="1:9" x14ac:dyDescent="0.25">
      <c r="A868" t="s">
        <v>803</v>
      </c>
      <c r="B868" t="s">
        <v>13</v>
      </c>
      <c r="C868">
        <v>23</v>
      </c>
      <c r="D868">
        <v>24.5</v>
      </c>
      <c r="E868" t="s">
        <v>17</v>
      </c>
      <c r="F868">
        <v>25.52</v>
      </c>
      <c r="G868">
        <v>22.86</v>
      </c>
      <c r="H868" t="s">
        <v>17</v>
      </c>
      <c r="I868" t="str">
        <f>"063198004920"</f>
        <v>063198004920</v>
      </c>
    </row>
    <row r="869" spans="1:9" x14ac:dyDescent="0.25">
      <c r="A869" t="s">
        <v>804</v>
      </c>
      <c r="B869" t="s">
        <v>13</v>
      </c>
      <c r="C869">
        <v>27.9</v>
      </c>
      <c r="D869">
        <v>27.5</v>
      </c>
      <c r="E869" t="s">
        <v>17</v>
      </c>
      <c r="F869">
        <v>24.09</v>
      </c>
      <c r="G869">
        <v>24.22</v>
      </c>
      <c r="H869" t="s">
        <v>17</v>
      </c>
      <c r="I869" t="str">
        <f>"060837000812"</f>
        <v>060837000812</v>
      </c>
    </row>
    <row r="870" spans="1:9" x14ac:dyDescent="0.25">
      <c r="A870" t="s">
        <v>805</v>
      </c>
      <c r="B870" t="s">
        <v>13</v>
      </c>
      <c r="C870" t="str">
        <f>"0.80"</f>
        <v>0.80</v>
      </c>
      <c r="D870" t="str">
        <f>"0.60"</f>
        <v>0.60</v>
      </c>
      <c r="E870" t="s">
        <v>17</v>
      </c>
      <c r="F870">
        <v>3.75</v>
      </c>
      <c r="G870">
        <v>5</v>
      </c>
      <c r="H870" t="s">
        <v>17</v>
      </c>
      <c r="I870" t="str">
        <f>"063807009644"</f>
        <v>063807009644</v>
      </c>
    </row>
    <row r="871" spans="1:9" x14ac:dyDescent="0.25">
      <c r="A871" t="s">
        <v>806</v>
      </c>
      <c r="B871" t="s">
        <v>13</v>
      </c>
      <c r="C871">
        <v>12.45</v>
      </c>
      <c r="D871">
        <v>12.45</v>
      </c>
      <c r="E871" t="s">
        <v>17</v>
      </c>
      <c r="F871">
        <v>28.51</v>
      </c>
      <c r="G871">
        <v>28.27</v>
      </c>
      <c r="H871" t="s">
        <v>17</v>
      </c>
      <c r="I871" t="str">
        <f>"060423008796"</f>
        <v>060423008796</v>
      </c>
    </row>
    <row r="872" spans="1:9" x14ac:dyDescent="0.25">
      <c r="A872" t="s">
        <v>807</v>
      </c>
      <c r="B872" t="s">
        <v>13</v>
      </c>
      <c r="C872">
        <v>33.5</v>
      </c>
      <c r="D872">
        <v>40.17</v>
      </c>
      <c r="E872" t="s">
        <v>17</v>
      </c>
      <c r="F872">
        <v>22.69</v>
      </c>
      <c r="G872">
        <v>20.49</v>
      </c>
      <c r="H872" t="s">
        <v>17</v>
      </c>
      <c r="I872" t="str">
        <f>"060423000381"</f>
        <v>060423000381</v>
      </c>
    </row>
    <row r="873" spans="1:9" x14ac:dyDescent="0.25">
      <c r="A873" t="s">
        <v>808</v>
      </c>
      <c r="B873" t="s">
        <v>13</v>
      </c>
      <c r="C873">
        <v>17</v>
      </c>
      <c r="D873">
        <v>16.5</v>
      </c>
      <c r="E873" t="s">
        <v>17</v>
      </c>
      <c r="F873">
        <v>23.65</v>
      </c>
      <c r="G873">
        <v>23.09</v>
      </c>
      <c r="H873" t="s">
        <v>17</v>
      </c>
      <c r="I873" t="str">
        <f>"060423000382"</f>
        <v>060423000382</v>
      </c>
    </row>
    <row r="874" spans="1:9" x14ac:dyDescent="0.25">
      <c r="A874" t="s">
        <v>809</v>
      </c>
      <c r="B874" t="s">
        <v>13</v>
      </c>
      <c r="C874">
        <v>5</v>
      </c>
      <c r="D874">
        <v>4.75</v>
      </c>
      <c r="E874" t="s">
        <v>17</v>
      </c>
      <c r="F874">
        <v>10.4</v>
      </c>
      <c r="G874">
        <v>10.74</v>
      </c>
      <c r="H874" t="s">
        <v>17</v>
      </c>
      <c r="I874" t="str">
        <f>"060486000476"</f>
        <v>060486000476</v>
      </c>
    </row>
    <row r="875" spans="1:9" x14ac:dyDescent="0.25">
      <c r="A875" t="s">
        <v>810</v>
      </c>
      <c r="B875" t="s">
        <v>13</v>
      </c>
      <c r="C875">
        <v>3.91</v>
      </c>
      <c r="D875">
        <v>3.82</v>
      </c>
      <c r="E875" t="s">
        <v>17</v>
      </c>
      <c r="F875">
        <v>16.11</v>
      </c>
      <c r="G875">
        <v>14.14</v>
      </c>
      <c r="H875" t="s">
        <v>17</v>
      </c>
      <c r="I875" t="str">
        <f>"060489000477"</f>
        <v>060489000477</v>
      </c>
    </row>
    <row r="876" spans="1:9" x14ac:dyDescent="0.25">
      <c r="A876" t="s">
        <v>811</v>
      </c>
      <c r="B876" t="s">
        <v>13</v>
      </c>
      <c r="C876">
        <v>6.96</v>
      </c>
      <c r="D876">
        <v>8.0299999999999994</v>
      </c>
      <c r="E876" t="s">
        <v>17</v>
      </c>
      <c r="F876">
        <v>18.82</v>
      </c>
      <c r="G876">
        <v>18.68</v>
      </c>
      <c r="H876" t="s">
        <v>17</v>
      </c>
      <c r="I876" t="str">
        <f>"069100712427"</f>
        <v>069100712427</v>
      </c>
    </row>
    <row r="877" spans="1:9" x14ac:dyDescent="0.25">
      <c r="A877" t="s">
        <v>812</v>
      </c>
      <c r="B877" t="s">
        <v>13</v>
      </c>
      <c r="C877">
        <v>9.85</v>
      </c>
      <c r="D877">
        <v>8.9</v>
      </c>
      <c r="E877" t="s">
        <v>17</v>
      </c>
      <c r="F877">
        <v>15.33</v>
      </c>
      <c r="G877">
        <v>16.399999999999999</v>
      </c>
      <c r="H877" t="s">
        <v>17</v>
      </c>
      <c r="I877" t="str">
        <f>"060495000479"</f>
        <v>060495000479</v>
      </c>
    </row>
    <row r="878" spans="1:9" x14ac:dyDescent="0.25">
      <c r="A878" t="s">
        <v>813</v>
      </c>
      <c r="B878" t="s">
        <v>13</v>
      </c>
      <c r="C878">
        <v>5.6</v>
      </c>
      <c r="D878">
        <v>4.4000000000000004</v>
      </c>
      <c r="E878" t="s">
        <v>17</v>
      </c>
      <c r="F878">
        <v>6.25</v>
      </c>
      <c r="G878">
        <v>11.36</v>
      </c>
      <c r="H878" t="s">
        <v>17</v>
      </c>
      <c r="I878" t="str">
        <f>"060495000480"</f>
        <v>060495000480</v>
      </c>
    </row>
    <row r="879" spans="1:9" x14ac:dyDescent="0.25">
      <c r="A879" t="s">
        <v>814</v>
      </c>
      <c r="B879" t="s">
        <v>13</v>
      </c>
      <c r="C879">
        <v>7</v>
      </c>
      <c r="D879">
        <v>5.63</v>
      </c>
      <c r="E879" t="s">
        <v>17</v>
      </c>
      <c r="F879">
        <v>18</v>
      </c>
      <c r="G879">
        <v>19.010000000000002</v>
      </c>
      <c r="H879" t="s">
        <v>17</v>
      </c>
      <c r="I879" t="str">
        <f>"060498000481"</f>
        <v>060498000481</v>
      </c>
    </row>
    <row r="880" spans="1:9" x14ac:dyDescent="0.25">
      <c r="A880" t="s">
        <v>814</v>
      </c>
      <c r="B880" t="s">
        <v>13</v>
      </c>
      <c r="C880">
        <v>24.2</v>
      </c>
      <c r="D880">
        <v>24.6</v>
      </c>
      <c r="E880" t="s">
        <v>17</v>
      </c>
      <c r="F880">
        <v>27.31</v>
      </c>
      <c r="G880">
        <v>26.91</v>
      </c>
      <c r="H880" t="s">
        <v>17</v>
      </c>
      <c r="I880" t="str">
        <f>"063684006251"</f>
        <v>063684006251</v>
      </c>
    </row>
    <row r="881" spans="1:9" x14ac:dyDescent="0.25">
      <c r="A881" t="s">
        <v>815</v>
      </c>
      <c r="B881" t="s">
        <v>13</v>
      </c>
      <c r="C881">
        <v>2</v>
      </c>
      <c r="D881">
        <v>2.35</v>
      </c>
      <c r="E881" t="s">
        <v>17</v>
      </c>
      <c r="F881">
        <v>28</v>
      </c>
      <c r="G881">
        <v>25.53</v>
      </c>
      <c r="H881" t="s">
        <v>17</v>
      </c>
      <c r="I881" t="str">
        <f>"060003112240"</f>
        <v>060003112240</v>
      </c>
    </row>
    <row r="882" spans="1:9" x14ac:dyDescent="0.25">
      <c r="A882" t="s">
        <v>816</v>
      </c>
      <c r="B882" t="s">
        <v>13</v>
      </c>
      <c r="C882" t="s">
        <v>17</v>
      </c>
      <c r="D882" t="s">
        <v>17</v>
      </c>
      <c r="E882" t="s">
        <v>17</v>
      </c>
      <c r="F882" t="s">
        <v>17</v>
      </c>
      <c r="G882" t="s">
        <v>17</v>
      </c>
      <c r="H882" t="s">
        <v>17</v>
      </c>
      <c r="I882" t="str">
        <f>"060501008497"</f>
        <v>060501008497</v>
      </c>
    </row>
    <row r="883" spans="1:9" x14ac:dyDescent="0.25">
      <c r="A883" t="s">
        <v>817</v>
      </c>
      <c r="B883" t="s">
        <v>13</v>
      </c>
      <c r="C883">
        <v>3.1</v>
      </c>
      <c r="D883">
        <v>5.36</v>
      </c>
      <c r="E883" t="s">
        <v>17</v>
      </c>
      <c r="F883">
        <v>30.32</v>
      </c>
      <c r="G883">
        <v>20.52</v>
      </c>
      <c r="H883" t="s">
        <v>17</v>
      </c>
      <c r="I883" t="str">
        <f>"060501000483"</f>
        <v>060501000483</v>
      </c>
    </row>
    <row r="884" spans="1:9" x14ac:dyDescent="0.25">
      <c r="A884" t="s">
        <v>818</v>
      </c>
      <c r="B884" t="s">
        <v>13</v>
      </c>
      <c r="C884">
        <v>8.33</v>
      </c>
      <c r="D884">
        <v>9.64</v>
      </c>
      <c r="E884" t="s">
        <v>17</v>
      </c>
      <c r="F884">
        <v>12.73</v>
      </c>
      <c r="G884">
        <v>10.37</v>
      </c>
      <c r="H884" t="s">
        <v>17</v>
      </c>
      <c r="I884" t="str">
        <f>"060501000482"</f>
        <v>060501000482</v>
      </c>
    </row>
    <row r="885" spans="1:9" x14ac:dyDescent="0.25">
      <c r="A885" t="s">
        <v>819</v>
      </c>
      <c r="B885" t="s">
        <v>13</v>
      </c>
      <c r="C885">
        <v>13</v>
      </c>
      <c r="D885">
        <v>14</v>
      </c>
      <c r="E885" t="s">
        <v>17</v>
      </c>
      <c r="F885">
        <v>26.85</v>
      </c>
      <c r="G885">
        <v>23.07</v>
      </c>
      <c r="H885" t="s">
        <v>17</v>
      </c>
      <c r="I885" t="str">
        <f>"060504000485"</f>
        <v>060504000485</v>
      </c>
    </row>
    <row r="886" spans="1:9" x14ac:dyDescent="0.25">
      <c r="A886" t="s">
        <v>820</v>
      </c>
      <c r="B886" t="s">
        <v>13</v>
      </c>
      <c r="C886">
        <v>11.97</v>
      </c>
      <c r="D886">
        <v>12.65</v>
      </c>
      <c r="E886" t="s">
        <v>17</v>
      </c>
      <c r="F886">
        <v>12.87</v>
      </c>
      <c r="G886">
        <v>12.96</v>
      </c>
      <c r="H886" t="s">
        <v>17</v>
      </c>
      <c r="I886" t="str">
        <f>"060504000486"</f>
        <v>060504000486</v>
      </c>
    </row>
    <row r="887" spans="1:9" x14ac:dyDescent="0.25">
      <c r="A887" t="s">
        <v>821</v>
      </c>
      <c r="B887" t="s">
        <v>13</v>
      </c>
      <c r="C887" t="s">
        <v>14</v>
      </c>
      <c r="D887" t="s">
        <v>14</v>
      </c>
      <c r="E887" t="s">
        <v>17</v>
      </c>
      <c r="F887" t="s">
        <v>14</v>
      </c>
      <c r="G887" t="s">
        <v>14</v>
      </c>
      <c r="H887" t="s">
        <v>17</v>
      </c>
      <c r="I887" t="str">
        <f>"060504005705"</f>
        <v>060504005705</v>
      </c>
    </row>
    <row r="888" spans="1:9" x14ac:dyDescent="0.25">
      <c r="A888" t="s">
        <v>822</v>
      </c>
      <c r="B888" t="s">
        <v>13</v>
      </c>
      <c r="C888">
        <v>1</v>
      </c>
      <c r="D888">
        <v>1</v>
      </c>
      <c r="E888" t="s">
        <v>17</v>
      </c>
      <c r="F888">
        <v>10</v>
      </c>
      <c r="G888">
        <v>8</v>
      </c>
      <c r="H888" t="s">
        <v>17</v>
      </c>
      <c r="I888" t="str">
        <f>"060504008683"</f>
        <v>060504008683</v>
      </c>
    </row>
    <row r="889" spans="1:9" x14ac:dyDescent="0.25">
      <c r="A889" t="s">
        <v>823</v>
      </c>
      <c r="B889" t="s">
        <v>13</v>
      </c>
      <c r="C889">
        <v>26.02</v>
      </c>
      <c r="D889">
        <v>27.92</v>
      </c>
      <c r="E889" t="s">
        <v>17</v>
      </c>
      <c r="F889">
        <v>20.68</v>
      </c>
      <c r="G889">
        <v>18.66</v>
      </c>
      <c r="H889" t="s">
        <v>17</v>
      </c>
      <c r="I889" t="str">
        <f>"062064002477"</f>
        <v>062064002477</v>
      </c>
    </row>
    <row r="890" spans="1:9" x14ac:dyDescent="0.25">
      <c r="A890" t="s">
        <v>824</v>
      </c>
      <c r="B890" t="s">
        <v>13</v>
      </c>
      <c r="C890">
        <v>19</v>
      </c>
      <c r="D890">
        <v>19</v>
      </c>
      <c r="E890" t="s">
        <v>17</v>
      </c>
      <c r="F890">
        <v>20.260000000000002</v>
      </c>
      <c r="G890">
        <v>20.68</v>
      </c>
      <c r="H890" t="s">
        <v>17</v>
      </c>
      <c r="I890" t="str">
        <f>"060699000644"</f>
        <v>060699000644</v>
      </c>
    </row>
    <row r="891" spans="1:9" x14ac:dyDescent="0.25">
      <c r="A891" t="s">
        <v>825</v>
      </c>
      <c r="B891" t="s">
        <v>13</v>
      </c>
      <c r="C891">
        <v>24.95</v>
      </c>
      <c r="D891">
        <v>21.54</v>
      </c>
      <c r="E891" t="s">
        <v>17</v>
      </c>
      <c r="F891">
        <v>27.86</v>
      </c>
      <c r="G891">
        <v>29.99</v>
      </c>
      <c r="H891" t="s">
        <v>17</v>
      </c>
      <c r="I891" t="str">
        <f>"060639005790"</f>
        <v>060639005790</v>
      </c>
    </row>
    <row r="892" spans="1:9" x14ac:dyDescent="0.25">
      <c r="A892" t="s">
        <v>826</v>
      </c>
      <c r="B892" t="s">
        <v>13</v>
      </c>
      <c r="C892">
        <v>1.1399999999999999</v>
      </c>
      <c r="D892">
        <v>1.75</v>
      </c>
      <c r="E892" t="s">
        <v>17</v>
      </c>
      <c r="F892">
        <v>21.93</v>
      </c>
      <c r="G892">
        <v>16.57</v>
      </c>
      <c r="H892" t="s">
        <v>17</v>
      </c>
      <c r="I892" t="str">
        <f>"063507005929"</f>
        <v>063507005929</v>
      </c>
    </row>
    <row r="893" spans="1:9" x14ac:dyDescent="0.25">
      <c r="A893" t="s">
        <v>827</v>
      </c>
      <c r="B893" t="s">
        <v>13</v>
      </c>
      <c r="C893">
        <v>26</v>
      </c>
      <c r="D893">
        <v>26</v>
      </c>
      <c r="E893" t="s">
        <v>17</v>
      </c>
      <c r="F893">
        <v>23.15</v>
      </c>
      <c r="G893">
        <v>23.73</v>
      </c>
      <c r="H893" t="s">
        <v>17</v>
      </c>
      <c r="I893" t="str">
        <f>"062121002540"</f>
        <v>062121002540</v>
      </c>
    </row>
    <row r="894" spans="1:9" x14ac:dyDescent="0.25">
      <c r="A894" t="s">
        <v>828</v>
      </c>
      <c r="B894" t="s">
        <v>13</v>
      </c>
      <c r="C894">
        <v>28.5</v>
      </c>
      <c r="D894">
        <v>31</v>
      </c>
      <c r="E894" t="s">
        <v>17</v>
      </c>
      <c r="F894">
        <v>29.12</v>
      </c>
      <c r="G894">
        <v>26.74</v>
      </c>
      <c r="H894" t="s">
        <v>17</v>
      </c>
      <c r="I894" t="str">
        <f>"063417012181"</f>
        <v>063417012181</v>
      </c>
    </row>
    <row r="895" spans="1:9" x14ac:dyDescent="0.25">
      <c r="A895" t="s">
        <v>829</v>
      </c>
      <c r="B895" t="s">
        <v>13</v>
      </c>
      <c r="C895">
        <v>18</v>
      </c>
      <c r="D895">
        <v>18.95</v>
      </c>
      <c r="E895" t="s">
        <v>17</v>
      </c>
      <c r="F895">
        <v>22.89</v>
      </c>
      <c r="G895">
        <v>20.63</v>
      </c>
      <c r="H895" t="s">
        <v>17</v>
      </c>
      <c r="I895" t="str">
        <f>"063264005077"</f>
        <v>063264005077</v>
      </c>
    </row>
    <row r="896" spans="1:9" x14ac:dyDescent="0.25">
      <c r="A896" t="s">
        <v>830</v>
      </c>
      <c r="B896" t="s">
        <v>13</v>
      </c>
      <c r="C896">
        <v>8.6999999999999993</v>
      </c>
      <c r="D896">
        <v>8.0500000000000007</v>
      </c>
      <c r="E896" t="s">
        <v>17</v>
      </c>
      <c r="F896">
        <v>24.83</v>
      </c>
      <c r="G896">
        <v>25.34</v>
      </c>
      <c r="H896" t="s">
        <v>17</v>
      </c>
      <c r="I896" t="str">
        <f>"060797007665"</f>
        <v>060797007665</v>
      </c>
    </row>
    <row r="897" spans="1:9" x14ac:dyDescent="0.25">
      <c r="A897" t="s">
        <v>831</v>
      </c>
      <c r="B897" t="s">
        <v>13</v>
      </c>
      <c r="C897">
        <v>20.170000000000002</v>
      </c>
      <c r="D897">
        <v>21.51</v>
      </c>
      <c r="E897" t="s">
        <v>17</v>
      </c>
      <c r="F897">
        <v>20.28</v>
      </c>
      <c r="G897">
        <v>16.55</v>
      </c>
      <c r="H897" t="s">
        <v>17</v>
      </c>
      <c r="I897" t="str">
        <f>"061392001586"</f>
        <v>061392001586</v>
      </c>
    </row>
    <row r="898" spans="1:9" x14ac:dyDescent="0.25">
      <c r="A898" t="s">
        <v>832</v>
      </c>
      <c r="B898" t="s">
        <v>13</v>
      </c>
      <c r="C898">
        <v>23.2</v>
      </c>
      <c r="D898">
        <v>26</v>
      </c>
      <c r="E898" t="s">
        <v>17</v>
      </c>
      <c r="F898">
        <v>25.78</v>
      </c>
      <c r="G898">
        <v>23.46</v>
      </c>
      <c r="H898" t="s">
        <v>17</v>
      </c>
      <c r="I898" t="str">
        <f>"061062001175"</f>
        <v>061062001175</v>
      </c>
    </row>
    <row r="899" spans="1:9" x14ac:dyDescent="0.25">
      <c r="A899" t="s">
        <v>833</v>
      </c>
      <c r="B899" t="s">
        <v>13</v>
      </c>
      <c r="C899">
        <v>24</v>
      </c>
      <c r="D899">
        <v>24</v>
      </c>
      <c r="E899" t="s">
        <v>17</v>
      </c>
      <c r="F899">
        <v>22.08</v>
      </c>
      <c r="G899">
        <v>22.25</v>
      </c>
      <c r="H899" t="s">
        <v>17</v>
      </c>
      <c r="I899" t="str">
        <f>"063432005421"</f>
        <v>063432005421</v>
      </c>
    </row>
    <row r="900" spans="1:9" x14ac:dyDescent="0.25">
      <c r="A900" t="s">
        <v>834</v>
      </c>
      <c r="B900" t="s">
        <v>13</v>
      </c>
      <c r="C900">
        <v>7</v>
      </c>
      <c r="D900">
        <v>7</v>
      </c>
      <c r="E900" t="s">
        <v>17</v>
      </c>
      <c r="F900">
        <v>27.71</v>
      </c>
      <c r="G900">
        <v>27.29</v>
      </c>
      <c r="H900" t="s">
        <v>17</v>
      </c>
      <c r="I900" t="str">
        <f>"062910004488"</f>
        <v>062910004488</v>
      </c>
    </row>
    <row r="901" spans="1:9" x14ac:dyDescent="0.25">
      <c r="A901" t="s">
        <v>835</v>
      </c>
      <c r="B901" t="s">
        <v>13</v>
      </c>
      <c r="C901">
        <v>29</v>
      </c>
      <c r="D901">
        <v>29</v>
      </c>
      <c r="E901" t="s">
        <v>17</v>
      </c>
      <c r="F901">
        <v>24.69</v>
      </c>
      <c r="G901">
        <v>24.59</v>
      </c>
      <c r="H901" t="s">
        <v>17</v>
      </c>
      <c r="I901" t="str">
        <f>"062271003396"</f>
        <v>062271003396</v>
      </c>
    </row>
    <row r="902" spans="1:9" x14ac:dyDescent="0.25">
      <c r="A902" t="s">
        <v>836</v>
      </c>
      <c r="B902" t="s">
        <v>13</v>
      </c>
      <c r="C902">
        <v>89.57</v>
      </c>
      <c r="D902">
        <v>88.7</v>
      </c>
      <c r="E902" t="s">
        <v>17</v>
      </c>
      <c r="F902">
        <v>32.630000000000003</v>
      </c>
      <c r="G902">
        <v>30.59</v>
      </c>
      <c r="H902" t="s">
        <v>17</v>
      </c>
      <c r="I902" t="str">
        <f>"062271002857"</f>
        <v>062271002857</v>
      </c>
    </row>
    <row r="903" spans="1:9" x14ac:dyDescent="0.25">
      <c r="A903" t="s">
        <v>837</v>
      </c>
      <c r="B903" t="s">
        <v>13</v>
      </c>
      <c r="C903">
        <v>25</v>
      </c>
      <c r="D903">
        <v>27</v>
      </c>
      <c r="E903" t="s">
        <v>17</v>
      </c>
      <c r="F903">
        <v>27.48</v>
      </c>
      <c r="G903">
        <v>25.48</v>
      </c>
      <c r="H903" t="s">
        <v>17</v>
      </c>
      <c r="I903" t="str">
        <f>"062250002699"</f>
        <v>062250002699</v>
      </c>
    </row>
    <row r="904" spans="1:9" x14ac:dyDescent="0.25">
      <c r="A904" t="s">
        <v>837</v>
      </c>
      <c r="B904" t="s">
        <v>13</v>
      </c>
      <c r="C904">
        <v>31</v>
      </c>
      <c r="D904">
        <v>30</v>
      </c>
      <c r="E904" t="s">
        <v>17</v>
      </c>
      <c r="F904">
        <v>26.61</v>
      </c>
      <c r="G904">
        <v>27.87</v>
      </c>
      <c r="H904" t="s">
        <v>17</v>
      </c>
      <c r="I904" t="str">
        <f>"061455001708"</f>
        <v>061455001708</v>
      </c>
    </row>
    <row r="905" spans="1:9" x14ac:dyDescent="0.25">
      <c r="A905" t="s">
        <v>837</v>
      </c>
      <c r="B905" t="s">
        <v>13</v>
      </c>
      <c r="C905">
        <v>16</v>
      </c>
      <c r="D905">
        <v>17</v>
      </c>
      <c r="E905" t="s">
        <v>17</v>
      </c>
      <c r="F905">
        <v>27.13</v>
      </c>
      <c r="G905">
        <v>25.65</v>
      </c>
      <c r="H905" t="s">
        <v>17</v>
      </c>
      <c r="I905" t="str">
        <f>"060003204952"</f>
        <v>060003204952</v>
      </c>
    </row>
    <row r="906" spans="1:9" x14ac:dyDescent="0.25">
      <c r="A906" t="s">
        <v>837</v>
      </c>
      <c r="B906" t="s">
        <v>13</v>
      </c>
      <c r="C906">
        <v>24.81</v>
      </c>
      <c r="D906">
        <v>23.8</v>
      </c>
      <c r="E906" t="s">
        <v>17</v>
      </c>
      <c r="F906">
        <v>22.77</v>
      </c>
      <c r="G906">
        <v>20.92</v>
      </c>
      <c r="H906" t="s">
        <v>17</v>
      </c>
      <c r="I906" t="str">
        <f>"063432005422"</f>
        <v>063432005422</v>
      </c>
    </row>
    <row r="907" spans="1:9" x14ac:dyDescent="0.25">
      <c r="A907" t="s">
        <v>838</v>
      </c>
      <c r="B907" t="s">
        <v>13</v>
      </c>
      <c r="C907">
        <v>28</v>
      </c>
      <c r="D907">
        <v>29.5</v>
      </c>
      <c r="E907" t="s">
        <v>17</v>
      </c>
      <c r="F907">
        <v>23.07</v>
      </c>
      <c r="G907">
        <v>22.17</v>
      </c>
      <c r="H907" t="s">
        <v>17</v>
      </c>
      <c r="I907" t="str">
        <f>"063846006456"</f>
        <v>063846006456</v>
      </c>
    </row>
    <row r="908" spans="1:9" x14ac:dyDescent="0.25">
      <c r="A908" t="s">
        <v>839</v>
      </c>
      <c r="B908" t="s">
        <v>13</v>
      </c>
      <c r="C908" t="str">
        <f>"0.60"</f>
        <v>0.60</v>
      </c>
      <c r="D908">
        <v>1.2</v>
      </c>
      <c r="E908" t="s">
        <v>17</v>
      </c>
      <c r="F908">
        <v>36.67</v>
      </c>
      <c r="G908">
        <v>15.83</v>
      </c>
      <c r="H908" t="s">
        <v>17</v>
      </c>
      <c r="I908" t="str">
        <f>"060140912412"</f>
        <v>060140912412</v>
      </c>
    </row>
    <row r="909" spans="1:9" x14ac:dyDescent="0.25">
      <c r="A909" t="s">
        <v>840</v>
      </c>
      <c r="B909" t="s">
        <v>13</v>
      </c>
      <c r="C909">
        <v>1.6</v>
      </c>
      <c r="D909">
        <v>1</v>
      </c>
      <c r="E909" t="s">
        <v>17</v>
      </c>
      <c r="F909" t="str">
        <f>"0.63"</f>
        <v>0.63</v>
      </c>
      <c r="G909">
        <v>2</v>
      </c>
      <c r="H909" t="s">
        <v>17</v>
      </c>
      <c r="I909" t="str">
        <f>"060140910805"</f>
        <v>060140910805</v>
      </c>
    </row>
    <row r="910" spans="1:9" x14ac:dyDescent="0.25">
      <c r="A910" t="s">
        <v>841</v>
      </c>
      <c r="B910" t="s">
        <v>13</v>
      </c>
      <c r="C910">
        <v>1</v>
      </c>
      <c r="D910">
        <v>1</v>
      </c>
      <c r="E910" t="s">
        <v>17</v>
      </c>
      <c r="F910">
        <v>3</v>
      </c>
      <c r="G910">
        <v>4</v>
      </c>
      <c r="H910" t="s">
        <v>17</v>
      </c>
      <c r="I910" t="str">
        <f>"060140912380"</f>
        <v>060140912380</v>
      </c>
    </row>
    <row r="911" spans="1:9" x14ac:dyDescent="0.25">
      <c r="A911" t="s">
        <v>842</v>
      </c>
      <c r="B911" t="s">
        <v>13</v>
      </c>
      <c r="C911">
        <v>27.2</v>
      </c>
      <c r="D911">
        <v>25.8</v>
      </c>
      <c r="E911" t="s">
        <v>17</v>
      </c>
      <c r="F911">
        <v>24.52</v>
      </c>
      <c r="G911">
        <v>25.85</v>
      </c>
      <c r="H911" t="s">
        <v>17</v>
      </c>
      <c r="I911" t="str">
        <f>"060140900491"</f>
        <v>060140900491</v>
      </c>
    </row>
    <row r="912" spans="1:9" x14ac:dyDescent="0.25">
      <c r="A912" t="s">
        <v>843</v>
      </c>
      <c r="B912" t="s">
        <v>13</v>
      </c>
      <c r="C912">
        <v>16.7</v>
      </c>
      <c r="D912">
        <v>16.21</v>
      </c>
      <c r="E912" t="s">
        <v>17</v>
      </c>
      <c r="F912">
        <v>21.74</v>
      </c>
      <c r="G912">
        <v>19.68</v>
      </c>
      <c r="H912" t="s">
        <v>17</v>
      </c>
      <c r="I912" t="str">
        <f>"063480005869"</f>
        <v>063480005869</v>
      </c>
    </row>
    <row r="913" spans="1:9" x14ac:dyDescent="0.25">
      <c r="A913" t="s">
        <v>844</v>
      </c>
      <c r="B913" t="s">
        <v>13</v>
      </c>
      <c r="C913">
        <v>24</v>
      </c>
      <c r="D913">
        <v>25.5</v>
      </c>
      <c r="E913" t="s">
        <v>17</v>
      </c>
      <c r="F913">
        <v>24.17</v>
      </c>
      <c r="G913">
        <v>22.86</v>
      </c>
      <c r="H913" t="s">
        <v>17</v>
      </c>
      <c r="I913" t="str">
        <f>"061494008850"</f>
        <v>061494008850</v>
      </c>
    </row>
    <row r="914" spans="1:9" x14ac:dyDescent="0.25">
      <c r="A914" t="s">
        <v>845</v>
      </c>
      <c r="B914" t="s">
        <v>13</v>
      </c>
      <c r="C914">
        <v>5.99</v>
      </c>
      <c r="D914">
        <v>5.87</v>
      </c>
      <c r="E914" t="s">
        <v>17</v>
      </c>
      <c r="F914">
        <v>14.02</v>
      </c>
      <c r="G914">
        <v>12.95</v>
      </c>
      <c r="H914" t="s">
        <v>17</v>
      </c>
      <c r="I914" t="str">
        <f>"069102311975"</f>
        <v>069102311975</v>
      </c>
    </row>
    <row r="915" spans="1:9" x14ac:dyDescent="0.25">
      <c r="A915" t="s">
        <v>846</v>
      </c>
      <c r="B915" t="s">
        <v>13</v>
      </c>
      <c r="C915">
        <v>2</v>
      </c>
      <c r="D915">
        <v>2</v>
      </c>
      <c r="E915" t="s">
        <v>17</v>
      </c>
      <c r="F915">
        <v>14</v>
      </c>
      <c r="G915">
        <v>15.5</v>
      </c>
      <c r="H915" t="s">
        <v>17</v>
      </c>
      <c r="I915" t="str">
        <f>"060519000492"</f>
        <v>060519000492</v>
      </c>
    </row>
    <row r="916" spans="1:9" x14ac:dyDescent="0.25">
      <c r="A916" t="s">
        <v>847</v>
      </c>
      <c r="B916" t="s">
        <v>13</v>
      </c>
      <c r="C916">
        <v>21</v>
      </c>
      <c r="D916">
        <v>24</v>
      </c>
      <c r="E916" t="s">
        <v>17</v>
      </c>
      <c r="F916">
        <v>25.29</v>
      </c>
      <c r="G916">
        <v>24</v>
      </c>
      <c r="H916" t="s">
        <v>17</v>
      </c>
      <c r="I916" t="str">
        <f>"062250002700"</f>
        <v>062250002700</v>
      </c>
    </row>
    <row r="917" spans="1:9" x14ac:dyDescent="0.25">
      <c r="A917" t="s">
        <v>847</v>
      </c>
      <c r="B917" t="s">
        <v>13</v>
      </c>
      <c r="C917">
        <v>15</v>
      </c>
      <c r="D917">
        <v>15</v>
      </c>
      <c r="E917" t="s">
        <v>17</v>
      </c>
      <c r="F917">
        <v>20.6</v>
      </c>
      <c r="G917">
        <v>21.73</v>
      </c>
      <c r="H917" t="s">
        <v>17</v>
      </c>
      <c r="I917" t="str">
        <f>"061632502037"</f>
        <v>061632502037</v>
      </c>
    </row>
    <row r="918" spans="1:9" x14ac:dyDescent="0.25">
      <c r="A918" t="s">
        <v>848</v>
      </c>
      <c r="B918" t="s">
        <v>13</v>
      </c>
      <c r="C918">
        <v>8</v>
      </c>
      <c r="D918">
        <v>8.8000000000000007</v>
      </c>
      <c r="E918" t="s">
        <v>17</v>
      </c>
      <c r="F918">
        <v>17.5</v>
      </c>
      <c r="G918">
        <v>16.02</v>
      </c>
      <c r="H918" t="s">
        <v>17</v>
      </c>
      <c r="I918" t="str">
        <f>"060522000493"</f>
        <v>060522000493</v>
      </c>
    </row>
    <row r="919" spans="1:9" x14ac:dyDescent="0.25">
      <c r="A919" t="s">
        <v>849</v>
      </c>
      <c r="B919" t="s">
        <v>13</v>
      </c>
      <c r="C919">
        <v>4</v>
      </c>
      <c r="D919">
        <v>3</v>
      </c>
      <c r="E919" t="s">
        <v>17</v>
      </c>
      <c r="F919">
        <v>17</v>
      </c>
      <c r="G919">
        <v>26</v>
      </c>
      <c r="H919" t="s">
        <v>17</v>
      </c>
      <c r="I919" t="str">
        <f>"060522007440"</f>
        <v>060522007440</v>
      </c>
    </row>
    <row r="920" spans="1:9" x14ac:dyDescent="0.25">
      <c r="A920" t="s">
        <v>850</v>
      </c>
      <c r="B920" t="s">
        <v>13</v>
      </c>
      <c r="C920">
        <v>13.26</v>
      </c>
      <c r="D920">
        <v>13.56</v>
      </c>
      <c r="E920" t="s">
        <v>17</v>
      </c>
      <c r="F920">
        <v>18.100000000000001</v>
      </c>
      <c r="G920">
        <v>17.48</v>
      </c>
      <c r="H920" t="s">
        <v>17</v>
      </c>
      <c r="I920" t="str">
        <f>"063060007821"</f>
        <v>063060007821</v>
      </c>
    </row>
    <row r="921" spans="1:9" x14ac:dyDescent="0.25">
      <c r="A921" t="s">
        <v>851</v>
      </c>
      <c r="B921" t="s">
        <v>13</v>
      </c>
      <c r="C921">
        <v>28.9</v>
      </c>
      <c r="D921">
        <v>33.4</v>
      </c>
      <c r="E921" t="s">
        <v>17</v>
      </c>
      <c r="F921">
        <v>24.19</v>
      </c>
      <c r="G921">
        <v>24.43</v>
      </c>
      <c r="H921" t="s">
        <v>17</v>
      </c>
      <c r="I921" t="str">
        <f>"060285004440"</f>
        <v>060285004440</v>
      </c>
    </row>
    <row r="922" spans="1:9" x14ac:dyDescent="0.25">
      <c r="A922" t="s">
        <v>852</v>
      </c>
      <c r="B922" t="s">
        <v>13</v>
      </c>
      <c r="C922">
        <v>45.19</v>
      </c>
      <c r="D922">
        <v>45.89</v>
      </c>
      <c r="E922" t="s">
        <v>17</v>
      </c>
      <c r="F922">
        <v>29.34</v>
      </c>
      <c r="G922">
        <v>29.44</v>
      </c>
      <c r="H922" t="s">
        <v>17</v>
      </c>
      <c r="I922" t="str">
        <f>"063153004884"</f>
        <v>063153004884</v>
      </c>
    </row>
    <row r="923" spans="1:9" x14ac:dyDescent="0.25">
      <c r="A923" t="s">
        <v>853</v>
      </c>
      <c r="B923" t="s">
        <v>13</v>
      </c>
      <c r="C923">
        <v>7</v>
      </c>
      <c r="D923">
        <v>7.5</v>
      </c>
      <c r="E923" t="s">
        <v>17</v>
      </c>
      <c r="F923">
        <v>21.57</v>
      </c>
      <c r="G923">
        <v>20.27</v>
      </c>
      <c r="H923" t="s">
        <v>17</v>
      </c>
      <c r="I923" t="str">
        <f>"064020007475"</f>
        <v>064020007475</v>
      </c>
    </row>
    <row r="924" spans="1:9" x14ac:dyDescent="0.25">
      <c r="A924" t="s">
        <v>854</v>
      </c>
      <c r="B924" t="s">
        <v>13</v>
      </c>
      <c r="C924">
        <v>7.6</v>
      </c>
      <c r="D924">
        <v>6.3</v>
      </c>
      <c r="E924" t="s">
        <v>17</v>
      </c>
      <c r="F924">
        <v>16.05</v>
      </c>
      <c r="G924">
        <v>15.4</v>
      </c>
      <c r="H924" t="s">
        <v>17</v>
      </c>
      <c r="I924" t="str">
        <f>"062586003890"</f>
        <v>062586003890</v>
      </c>
    </row>
    <row r="925" spans="1:9" x14ac:dyDescent="0.25">
      <c r="A925" t="s">
        <v>855</v>
      </c>
      <c r="B925" t="s">
        <v>13</v>
      </c>
      <c r="C925">
        <v>27</v>
      </c>
      <c r="D925">
        <v>26</v>
      </c>
      <c r="E925" t="s">
        <v>17</v>
      </c>
      <c r="F925">
        <v>23.3</v>
      </c>
      <c r="G925">
        <v>23.12</v>
      </c>
      <c r="H925" t="s">
        <v>17</v>
      </c>
      <c r="I925" t="str">
        <f>"060720000657"</f>
        <v>060720000657</v>
      </c>
    </row>
    <row r="926" spans="1:9" x14ac:dyDescent="0.25">
      <c r="A926" t="s">
        <v>856</v>
      </c>
      <c r="B926" t="s">
        <v>13</v>
      </c>
      <c r="C926">
        <v>62.48</v>
      </c>
      <c r="D926">
        <v>60.82</v>
      </c>
      <c r="E926" t="s">
        <v>17</v>
      </c>
      <c r="F926">
        <v>18.45</v>
      </c>
      <c r="G926">
        <v>19.809999999999999</v>
      </c>
      <c r="H926" t="s">
        <v>17</v>
      </c>
      <c r="I926" t="str">
        <f>"062994004662"</f>
        <v>062994004662</v>
      </c>
    </row>
    <row r="927" spans="1:9" x14ac:dyDescent="0.25">
      <c r="A927" t="s">
        <v>857</v>
      </c>
      <c r="B927" t="s">
        <v>13</v>
      </c>
      <c r="C927" t="s">
        <v>17</v>
      </c>
      <c r="D927" t="str">
        <f>"0.50"</f>
        <v>0.50</v>
      </c>
      <c r="E927" t="s">
        <v>17</v>
      </c>
      <c r="F927" t="s">
        <v>17</v>
      </c>
      <c r="G927">
        <v>10</v>
      </c>
      <c r="H927" t="s">
        <v>17</v>
      </c>
      <c r="I927" t="str">
        <f>"060525000497"</f>
        <v>060525000497</v>
      </c>
    </row>
    <row r="928" spans="1:9" x14ac:dyDescent="0.25">
      <c r="A928" t="s">
        <v>858</v>
      </c>
      <c r="B928" t="s">
        <v>13</v>
      </c>
      <c r="C928">
        <v>24.41</v>
      </c>
      <c r="D928">
        <v>29.35</v>
      </c>
      <c r="E928" t="s">
        <v>17</v>
      </c>
      <c r="F928">
        <v>25.07</v>
      </c>
      <c r="G928">
        <v>24.97</v>
      </c>
      <c r="H928" t="s">
        <v>17</v>
      </c>
      <c r="I928" t="str">
        <f>"060813004129"</f>
        <v>060813004129</v>
      </c>
    </row>
    <row r="929" spans="1:9" x14ac:dyDescent="0.25">
      <c r="A929" t="s">
        <v>859</v>
      </c>
      <c r="B929" t="s">
        <v>13</v>
      </c>
      <c r="C929">
        <v>20</v>
      </c>
      <c r="D929">
        <v>19</v>
      </c>
      <c r="E929" t="s">
        <v>17</v>
      </c>
      <c r="F929">
        <v>23.25</v>
      </c>
      <c r="G929">
        <v>25</v>
      </c>
      <c r="H929" t="s">
        <v>17</v>
      </c>
      <c r="I929" t="str">
        <f>"063573006106"</f>
        <v>063573006106</v>
      </c>
    </row>
    <row r="930" spans="1:9" x14ac:dyDescent="0.25">
      <c r="A930" t="s">
        <v>860</v>
      </c>
      <c r="B930" t="s">
        <v>13</v>
      </c>
      <c r="C930">
        <v>22</v>
      </c>
      <c r="D930">
        <v>23.25</v>
      </c>
      <c r="E930" t="s">
        <v>17</v>
      </c>
      <c r="F930">
        <v>27.41</v>
      </c>
      <c r="G930">
        <v>25.55</v>
      </c>
      <c r="H930" t="s">
        <v>17</v>
      </c>
      <c r="I930" t="str">
        <f>"060690009117"</f>
        <v>060690009117</v>
      </c>
    </row>
    <row r="931" spans="1:9" x14ac:dyDescent="0.25">
      <c r="A931" t="s">
        <v>861</v>
      </c>
      <c r="B931" t="s">
        <v>13</v>
      </c>
      <c r="C931">
        <v>18.02</v>
      </c>
      <c r="D931">
        <v>18.010000000000002</v>
      </c>
      <c r="E931" t="s">
        <v>17</v>
      </c>
      <c r="F931">
        <v>23.14</v>
      </c>
      <c r="G931">
        <v>22.38</v>
      </c>
      <c r="H931" t="s">
        <v>17</v>
      </c>
      <c r="I931" t="str">
        <f>"064098006747"</f>
        <v>064098006747</v>
      </c>
    </row>
    <row r="932" spans="1:9" x14ac:dyDescent="0.25">
      <c r="A932" t="s">
        <v>862</v>
      </c>
      <c r="B932" t="s">
        <v>13</v>
      </c>
      <c r="C932">
        <v>14.6</v>
      </c>
      <c r="D932">
        <v>13.6</v>
      </c>
      <c r="E932" t="s">
        <v>17</v>
      </c>
      <c r="F932">
        <v>21.71</v>
      </c>
      <c r="G932">
        <v>22.5</v>
      </c>
      <c r="H932" t="s">
        <v>17</v>
      </c>
      <c r="I932" t="str">
        <f>"061389001581"</f>
        <v>061389001581</v>
      </c>
    </row>
    <row r="933" spans="1:9" x14ac:dyDescent="0.25">
      <c r="A933" t="s">
        <v>863</v>
      </c>
      <c r="B933" t="s">
        <v>13</v>
      </c>
      <c r="C933">
        <v>27.6</v>
      </c>
      <c r="D933">
        <v>26.6</v>
      </c>
      <c r="E933" t="s">
        <v>17</v>
      </c>
      <c r="F933">
        <v>24.28</v>
      </c>
      <c r="G933">
        <v>25.19</v>
      </c>
      <c r="H933" t="s">
        <v>17</v>
      </c>
      <c r="I933" t="str">
        <f>"063375005198"</f>
        <v>063375005198</v>
      </c>
    </row>
    <row r="934" spans="1:9" x14ac:dyDescent="0.25">
      <c r="A934" t="s">
        <v>864</v>
      </c>
      <c r="B934" t="s">
        <v>13</v>
      </c>
      <c r="C934">
        <v>97.83</v>
      </c>
      <c r="D934">
        <v>113.78</v>
      </c>
      <c r="E934" t="s">
        <v>17</v>
      </c>
      <c r="F934">
        <v>22.36</v>
      </c>
      <c r="G934">
        <v>24.26</v>
      </c>
      <c r="H934" t="s">
        <v>17</v>
      </c>
      <c r="I934" t="str">
        <f>"060939000944"</f>
        <v>060939000944</v>
      </c>
    </row>
    <row r="935" spans="1:9" x14ac:dyDescent="0.25">
      <c r="A935" t="s">
        <v>865</v>
      </c>
      <c r="B935" t="s">
        <v>13</v>
      </c>
      <c r="C935">
        <v>20</v>
      </c>
      <c r="D935">
        <v>20.8</v>
      </c>
      <c r="E935" t="s">
        <v>17</v>
      </c>
      <c r="F935">
        <v>18.55</v>
      </c>
      <c r="G935">
        <v>17.84</v>
      </c>
      <c r="H935" t="s">
        <v>17</v>
      </c>
      <c r="I935" t="str">
        <f>"064256009658"</f>
        <v>064256009658</v>
      </c>
    </row>
    <row r="936" spans="1:9" x14ac:dyDescent="0.25">
      <c r="A936" t="s">
        <v>866</v>
      </c>
      <c r="B936" t="s">
        <v>13</v>
      </c>
      <c r="C936">
        <v>27.5</v>
      </c>
      <c r="D936">
        <v>27.5</v>
      </c>
      <c r="E936" t="s">
        <v>17</v>
      </c>
      <c r="F936">
        <v>24.98</v>
      </c>
      <c r="G936">
        <v>23.85</v>
      </c>
      <c r="H936" t="s">
        <v>17</v>
      </c>
      <c r="I936" t="str">
        <f>"062283003489"</f>
        <v>062283003489</v>
      </c>
    </row>
    <row r="937" spans="1:9" x14ac:dyDescent="0.25">
      <c r="A937" t="s">
        <v>867</v>
      </c>
      <c r="B937" t="s">
        <v>13</v>
      </c>
      <c r="C937">
        <v>22</v>
      </c>
      <c r="D937">
        <v>20</v>
      </c>
      <c r="E937" t="s">
        <v>17</v>
      </c>
      <c r="F937">
        <v>23.77</v>
      </c>
      <c r="G937">
        <v>24.95</v>
      </c>
      <c r="H937" t="s">
        <v>17</v>
      </c>
      <c r="I937" t="str">
        <f>"060681003925"</f>
        <v>060681003925</v>
      </c>
    </row>
    <row r="938" spans="1:9" x14ac:dyDescent="0.25">
      <c r="A938" t="s">
        <v>868</v>
      </c>
      <c r="B938" t="s">
        <v>13</v>
      </c>
      <c r="C938">
        <v>2</v>
      </c>
      <c r="D938">
        <v>2</v>
      </c>
      <c r="E938" t="s">
        <v>17</v>
      </c>
      <c r="F938">
        <v>12</v>
      </c>
      <c r="G938">
        <v>22</v>
      </c>
      <c r="H938" t="s">
        <v>17</v>
      </c>
      <c r="I938" t="str">
        <f>"062007010818"</f>
        <v>062007010818</v>
      </c>
    </row>
    <row r="939" spans="1:9" x14ac:dyDescent="0.25">
      <c r="A939" t="s">
        <v>869</v>
      </c>
      <c r="B939" t="s">
        <v>13</v>
      </c>
      <c r="C939">
        <v>21.9</v>
      </c>
      <c r="D939">
        <v>21.73</v>
      </c>
      <c r="E939" t="s">
        <v>17</v>
      </c>
      <c r="F939">
        <v>22.6</v>
      </c>
      <c r="G939">
        <v>22.5</v>
      </c>
      <c r="H939" t="s">
        <v>17</v>
      </c>
      <c r="I939" t="str">
        <f>"061029001125"</f>
        <v>061029001125</v>
      </c>
    </row>
    <row r="940" spans="1:9" x14ac:dyDescent="0.25">
      <c r="A940" t="s">
        <v>870</v>
      </c>
      <c r="B940" t="s">
        <v>13</v>
      </c>
      <c r="C940">
        <v>7.67</v>
      </c>
      <c r="D940">
        <v>8.43</v>
      </c>
      <c r="E940" t="s">
        <v>17</v>
      </c>
      <c r="F940">
        <v>19.82</v>
      </c>
      <c r="G940">
        <v>16.25</v>
      </c>
      <c r="H940" t="s">
        <v>17</v>
      </c>
      <c r="I940" t="str">
        <f>"060540000499"</f>
        <v>060540000499</v>
      </c>
    </row>
    <row r="941" spans="1:9" x14ac:dyDescent="0.25">
      <c r="A941" t="s">
        <v>871</v>
      </c>
      <c r="B941" t="s">
        <v>13</v>
      </c>
      <c r="C941" t="s">
        <v>14</v>
      </c>
      <c r="D941" t="s">
        <v>14</v>
      </c>
      <c r="E941" t="s">
        <v>17</v>
      </c>
      <c r="F941" t="s">
        <v>14</v>
      </c>
      <c r="G941" t="s">
        <v>14</v>
      </c>
      <c r="H941" t="s">
        <v>17</v>
      </c>
      <c r="I941" t="str">
        <f>"069100208682"</f>
        <v>069100208682</v>
      </c>
    </row>
    <row r="942" spans="1:9" x14ac:dyDescent="0.25">
      <c r="A942" t="s">
        <v>871</v>
      </c>
      <c r="B942" t="s">
        <v>13</v>
      </c>
      <c r="C942">
        <v>17</v>
      </c>
      <c r="D942">
        <v>20</v>
      </c>
      <c r="E942" t="s">
        <v>14</v>
      </c>
      <c r="F942">
        <v>22.59</v>
      </c>
      <c r="G942">
        <v>20</v>
      </c>
      <c r="H942" t="s">
        <v>14</v>
      </c>
      <c r="I942" t="str">
        <f>"060837008682"</f>
        <v>060837008682</v>
      </c>
    </row>
    <row r="943" spans="1:9" x14ac:dyDescent="0.25">
      <c r="A943" t="s">
        <v>872</v>
      </c>
      <c r="B943" t="s">
        <v>13</v>
      </c>
      <c r="C943">
        <v>25.53</v>
      </c>
      <c r="D943">
        <v>24.45</v>
      </c>
      <c r="E943" t="s">
        <v>17</v>
      </c>
      <c r="F943">
        <v>22.64</v>
      </c>
      <c r="G943">
        <v>24.01</v>
      </c>
      <c r="H943" t="s">
        <v>17</v>
      </c>
      <c r="I943" t="str">
        <f>"060627009326"</f>
        <v>060627009326</v>
      </c>
    </row>
    <row r="944" spans="1:9" x14ac:dyDescent="0.25">
      <c r="A944" t="s">
        <v>873</v>
      </c>
      <c r="B944" t="s">
        <v>13</v>
      </c>
      <c r="C944">
        <v>24</v>
      </c>
      <c r="D944">
        <v>25.5</v>
      </c>
      <c r="E944" t="s">
        <v>17</v>
      </c>
      <c r="F944">
        <v>26.83</v>
      </c>
      <c r="G944">
        <v>24.67</v>
      </c>
      <c r="H944" t="s">
        <v>17</v>
      </c>
      <c r="I944" t="str">
        <f>"063360011004"</f>
        <v>063360011004</v>
      </c>
    </row>
    <row r="945" spans="1:9" x14ac:dyDescent="0.25">
      <c r="A945" t="s">
        <v>874</v>
      </c>
      <c r="B945" t="s">
        <v>13</v>
      </c>
      <c r="C945">
        <v>2</v>
      </c>
      <c r="D945">
        <v>2</v>
      </c>
      <c r="E945" t="s">
        <v>17</v>
      </c>
      <c r="F945">
        <v>5.5</v>
      </c>
      <c r="G945">
        <v>7</v>
      </c>
      <c r="H945" t="s">
        <v>17</v>
      </c>
      <c r="I945" t="str">
        <f>"069100610766"</f>
        <v>069100610766</v>
      </c>
    </row>
    <row r="946" spans="1:9" x14ac:dyDescent="0.25">
      <c r="A946" t="s">
        <v>875</v>
      </c>
      <c r="B946" t="s">
        <v>13</v>
      </c>
      <c r="C946" t="s">
        <v>17</v>
      </c>
      <c r="D946" t="s">
        <v>14</v>
      </c>
      <c r="E946" t="s">
        <v>14</v>
      </c>
      <c r="F946" t="s">
        <v>17</v>
      </c>
      <c r="G946" t="s">
        <v>14</v>
      </c>
      <c r="H946" t="s">
        <v>14</v>
      </c>
      <c r="I946" t="str">
        <f>"062964013346"</f>
        <v>062964013346</v>
      </c>
    </row>
    <row r="947" spans="1:9" x14ac:dyDescent="0.25">
      <c r="A947" t="s">
        <v>876</v>
      </c>
      <c r="B947" t="s">
        <v>13</v>
      </c>
      <c r="C947">
        <v>20.84</v>
      </c>
      <c r="D947">
        <v>30.5</v>
      </c>
      <c r="E947" t="s">
        <v>17</v>
      </c>
      <c r="F947">
        <v>24.09</v>
      </c>
      <c r="G947">
        <v>16.46</v>
      </c>
      <c r="H947" t="s">
        <v>17</v>
      </c>
      <c r="I947" t="str">
        <f>"062964004600"</f>
        <v>062964004600</v>
      </c>
    </row>
    <row r="948" spans="1:9" x14ac:dyDescent="0.25">
      <c r="A948" t="s">
        <v>877</v>
      </c>
      <c r="B948" t="s">
        <v>13</v>
      </c>
      <c r="C948">
        <v>19</v>
      </c>
      <c r="D948">
        <v>19</v>
      </c>
      <c r="E948" t="s">
        <v>17</v>
      </c>
      <c r="F948">
        <v>24.42</v>
      </c>
      <c r="G948">
        <v>23.79</v>
      </c>
      <c r="H948" t="s">
        <v>17</v>
      </c>
      <c r="I948" t="str">
        <f>"062271002858"</f>
        <v>062271002858</v>
      </c>
    </row>
    <row r="949" spans="1:9" x14ac:dyDescent="0.25">
      <c r="A949" t="s">
        <v>878</v>
      </c>
      <c r="B949" t="s">
        <v>13</v>
      </c>
      <c r="C949">
        <v>6</v>
      </c>
      <c r="D949">
        <v>6</v>
      </c>
      <c r="E949" t="s">
        <v>17</v>
      </c>
      <c r="F949">
        <v>17.5</v>
      </c>
      <c r="G949">
        <v>15.83</v>
      </c>
      <c r="H949" t="s">
        <v>17</v>
      </c>
      <c r="I949" t="str">
        <f>"069102912678"</f>
        <v>069102912678</v>
      </c>
    </row>
    <row r="950" spans="1:9" x14ac:dyDescent="0.25">
      <c r="A950" t="s">
        <v>879</v>
      </c>
      <c r="B950" t="s">
        <v>13</v>
      </c>
      <c r="C950">
        <v>33.6</v>
      </c>
      <c r="D950">
        <v>31.6</v>
      </c>
      <c r="E950" t="s">
        <v>17</v>
      </c>
      <c r="F950">
        <v>23.15</v>
      </c>
      <c r="G950">
        <v>22.69</v>
      </c>
      <c r="H950" t="s">
        <v>17</v>
      </c>
      <c r="I950" t="str">
        <f>"060907011969"</f>
        <v>060907011969</v>
      </c>
    </row>
    <row r="951" spans="1:9" x14ac:dyDescent="0.25">
      <c r="A951" t="s">
        <v>880</v>
      </c>
      <c r="B951" t="s">
        <v>13</v>
      </c>
      <c r="C951">
        <v>27</v>
      </c>
      <c r="D951">
        <v>27</v>
      </c>
      <c r="E951" t="s">
        <v>17</v>
      </c>
      <c r="F951">
        <v>24.04</v>
      </c>
      <c r="G951">
        <v>24.19</v>
      </c>
      <c r="H951" t="s">
        <v>17</v>
      </c>
      <c r="I951" t="str">
        <f>"064119006814"</f>
        <v>064119006814</v>
      </c>
    </row>
    <row r="952" spans="1:9" x14ac:dyDescent="0.25">
      <c r="A952" t="s">
        <v>881</v>
      </c>
      <c r="B952" t="s">
        <v>13</v>
      </c>
      <c r="C952">
        <v>2.61</v>
      </c>
      <c r="D952">
        <v>2</v>
      </c>
      <c r="E952" t="s">
        <v>17</v>
      </c>
      <c r="F952">
        <v>9.9600000000000009</v>
      </c>
      <c r="G952">
        <v>20.5</v>
      </c>
      <c r="H952" t="s">
        <v>17</v>
      </c>
      <c r="I952" t="str">
        <f>"063667006215"</f>
        <v>063667006215</v>
      </c>
    </row>
    <row r="953" spans="1:9" x14ac:dyDescent="0.25">
      <c r="A953" t="s">
        <v>882</v>
      </c>
      <c r="B953" t="s">
        <v>13</v>
      </c>
      <c r="C953">
        <v>1</v>
      </c>
      <c r="D953">
        <v>1</v>
      </c>
      <c r="E953" t="s">
        <v>17</v>
      </c>
      <c r="F953">
        <v>12</v>
      </c>
      <c r="G953">
        <v>9</v>
      </c>
      <c r="H953" t="s">
        <v>17</v>
      </c>
      <c r="I953" t="str">
        <f>"060549000500"</f>
        <v>060549000500</v>
      </c>
    </row>
    <row r="954" spans="1:9" x14ac:dyDescent="0.25">
      <c r="A954" t="s">
        <v>883</v>
      </c>
      <c r="B954" t="s">
        <v>13</v>
      </c>
      <c r="C954">
        <v>38.33</v>
      </c>
      <c r="D954">
        <v>38.76</v>
      </c>
      <c r="E954" t="s">
        <v>17</v>
      </c>
      <c r="F954">
        <v>23.17</v>
      </c>
      <c r="G954">
        <v>23.89</v>
      </c>
      <c r="H954" t="s">
        <v>17</v>
      </c>
      <c r="I954" t="str">
        <f>"063471007483"</f>
        <v>063471007483</v>
      </c>
    </row>
    <row r="955" spans="1:9" x14ac:dyDescent="0.25">
      <c r="A955" t="s">
        <v>884</v>
      </c>
      <c r="B955" t="s">
        <v>13</v>
      </c>
      <c r="C955">
        <v>4.93</v>
      </c>
      <c r="D955">
        <v>9.9499999999999993</v>
      </c>
      <c r="E955" t="s">
        <v>17</v>
      </c>
      <c r="F955">
        <v>22.31</v>
      </c>
      <c r="G955">
        <v>11.96</v>
      </c>
      <c r="H955" t="s">
        <v>17</v>
      </c>
      <c r="I955" t="str">
        <f>"060552000501"</f>
        <v>060552000501</v>
      </c>
    </row>
    <row r="956" spans="1:9" x14ac:dyDescent="0.25">
      <c r="A956" t="s">
        <v>885</v>
      </c>
      <c r="B956" t="s">
        <v>13</v>
      </c>
      <c r="C956">
        <v>26.7</v>
      </c>
      <c r="D956">
        <v>26.2</v>
      </c>
      <c r="E956" t="s">
        <v>17</v>
      </c>
      <c r="F956">
        <v>21.5</v>
      </c>
      <c r="G956">
        <v>21.15</v>
      </c>
      <c r="H956" t="s">
        <v>17</v>
      </c>
      <c r="I956" t="str">
        <f>"063513007356"</f>
        <v>063513007356</v>
      </c>
    </row>
    <row r="957" spans="1:9" x14ac:dyDescent="0.25">
      <c r="A957" t="s">
        <v>886</v>
      </c>
      <c r="B957" t="s">
        <v>13</v>
      </c>
      <c r="C957">
        <v>71.56</v>
      </c>
      <c r="D957">
        <v>70.459999999999994</v>
      </c>
      <c r="E957" t="s">
        <v>17</v>
      </c>
      <c r="F957">
        <v>28.12</v>
      </c>
      <c r="G957">
        <v>29.61</v>
      </c>
      <c r="H957" t="s">
        <v>17</v>
      </c>
      <c r="I957" t="str">
        <f>"061488001827"</f>
        <v>061488001827</v>
      </c>
    </row>
    <row r="958" spans="1:9" x14ac:dyDescent="0.25">
      <c r="A958" t="s">
        <v>887</v>
      </c>
      <c r="B958" t="s">
        <v>13</v>
      </c>
      <c r="C958">
        <v>15.3</v>
      </c>
      <c r="D958">
        <v>14.3</v>
      </c>
      <c r="E958" t="s">
        <v>17</v>
      </c>
      <c r="F958">
        <v>30.13</v>
      </c>
      <c r="G958">
        <v>31.4</v>
      </c>
      <c r="H958" t="s">
        <v>17</v>
      </c>
      <c r="I958" t="str">
        <f>"063579012689"</f>
        <v>063579012689</v>
      </c>
    </row>
    <row r="959" spans="1:9" x14ac:dyDescent="0.25">
      <c r="A959" t="s">
        <v>888</v>
      </c>
      <c r="B959" t="s">
        <v>13</v>
      </c>
      <c r="C959">
        <v>28.6</v>
      </c>
      <c r="D959">
        <v>28.33</v>
      </c>
      <c r="E959" t="s">
        <v>17</v>
      </c>
      <c r="F959">
        <v>25.49</v>
      </c>
      <c r="G959">
        <v>25.7</v>
      </c>
      <c r="H959" t="s">
        <v>17</v>
      </c>
      <c r="I959" t="str">
        <f>"062847004389"</f>
        <v>062847004389</v>
      </c>
    </row>
    <row r="960" spans="1:9" x14ac:dyDescent="0.25">
      <c r="A960" t="s">
        <v>889</v>
      </c>
      <c r="B960" t="s">
        <v>13</v>
      </c>
      <c r="C960">
        <v>16</v>
      </c>
      <c r="D960">
        <v>17.600000000000001</v>
      </c>
      <c r="E960" t="s">
        <v>17</v>
      </c>
      <c r="F960">
        <v>29.38</v>
      </c>
      <c r="G960">
        <v>28.18</v>
      </c>
      <c r="H960" t="s">
        <v>17</v>
      </c>
      <c r="I960" t="str">
        <f>"068450007051"</f>
        <v>068450007051</v>
      </c>
    </row>
    <row r="961" spans="1:9" x14ac:dyDescent="0.25">
      <c r="A961" t="s">
        <v>890</v>
      </c>
      <c r="B961" t="s">
        <v>13</v>
      </c>
      <c r="C961">
        <v>6</v>
      </c>
      <c r="D961">
        <v>6</v>
      </c>
      <c r="E961" t="s">
        <v>17</v>
      </c>
      <c r="F961">
        <v>28.17</v>
      </c>
      <c r="G961">
        <v>26.5</v>
      </c>
      <c r="H961" t="s">
        <v>17</v>
      </c>
      <c r="I961" t="str">
        <f>"062720004099"</f>
        <v>062720004099</v>
      </c>
    </row>
    <row r="962" spans="1:9" x14ac:dyDescent="0.25">
      <c r="A962" t="s">
        <v>890</v>
      </c>
      <c r="B962" t="s">
        <v>13</v>
      </c>
      <c r="C962">
        <v>24.5</v>
      </c>
      <c r="D962">
        <v>24</v>
      </c>
      <c r="E962" t="s">
        <v>17</v>
      </c>
      <c r="F962">
        <v>24.45</v>
      </c>
      <c r="G962">
        <v>23.79</v>
      </c>
      <c r="H962" t="s">
        <v>17</v>
      </c>
      <c r="I962" t="str">
        <f>"060558000502"</f>
        <v>060558000502</v>
      </c>
    </row>
    <row r="963" spans="1:9" x14ac:dyDescent="0.25">
      <c r="A963" t="s">
        <v>891</v>
      </c>
      <c r="B963" t="s">
        <v>13</v>
      </c>
      <c r="C963">
        <v>71.099999999999994</v>
      </c>
      <c r="D963">
        <v>71</v>
      </c>
      <c r="E963" t="s">
        <v>17</v>
      </c>
      <c r="F963">
        <v>27.27</v>
      </c>
      <c r="G963">
        <v>27.86</v>
      </c>
      <c r="H963" t="s">
        <v>17</v>
      </c>
      <c r="I963" t="str">
        <f>"060561000505"</f>
        <v>060561000505</v>
      </c>
    </row>
    <row r="964" spans="1:9" x14ac:dyDescent="0.25">
      <c r="A964" t="s">
        <v>892</v>
      </c>
      <c r="B964" t="s">
        <v>13</v>
      </c>
      <c r="C964">
        <v>23</v>
      </c>
      <c r="D964">
        <v>24</v>
      </c>
      <c r="E964" t="s">
        <v>17</v>
      </c>
      <c r="F964">
        <v>22.35</v>
      </c>
      <c r="G964">
        <v>20</v>
      </c>
      <c r="H964" t="s">
        <v>17</v>
      </c>
      <c r="I964" t="str">
        <f>"062271002859"</f>
        <v>062271002859</v>
      </c>
    </row>
    <row r="965" spans="1:9" x14ac:dyDescent="0.25">
      <c r="A965" t="s">
        <v>893</v>
      </c>
      <c r="B965" t="s">
        <v>13</v>
      </c>
      <c r="C965">
        <v>39.409999999999997</v>
      </c>
      <c r="D965">
        <v>44.6</v>
      </c>
      <c r="E965" t="s">
        <v>17</v>
      </c>
      <c r="F965">
        <v>26.67</v>
      </c>
      <c r="G965">
        <v>24.22</v>
      </c>
      <c r="H965" t="s">
        <v>17</v>
      </c>
      <c r="I965" t="str">
        <f>"063864006474"</f>
        <v>063864006474</v>
      </c>
    </row>
    <row r="966" spans="1:9" x14ac:dyDescent="0.25">
      <c r="A966" t="s">
        <v>894</v>
      </c>
      <c r="B966" t="s">
        <v>13</v>
      </c>
      <c r="C966">
        <v>86.24</v>
      </c>
      <c r="D966">
        <v>84.23</v>
      </c>
      <c r="E966" t="s">
        <v>17</v>
      </c>
      <c r="F966">
        <v>29.74</v>
      </c>
      <c r="G966">
        <v>27.39</v>
      </c>
      <c r="H966" t="s">
        <v>17</v>
      </c>
      <c r="I966" t="str">
        <f>"063864006475"</f>
        <v>063864006475</v>
      </c>
    </row>
    <row r="967" spans="1:9" x14ac:dyDescent="0.25">
      <c r="A967" t="s">
        <v>895</v>
      </c>
      <c r="B967" t="s">
        <v>13</v>
      </c>
      <c r="C967">
        <v>7.98</v>
      </c>
      <c r="D967">
        <v>7.88</v>
      </c>
      <c r="E967" t="s">
        <v>17</v>
      </c>
      <c r="F967">
        <v>16.54</v>
      </c>
      <c r="G967">
        <v>16.37</v>
      </c>
      <c r="H967" t="s">
        <v>17</v>
      </c>
      <c r="I967" t="str">
        <f>"060564000515"</f>
        <v>060564000515</v>
      </c>
    </row>
    <row r="968" spans="1:9" x14ac:dyDescent="0.25">
      <c r="A968" t="s">
        <v>896</v>
      </c>
      <c r="B968" t="s">
        <v>13</v>
      </c>
      <c r="C968">
        <v>10</v>
      </c>
      <c r="D968">
        <v>11</v>
      </c>
      <c r="E968" t="s">
        <v>17</v>
      </c>
      <c r="F968">
        <v>28.6</v>
      </c>
      <c r="G968">
        <v>25.91</v>
      </c>
      <c r="H968" t="s">
        <v>17</v>
      </c>
      <c r="I968" t="str">
        <f>"063204004925"</f>
        <v>063204004925</v>
      </c>
    </row>
    <row r="969" spans="1:9" x14ac:dyDescent="0.25">
      <c r="A969" t="s">
        <v>897</v>
      </c>
      <c r="B969" t="s">
        <v>13</v>
      </c>
      <c r="C969">
        <v>31.3</v>
      </c>
      <c r="D969">
        <v>41</v>
      </c>
      <c r="E969" t="s">
        <v>17</v>
      </c>
      <c r="F969">
        <v>30.83</v>
      </c>
      <c r="G969">
        <v>22.22</v>
      </c>
      <c r="H969" t="s">
        <v>17</v>
      </c>
      <c r="I969" t="str">
        <f>"060567000516"</f>
        <v>060567000516</v>
      </c>
    </row>
    <row r="970" spans="1:9" x14ac:dyDescent="0.25">
      <c r="A970" t="s">
        <v>898</v>
      </c>
      <c r="B970" t="s">
        <v>13</v>
      </c>
      <c r="C970">
        <v>16.3</v>
      </c>
      <c r="D970">
        <v>22.5</v>
      </c>
      <c r="E970" t="s">
        <v>17</v>
      </c>
      <c r="F970">
        <v>32.020000000000003</v>
      </c>
      <c r="G970">
        <v>20.67</v>
      </c>
      <c r="H970" t="s">
        <v>17</v>
      </c>
      <c r="I970" t="str">
        <f>"060567011749"</f>
        <v>060567011749</v>
      </c>
    </row>
    <row r="971" spans="1:9" x14ac:dyDescent="0.25">
      <c r="A971" t="s">
        <v>899</v>
      </c>
      <c r="B971" t="s">
        <v>13</v>
      </c>
      <c r="C971">
        <v>29.68</v>
      </c>
      <c r="D971">
        <v>29.69</v>
      </c>
      <c r="E971" t="s">
        <v>17</v>
      </c>
      <c r="F971">
        <v>26.75</v>
      </c>
      <c r="G971">
        <v>26.95</v>
      </c>
      <c r="H971" t="s">
        <v>17</v>
      </c>
      <c r="I971" t="str">
        <f>"063459005702"</f>
        <v>063459005702</v>
      </c>
    </row>
    <row r="972" spans="1:9" x14ac:dyDescent="0.25">
      <c r="A972" t="s">
        <v>900</v>
      </c>
      <c r="B972" t="s">
        <v>13</v>
      </c>
      <c r="C972">
        <v>28.6</v>
      </c>
      <c r="D972">
        <v>29</v>
      </c>
      <c r="E972" t="s">
        <v>17</v>
      </c>
      <c r="F972">
        <v>19.440000000000001</v>
      </c>
      <c r="G972">
        <v>19.93</v>
      </c>
      <c r="H972" t="s">
        <v>17</v>
      </c>
      <c r="I972" t="str">
        <f>"063432005423"</f>
        <v>063432005423</v>
      </c>
    </row>
    <row r="973" spans="1:9" x14ac:dyDescent="0.25">
      <c r="A973" t="s">
        <v>901</v>
      </c>
      <c r="B973" t="s">
        <v>13</v>
      </c>
      <c r="C973">
        <v>42.35</v>
      </c>
      <c r="D973">
        <v>41.66</v>
      </c>
      <c r="E973" t="s">
        <v>17</v>
      </c>
      <c r="F973">
        <v>21.84</v>
      </c>
      <c r="G973">
        <v>22.3</v>
      </c>
      <c r="H973" t="s">
        <v>17</v>
      </c>
      <c r="I973" t="str">
        <f>"063492005901"</f>
        <v>063492005901</v>
      </c>
    </row>
    <row r="974" spans="1:9" x14ac:dyDescent="0.25">
      <c r="A974" t="s">
        <v>902</v>
      </c>
      <c r="B974" t="s">
        <v>13</v>
      </c>
      <c r="C974">
        <v>16</v>
      </c>
      <c r="D974">
        <v>15.5</v>
      </c>
      <c r="E974" t="s">
        <v>17</v>
      </c>
      <c r="F974">
        <v>16</v>
      </c>
      <c r="G974">
        <v>17.23</v>
      </c>
      <c r="H974" t="s">
        <v>17</v>
      </c>
      <c r="I974" t="str">
        <f>"062649003994"</f>
        <v>062649003994</v>
      </c>
    </row>
    <row r="975" spans="1:9" x14ac:dyDescent="0.25">
      <c r="A975" t="s">
        <v>903</v>
      </c>
      <c r="B975" t="s">
        <v>13</v>
      </c>
      <c r="C975" t="str">
        <f>"0.50"</f>
        <v>0.50</v>
      </c>
      <c r="D975" t="str">
        <f>"0.50"</f>
        <v>0.50</v>
      </c>
      <c r="E975" t="s">
        <v>17</v>
      </c>
      <c r="F975">
        <v>10</v>
      </c>
      <c r="G975">
        <v>20</v>
      </c>
      <c r="H975" t="s">
        <v>17</v>
      </c>
      <c r="I975" t="str">
        <f>"069102112152"</f>
        <v>069102112152</v>
      </c>
    </row>
    <row r="976" spans="1:9" x14ac:dyDescent="0.25">
      <c r="A976" t="s">
        <v>904</v>
      </c>
      <c r="B976" t="s">
        <v>13</v>
      </c>
      <c r="C976">
        <v>28</v>
      </c>
      <c r="D976">
        <v>30</v>
      </c>
      <c r="E976" t="s">
        <v>17</v>
      </c>
      <c r="F976">
        <v>28.68</v>
      </c>
      <c r="G976">
        <v>25.57</v>
      </c>
      <c r="H976" t="s">
        <v>17</v>
      </c>
      <c r="I976" t="str">
        <f>"063393010970"</f>
        <v>063393010970</v>
      </c>
    </row>
    <row r="977" spans="1:9" x14ac:dyDescent="0.25">
      <c r="A977" t="s">
        <v>905</v>
      </c>
      <c r="B977" t="s">
        <v>13</v>
      </c>
      <c r="C977">
        <v>10.33</v>
      </c>
      <c r="D977">
        <v>12</v>
      </c>
      <c r="E977" t="s">
        <v>17</v>
      </c>
      <c r="F977">
        <v>18.2</v>
      </c>
      <c r="G977">
        <v>17.829999999999998</v>
      </c>
      <c r="H977" t="s">
        <v>17</v>
      </c>
      <c r="I977" t="str">
        <f>"060570000517"</f>
        <v>060570000517</v>
      </c>
    </row>
    <row r="978" spans="1:9" x14ac:dyDescent="0.25">
      <c r="A978" t="s">
        <v>906</v>
      </c>
      <c r="B978" t="s">
        <v>13</v>
      </c>
      <c r="C978">
        <v>7.43</v>
      </c>
      <c r="D978">
        <v>8.5299999999999994</v>
      </c>
      <c r="E978" t="s">
        <v>17</v>
      </c>
      <c r="F978">
        <v>18.98</v>
      </c>
      <c r="G978">
        <v>17.579999999999998</v>
      </c>
      <c r="H978" t="s">
        <v>17</v>
      </c>
      <c r="I978" t="str">
        <f>"060570000518"</f>
        <v>060570000518</v>
      </c>
    </row>
    <row r="979" spans="1:9" x14ac:dyDescent="0.25">
      <c r="A979" t="s">
        <v>907</v>
      </c>
      <c r="B979" t="s">
        <v>13</v>
      </c>
      <c r="C979">
        <v>6.23</v>
      </c>
      <c r="D979">
        <v>5.4</v>
      </c>
      <c r="E979" t="s">
        <v>17</v>
      </c>
      <c r="F979">
        <v>17.82</v>
      </c>
      <c r="G979">
        <v>19.809999999999999</v>
      </c>
      <c r="H979" t="s">
        <v>17</v>
      </c>
      <c r="I979" t="str">
        <f>"060570007636"</f>
        <v>060570007636</v>
      </c>
    </row>
    <row r="980" spans="1:9" x14ac:dyDescent="0.25">
      <c r="A980" t="s">
        <v>908</v>
      </c>
      <c r="B980" t="s">
        <v>13</v>
      </c>
      <c r="C980">
        <v>23.5</v>
      </c>
      <c r="D980">
        <v>24</v>
      </c>
      <c r="E980" t="s">
        <v>17</v>
      </c>
      <c r="F980">
        <v>24.6</v>
      </c>
      <c r="G980">
        <v>24.17</v>
      </c>
      <c r="H980" t="s">
        <v>17</v>
      </c>
      <c r="I980" t="str">
        <f>"060681000606"</f>
        <v>060681000606</v>
      </c>
    </row>
    <row r="981" spans="1:9" x14ac:dyDescent="0.25">
      <c r="A981" t="s">
        <v>909</v>
      </c>
      <c r="B981" t="s">
        <v>13</v>
      </c>
      <c r="C981">
        <v>22.7</v>
      </c>
      <c r="D981">
        <v>24.4</v>
      </c>
      <c r="E981" t="s">
        <v>17</v>
      </c>
      <c r="F981">
        <v>22.47</v>
      </c>
      <c r="G981">
        <v>19.34</v>
      </c>
      <c r="H981" t="s">
        <v>17</v>
      </c>
      <c r="I981" t="str">
        <f>"063474005861"</f>
        <v>063474005861</v>
      </c>
    </row>
    <row r="982" spans="1:9" x14ac:dyDescent="0.25">
      <c r="A982" t="s">
        <v>909</v>
      </c>
      <c r="B982" t="s">
        <v>13</v>
      </c>
      <c r="C982">
        <v>37.96</v>
      </c>
      <c r="D982">
        <v>38.6</v>
      </c>
      <c r="E982" t="s">
        <v>17</v>
      </c>
      <c r="F982">
        <v>25.92</v>
      </c>
      <c r="G982">
        <v>24.84</v>
      </c>
      <c r="H982" t="s">
        <v>17</v>
      </c>
      <c r="I982" t="str">
        <f>"061281002810"</f>
        <v>061281002810</v>
      </c>
    </row>
    <row r="983" spans="1:9" x14ac:dyDescent="0.25">
      <c r="A983" t="s">
        <v>910</v>
      </c>
      <c r="B983" t="s">
        <v>13</v>
      </c>
      <c r="C983">
        <v>9.5</v>
      </c>
      <c r="D983">
        <v>13</v>
      </c>
      <c r="E983" t="s">
        <v>17</v>
      </c>
      <c r="F983">
        <v>32.42</v>
      </c>
      <c r="G983">
        <v>26.46</v>
      </c>
      <c r="H983" t="s">
        <v>17</v>
      </c>
      <c r="I983" t="str">
        <f>"060210009696"</f>
        <v>060210009696</v>
      </c>
    </row>
    <row r="984" spans="1:9" x14ac:dyDescent="0.25">
      <c r="A984" t="s">
        <v>911</v>
      </c>
      <c r="B984" t="s">
        <v>13</v>
      </c>
      <c r="C984" t="s">
        <v>17</v>
      </c>
      <c r="D984" t="s">
        <v>14</v>
      </c>
      <c r="E984" t="s">
        <v>14</v>
      </c>
      <c r="F984" t="s">
        <v>17</v>
      </c>
      <c r="G984" t="s">
        <v>14</v>
      </c>
      <c r="H984" t="s">
        <v>14</v>
      </c>
      <c r="I984" t="str">
        <f>"063339013596"</f>
        <v>063339013596</v>
      </c>
    </row>
    <row r="985" spans="1:9" x14ac:dyDescent="0.25">
      <c r="A985" t="s">
        <v>912</v>
      </c>
      <c r="B985" t="s">
        <v>13</v>
      </c>
      <c r="C985" t="s">
        <v>14</v>
      </c>
      <c r="D985">
        <v>54.06</v>
      </c>
      <c r="E985" t="s">
        <v>17</v>
      </c>
      <c r="F985" t="s">
        <v>17</v>
      </c>
      <c r="G985">
        <v>39.81</v>
      </c>
      <c r="H985" t="s">
        <v>17</v>
      </c>
      <c r="I985" t="str">
        <f>"063864012134"</f>
        <v>063864012134</v>
      </c>
    </row>
    <row r="986" spans="1:9" x14ac:dyDescent="0.25">
      <c r="A986" t="s">
        <v>913</v>
      </c>
      <c r="B986" t="s">
        <v>13</v>
      </c>
      <c r="C986">
        <v>39.479999999999997</v>
      </c>
      <c r="D986">
        <v>39.67</v>
      </c>
      <c r="E986" t="s">
        <v>17</v>
      </c>
      <c r="F986">
        <v>24.16</v>
      </c>
      <c r="G986">
        <v>23.67</v>
      </c>
      <c r="H986" t="s">
        <v>17</v>
      </c>
      <c r="I986" t="str">
        <f>"063492005902"</f>
        <v>063492005902</v>
      </c>
    </row>
    <row r="987" spans="1:9" x14ac:dyDescent="0.25">
      <c r="A987" t="s">
        <v>914</v>
      </c>
      <c r="B987" t="s">
        <v>13</v>
      </c>
      <c r="C987">
        <v>13</v>
      </c>
      <c r="D987">
        <v>14.25</v>
      </c>
      <c r="E987" t="s">
        <v>17</v>
      </c>
      <c r="F987">
        <v>27.54</v>
      </c>
      <c r="G987">
        <v>24.35</v>
      </c>
      <c r="H987" t="s">
        <v>17</v>
      </c>
      <c r="I987" t="str">
        <f>"063543006033"</f>
        <v>063543006033</v>
      </c>
    </row>
    <row r="988" spans="1:9" x14ac:dyDescent="0.25">
      <c r="A988" t="s">
        <v>915</v>
      </c>
      <c r="B988" t="s">
        <v>13</v>
      </c>
      <c r="C988">
        <v>28.5</v>
      </c>
      <c r="D988">
        <v>32.4</v>
      </c>
      <c r="E988" t="s">
        <v>17</v>
      </c>
      <c r="F988">
        <v>28.49</v>
      </c>
      <c r="G988">
        <v>24.38</v>
      </c>
      <c r="H988" t="s">
        <v>17</v>
      </c>
      <c r="I988" t="str">
        <f>"063384005224"</f>
        <v>063384005224</v>
      </c>
    </row>
    <row r="989" spans="1:9" x14ac:dyDescent="0.25">
      <c r="A989" t="s">
        <v>916</v>
      </c>
      <c r="B989" t="s">
        <v>13</v>
      </c>
      <c r="C989">
        <v>20.3</v>
      </c>
      <c r="D989">
        <v>20.100000000000001</v>
      </c>
      <c r="E989" t="s">
        <v>17</v>
      </c>
      <c r="F989">
        <v>25.42</v>
      </c>
      <c r="G989">
        <v>25.42</v>
      </c>
      <c r="H989" t="s">
        <v>17</v>
      </c>
      <c r="I989" t="str">
        <f>"064251006957"</f>
        <v>064251006957</v>
      </c>
    </row>
    <row r="990" spans="1:9" x14ac:dyDescent="0.25">
      <c r="A990" t="s">
        <v>917</v>
      </c>
      <c r="B990" t="s">
        <v>13</v>
      </c>
      <c r="C990">
        <v>27.4</v>
      </c>
      <c r="D990">
        <v>27.4</v>
      </c>
      <c r="E990" t="s">
        <v>17</v>
      </c>
      <c r="F990">
        <v>19.78</v>
      </c>
      <c r="G990">
        <v>19.2</v>
      </c>
      <c r="H990" t="s">
        <v>17</v>
      </c>
      <c r="I990" t="str">
        <f>"060168000037"</f>
        <v>060168000037</v>
      </c>
    </row>
    <row r="991" spans="1:9" x14ac:dyDescent="0.25">
      <c r="A991" t="s">
        <v>918</v>
      </c>
      <c r="B991" t="s">
        <v>13</v>
      </c>
      <c r="C991">
        <v>16.7</v>
      </c>
      <c r="D991">
        <v>17.850000000000001</v>
      </c>
      <c r="E991" t="s">
        <v>17</v>
      </c>
      <c r="F991">
        <v>30.66</v>
      </c>
      <c r="G991">
        <v>30.03</v>
      </c>
      <c r="H991" t="s">
        <v>17</v>
      </c>
      <c r="I991" t="str">
        <f>"061674002104"</f>
        <v>061674002104</v>
      </c>
    </row>
    <row r="992" spans="1:9" x14ac:dyDescent="0.25">
      <c r="A992" t="s">
        <v>919</v>
      </c>
      <c r="B992" t="s">
        <v>13</v>
      </c>
      <c r="C992">
        <v>17</v>
      </c>
      <c r="D992">
        <v>20</v>
      </c>
      <c r="E992" t="s">
        <v>17</v>
      </c>
      <c r="F992">
        <v>26.29</v>
      </c>
      <c r="G992">
        <v>24.95</v>
      </c>
      <c r="H992" t="s">
        <v>17</v>
      </c>
      <c r="I992" t="str">
        <f>"062580009586"</f>
        <v>062580009586</v>
      </c>
    </row>
    <row r="993" spans="1:9" x14ac:dyDescent="0.25">
      <c r="A993" t="s">
        <v>920</v>
      </c>
      <c r="B993" t="s">
        <v>13</v>
      </c>
      <c r="C993">
        <v>19.52</v>
      </c>
      <c r="D993">
        <v>26</v>
      </c>
      <c r="E993" t="s">
        <v>17</v>
      </c>
      <c r="F993">
        <v>28.18</v>
      </c>
      <c r="G993">
        <v>21.88</v>
      </c>
      <c r="H993" t="s">
        <v>17</v>
      </c>
      <c r="I993" t="str">
        <f>"063237004987"</f>
        <v>063237004987</v>
      </c>
    </row>
    <row r="994" spans="1:9" x14ac:dyDescent="0.25">
      <c r="A994" t="s">
        <v>921</v>
      </c>
      <c r="B994" t="s">
        <v>13</v>
      </c>
      <c r="C994">
        <v>3</v>
      </c>
      <c r="D994">
        <v>3</v>
      </c>
      <c r="E994" t="s">
        <v>17</v>
      </c>
      <c r="F994">
        <v>39.33</v>
      </c>
      <c r="G994">
        <v>25.33</v>
      </c>
      <c r="H994" t="s">
        <v>17</v>
      </c>
      <c r="I994" t="str">
        <f>"062271007763"</f>
        <v>062271007763</v>
      </c>
    </row>
    <row r="995" spans="1:9" x14ac:dyDescent="0.25">
      <c r="A995" t="s">
        <v>922</v>
      </c>
      <c r="B995" t="s">
        <v>13</v>
      </c>
      <c r="C995">
        <v>18.149999999999999</v>
      </c>
      <c r="D995">
        <v>16.5</v>
      </c>
      <c r="E995" t="s">
        <v>17</v>
      </c>
      <c r="F995">
        <v>12.73</v>
      </c>
      <c r="G995">
        <v>15.7</v>
      </c>
      <c r="H995" t="s">
        <v>17</v>
      </c>
      <c r="I995" t="str">
        <f>"060723000658"</f>
        <v>060723000658</v>
      </c>
    </row>
    <row r="996" spans="1:9" x14ac:dyDescent="0.25">
      <c r="A996" t="s">
        <v>923</v>
      </c>
      <c r="B996" t="s">
        <v>13</v>
      </c>
      <c r="C996">
        <v>11.27</v>
      </c>
      <c r="D996">
        <v>11.1</v>
      </c>
      <c r="E996" t="s">
        <v>17</v>
      </c>
      <c r="F996">
        <v>13.13</v>
      </c>
      <c r="G996">
        <v>15.41</v>
      </c>
      <c r="H996" t="s">
        <v>17</v>
      </c>
      <c r="I996" t="str">
        <f>"060846000832"</f>
        <v>060846000832</v>
      </c>
    </row>
    <row r="997" spans="1:9" x14ac:dyDescent="0.25">
      <c r="A997" t="s">
        <v>924</v>
      </c>
      <c r="B997" t="s">
        <v>13</v>
      </c>
      <c r="C997">
        <v>15.55</v>
      </c>
      <c r="D997">
        <v>15.3</v>
      </c>
      <c r="E997" t="s">
        <v>17</v>
      </c>
      <c r="F997">
        <v>25.59</v>
      </c>
      <c r="G997">
        <v>24.25</v>
      </c>
      <c r="H997" t="s">
        <v>17</v>
      </c>
      <c r="I997" t="str">
        <f>"063543006034"</f>
        <v>063543006034</v>
      </c>
    </row>
    <row r="998" spans="1:9" x14ac:dyDescent="0.25">
      <c r="A998" t="s">
        <v>925</v>
      </c>
      <c r="B998" t="s">
        <v>13</v>
      </c>
      <c r="C998">
        <v>17</v>
      </c>
      <c r="D998">
        <v>16.5</v>
      </c>
      <c r="E998" t="s">
        <v>17</v>
      </c>
      <c r="F998">
        <v>23.47</v>
      </c>
      <c r="G998">
        <v>24.48</v>
      </c>
      <c r="H998" t="s">
        <v>17</v>
      </c>
      <c r="I998" t="str">
        <f>"062271002860"</f>
        <v>062271002860</v>
      </c>
    </row>
    <row r="999" spans="1:9" x14ac:dyDescent="0.25">
      <c r="A999" t="s">
        <v>926</v>
      </c>
      <c r="B999" t="s">
        <v>13</v>
      </c>
      <c r="C999">
        <v>12.25</v>
      </c>
      <c r="D999">
        <v>15.2</v>
      </c>
      <c r="E999" t="s">
        <v>17</v>
      </c>
      <c r="F999">
        <v>22.04</v>
      </c>
      <c r="G999">
        <v>19.079999999999998</v>
      </c>
      <c r="H999" t="s">
        <v>17</v>
      </c>
      <c r="I999" t="str">
        <f>"063360005188"</f>
        <v>063360005188</v>
      </c>
    </row>
    <row r="1000" spans="1:9" x14ac:dyDescent="0.25">
      <c r="A1000" t="s">
        <v>927</v>
      </c>
      <c r="B1000" t="s">
        <v>13</v>
      </c>
      <c r="C1000">
        <v>34.5</v>
      </c>
      <c r="D1000">
        <v>38</v>
      </c>
      <c r="E1000" t="s">
        <v>17</v>
      </c>
      <c r="F1000">
        <v>19.97</v>
      </c>
      <c r="G1000">
        <v>18.760000000000002</v>
      </c>
      <c r="H1000" t="s">
        <v>17</v>
      </c>
      <c r="I1000" t="str">
        <f>"063417005349"</f>
        <v>063417005349</v>
      </c>
    </row>
    <row r="1001" spans="1:9" x14ac:dyDescent="0.25">
      <c r="A1001" t="s">
        <v>927</v>
      </c>
      <c r="B1001" t="s">
        <v>13</v>
      </c>
      <c r="C1001">
        <v>6.5</v>
      </c>
      <c r="D1001">
        <v>5</v>
      </c>
      <c r="E1001" t="s">
        <v>17</v>
      </c>
      <c r="F1001">
        <v>12.15</v>
      </c>
      <c r="G1001">
        <v>14.6</v>
      </c>
      <c r="H1001" t="s">
        <v>17</v>
      </c>
      <c r="I1001" t="str">
        <f>"060573000519"</f>
        <v>060573000519</v>
      </c>
    </row>
    <row r="1002" spans="1:9" x14ac:dyDescent="0.25">
      <c r="A1002" t="s">
        <v>927</v>
      </c>
      <c r="B1002" t="s">
        <v>13</v>
      </c>
      <c r="C1002">
        <v>20</v>
      </c>
      <c r="D1002">
        <v>20</v>
      </c>
      <c r="E1002" t="s">
        <v>17</v>
      </c>
      <c r="F1002">
        <v>26.6</v>
      </c>
      <c r="G1002">
        <v>26.75</v>
      </c>
      <c r="H1002" t="s">
        <v>17</v>
      </c>
      <c r="I1002" t="str">
        <f>"062949004538"</f>
        <v>062949004538</v>
      </c>
    </row>
    <row r="1003" spans="1:9" x14ac:dyDescent="0.25">
      <c r="A1003" t="s">
        <v>928</v>
      </c>
      <c r="B1003" t="s">
        <v>13</v>
      </c>
      <c r="C1003">
        <v>21.4</v>
      </c>
      <c r="D1003">
        <v>24.4</v>
      </c>
      <c r="E1003" t="s">
        <v>17</v>
      </c>
      <c r="F1003">
        <v>26.03</v>
      </c>
      <c r="G1003">
        <v>23.93</v>
      </c>
      <c r="H1003" t="s">
        <v>17</v>
      </c>
      <c r="I1003" t="str">
        <f>"062532003775"</f>
        <v>062532003775</v>
      </c>
    </row>
    <row r="1004" spans="1:9" x14ac:dyDescent="0.25">
      <c r="A1004" t="s">
        <v>929</v>
      </c>
      <c r="B1004" t="s">
        <v>13</v>
      </c>
      <c r="C1004">
        <v>24</v>
      </c>
      <c r="D1004">
        <v>23.5</v>
      </c>
      <c r="E1004" t="s">
        <v>17</v>
      </c>
      <c r="F1004">
        <v>26.29</v>
      </c>
      <c r="G1004">
        <v>26.47</v>
      </c>
      <c r="H1004" t="s">
        <v>17</v>
      </c>
      <c r="I1004" t="str">
        <f>"060162000004"</f>
        <v>060162000004</v>
      </c>
    </row>
    <row r="1005" spans="1:9" x14ac:dyDescent="0.25">
      <c r="A1005" t="s">
        <v>930</v>
      </c>
      <c r="B1005" t="s">
        <v>13</v>
      </c>
      <c r="C1005">
        <v>11</v>
      </c>
      <c r="D1005">
        <v>13</v>
      </c>
      <c r="E1005" t="s">
        <v>17</v>
      </c>
      <c r="F1005">
        <v>19.27</v>
      </c>
      <c r="G1005">
        <v>17.920000000000002</v>
      </c>
      <c r="H1005" t="s">
        <v>17</v>
      </c>
      <c r="I1005" t="str">
        <f>"062271002861"</f>
        <v>062271002861</v>
      </c>
    </row>
    <row r="1006" spans="1:9" x14ac:dyDescent="0.25">
      <c r="A1006" t="s">
        <v>931</v>
      </c>
      <c r="B1006" t="s">
        <v>13</v>
      </c>
      <c r="C1006">
        <v>16.8</v>
      </c>
      <c r="D1006">
        <v>18.399999999999999</v>
      </c>
      <c r="E1006" t="s">
        <v>17</v>
      </c>
      <c r="F1006">
        <v>25.24</v>
      </c>
      <c r="G1006">
        <v>23.26</v>
      </c>
      <c r="H1006" t="s">
        <v>17</v>
      </c>
      <c r="I1006" t="str">
        <f>"063543001588"</f>
        <v>063543001588</v>
      </c>
    </row>
    <row r="1007" spans="1:9" x14ac:dyDescent="0.25">
      <c r="A1007" t="s">
        <v>932</v>
      </c>
      <c r="B1007" t="s">
        <v>13</v>
      </c>
      <c r="C1007">
        <v>11.5</v>
      </c>
      <c r="D1007">
        <v>10.5</v>
      </c>
      <c r="E1007" t="s">
        <v>17</v>
      </c>
      <c r="F1007">
        <v>26.87</v>
      </c>
      <c r="G1007">
        <v>28.67</v>
      </c>
      <c r="H1007" t="s">
        <v>17</v>
      </c>
      <c r="I1007" t="str">
        <f>"062308003517"</f>
        <v>062308003517</v>
      </c>
    </row>
    <row r="1008" spans="1:9" x14ac:dyDescent="0.25">
      <c r="A1008" t="s">
        <v>933</v>
      </c>
      <c r="B1008" t="s">
        <v>13</v>
      </c>
      <c r="C1008">
        <v>17.350000000000001</v>
      </c>
      <c r="D1008">
        <v>19.7</v>
      </c>
      <c r="E1008" t="s">
        <v>17</v>
      </c>
      <c r="F1008">
        <v>24.38</v>
      </c>
      <c r="G1008">
        <v>22.99</v>
      </c>
      <c r="H1008" t="s">
        <v>17</v>
      </c>
      <c r="I1008" t="str">
        <f>"063560006060"</f>
        <v>063560006060</v>
      </c>
    </row>
    <row r="1009" spans="1:9" x14ac:dyDescent="0.25">
      <c r="A1009" t="s">
        <v>934</v>
      </c>
      <c r="B1009" t="s">
        <v>13</v>
      </c>
      <c r="C1009">
        <v>20</v>
      </c>
      <c r="D1009">
        <v>21</v>
      </c>
      <c r="E1009" t="s">
        <v>17</v>
      </c>
      <c r="F1009">
        <v>20.75</v>
      </c>
      <c r="G1009">
        <v>21.24</v>
      </c>
      <c r="H1009" t="s">
        <v>17</v>
      </c>
      <c r="I1009" t="str">
        <f>"061551006622"</f>
        <v>061551006622</v>
      </c>
    </row>
    <row r="1010" spans="1:9" x14ac:dyDescent="0.25">
      <c r="A1010" t="s">
        <v>935</v>
      </c>
      <c r="B1010" t="s">
        <v>13</v>
      </c>
      <c r="C1010">
        <v>60</v>
      </c>
      <c r="D1010">
        <v>60</v>
      </c>
      <c r="E1010" t="s">
        <v>17</v>
      </c>
      <c r="F1010">
        <v>23.53</v>
      </c>
      <c r="G1010">
        <v>23.15</v>
      </c>
      <c r="H1010" t="s">
        <v>17</v>
      </c>
      <c r="I1010" t="str">
        <f>"060723008350"</f>
        <v>060723008350</v>
      </c>
    </row>
    <row r="1011" spans="1:9" x14ac:dyDescent="0.25">
      <c r="A1011" t="s">
        <v>936</v>
      </c>
      <c r="B1011" t="s">
        <v>13</v>
      </c>
      <c r="C1011">
        <v>1</v>
      </c>
      <c r="D1011">
        <v>1</v>
      </c>
      <c r="E1011" t="s">
        <v>17</v>
      </c>
      <c r="F1011">
        <v>10</v>
      </c>
      <c r="G1011">
        <v>17</v>
      </c>
      <c r="H1011" t="s">
        <v>17</v>
      </c>
      <c r="I1011" t="str">
        <f>"064258010147"</f>
        <v>064258010147</v>
      </c>
    </row>
    <row r="1012" spans="1:9" x14ac:dyDescent="0.25">
      <c r="A1012" t="s">
        <v>937</v>
      </c>
      <c r="B1012" t="s">
        <v>13</v>
      </c>
      <c r="C1012" t="s">
        <v>14</v>
      </c>
      <c r="D1012">
        <v>1.6</v>
      </c>
      <c r="E1012" t="s">
        <v>17</v>
      </c>
      <c r="F1012" t="s">
        <v>14</v>
      </c>
      <c r="G1012">
        <v>20.63</v>
      </c>
      <c r="H1012" t="s">
        <v>17</v>
      </c>
      <c r="I1012" t="str">
        <f>"064305006997"</f>
        <v>064305006997</v>
      </c>
    </row>
    <row r="1013" spans="1:9" x14ac:dyDescent="0.25">
      <c r="A1013" t="s">
        <v>937</v>
      </c>
      <c r="B1013" t="s">
        <v>13</v>
      </c>
      <c r="C1013" t="s">
        <v>17</v>
      </c>
      <c r="D1013" t="s">
        <v>14</v>
      </c>
      <c r="E1013" t="s">
        <v>14</v>
      </c>
      <c r="F1013" t="s">
        <v>17</v>
      </c>
      <c r="G1013" t="s">
        <v>14</v>
      </c>
      <c r="H1013" t="s">
        <v>14</v>
      </c>
      <c r="I1013" t="str">
        <f>"060141806997"</f>
        <v>060141806997</v>
      </c>
    </row>
    <row r="1014" spans="1:9" x14ac:dyDescent="0.25">
      <c r="A1014" t="s">
        <v>938</v>
      </c>
      <c r="B1014" t="s">
        <v>13</v>
      </c>
      <c r="C1014">
        <v>67</v>
      </c>
      <c r="D1014">
        <v>68</v>
      </c>
      <c r="E1014" t="s">
        <v>17</v>
      </c>
      <c r="F1014">
        <v>24.58</v>
      </c>
      <c r="G1014">
        <v>23.85</v>
      </c>
      <c r="H1014" t="s">
        <v>17</v>
      </c>
      <c r="I1014" t="str">
        <f>"060582000524"</f>
        <v>060582000524</v>
      </c>
    </row>
    <row r="1015" spans="1:9" x14ac:dyDescent="0.25">
      <c r="A1015" t="s">
        <v>939</v>
      </c>
      <c r="B1015" t="s">
        <v>13</v>
      </c>
      <c r="C1015">
        <v>5.0999999999999996</v>
      </c>
      <c r="D1015">
        <v>4.9000000000000004</v>
      </c>
      <c r="E1015" t="s">
        <v>17</v>
      </c>
      <c r="F1015">
        <v>13.33</v>
      </c>
      <c r="G1015">
        <v>18.57</v>
      </c>
      <c r="H1015" t="s">
        <v>17</v>
      </c>
      <c r="I1015" t="str">
        <f>"060588000528"</f>
        <v>060588000528</v>
      </c>
    </row>
    <row r="1016" spans="1:9" x14ac:dyDescent="0.25">
      <c r="A1016" t="s">
        <v>940</v>
      </c>
      <c r="B1016" t="s">
        <v>13</v>
      </c>
      <c r="C1016">
        <v>22.5</v>
      </c>
      <c r="D1016">
        <v>21</v>
      </c>
      <c r="E1016" t="s">
        <v>17</v>
      </c>
      <c r="F1016">
        <v>28.89</v>
      </c>
      <c r="G1016">
        <v>29.33</v>
      </c>
      <c r="H1016" t="s">
        <v>17</v>
      </c>
      <c r="I1016" t="str">
        <f>"060588007652"</f>
        <v>060588007652</v>
      </c>
    </row>
    <row r="1017" spans="1:9" x14ac:dyDescent="0.25">
      <c r="A1017" t="s">
        <v>941</v>
      </c>
      <c r="B1017" t="s">
        <v>13</v>
      </c>
      <c r="C1017">
        <v>32.9</v>
      </c>
      <c r="D1017">
        <v>34.1</v>
      </c>
      <c r="E1017" t="s">
        <v>17</v>
      </c>
      <c r="F1017">
        <v>27.51</v>
      </c>
      <c r="G1017">
        <v>28.09</v>
      </c>
      <c r="H1017" t="s">
        <v>17</v>
      </c>
      <c r="I1017" t="str">
        <f>"060588000527"</f>
        <v>060588000527</v>
      </c>
    </row>
    <row r="1018" spans="1:9" x14ac:dyDescent="0.25">
      <c r="A1018" t="s">
        <v>942</v>
      </c>
      <c r="B1018" t="s">
        <v>13</v>
      </c>
      <c r="C1018">
        <v>66.7</v>
      </c>
      <c r="D1018">
        <v>67.55</v>
      </c>
      <c r="E1018" t="s">
        <v>17</v>
      </c>
      <c r="F1018">
        <v>29.58</v>
      </c>
      <c r="G1018">
        <v>28.91</v>
      </c>
      <c r="H1018" t="s">
        <v>17</v>
      </c>
      <c r="I1018" t="str">
        <f>"060588000529"</f>
        <v>060588000529</v>
      </c>
    </row>
    <row r="1019" spans="1:9" x14ac:dyDescent="0.25">
      <c r="A1019" t="s">
        <v>943</v>
      </c>
      <c r="B1019" t="s">
        <v>13</v>
      </c>
      <c r="C1019">
        <v>18</v>
      </c>
      <c r="D1019">
        <v>18</v>
      </c>
      <c r="E1019" t="s">
        <v>17</v>
      </c>
      <c r="F1019">
        <v>25.72</v>
      </c>
      <c r="G1019">
        <v>26.83</v>
      </c>
      <c r="H1019" t="s">
        <v>17</v>
      </c>
      <c r="I1019" t="str">
        <f>"062271002862"</f>
        <v>062271002862</v>
      </c>
    </row>
    <row r="1020" spans="1:9" x14ac:dyDescent="0.25">
      <c r="A1020" t="s">
        <v>944</v>
      </c>
      <c r="B1020" t="s">
        <v>13</v>
      </c>
      <c r="C1020">
        <v>23</v>
      </c>
      <c r="D1020">
        <v>24</v>
      </c>
      <c r="E1020" t="s">
        <v>17</v>
      </c>
      <c r="F1020">
        <v>26.09</v>
      </c>
      <c r="G1020">
        <v>26.63</v>
      </c>
      <c r="H1020" t="s">
        <v>17</v>
      </c>
      <c r="I1020" t="str">
        <f>"060001303571"</f>
        <v>060001303571</v>
      </c>
    </row>
    <row r="1021" spans="1:9" x14ac:dyDescent="0.25">
      <c r="A1021" t="s">
        <v>945</v>
      </c>
      <c r="B1021" t="s">
        <v>13</v>
      </c>
      <c r="C1021">
        <v>31.5</v>
      </c>
      <c r="D1021">
        <v>32</v>
      </c>
      <c r="E1021" t="s">
        <v>17</v>
      </c>
      <c r="F1021">
        <v>27.71</v>
      </c>
      <c r="G1021">
        <v>25.97</v>
      </c>
      <c r="H1021" t="s">
        <v>17</v>
      </c>
      <c r="I1021" t="str">
        <f>"064119001248"</f>
        <v>064119001248</v>
      </c>
    </row>
    <row r="1022" spans="1:9" x14ac:dyDescent="0.25">
      <c r="A1022" t="s">
        <v>946</v>
      </c>
      <c r="B1022" t="s">
        <v>13</v>
      </c>
      <c r="C1022">
        <v>12.3</v>
      </c>
      <c r="D1022">
        <v>11.92</v>
      </c>
      <c r="E1022" t="s">
        <v>17</v>
      </c>
      <c r="F1022">
        <v>16.420000000000002</v>
      </c>
      <c r="G1022">
        <v>19.04</v>
      </c>
      <c r="H1022" t="s">
        <v>17</v>
      </c>
      <c r="I1022" t="str">
        <f>"061674002123"</f>
        <v>061674002123</v>
      </c>
    </row>
    <row r="1023" spans="1:9" x14ac:dyDescent="0.25">
      <c r="A1023" t="s">
        <v>947</v>
      </c>
      <c r="B1023" t="s">
        <v>13</v>
      </c>
      <c r="C1023">
        <v>27</v>
      </c>
      <c r="D1023">
        <v>33</v>
      </c>
      <c r="E1023" t="s">
        <v>17</v>
      </c>
      <c r="F1023">
        <v>21.59</v>
      </c>
      <c r="G1023">
        <v>18.09</v>
      </c>
      <c r="H1023" t="s">
        <v>17</v>
      </c>
      <c r="I1023" t="str">
        <f>"063186008946"</f>
        <v>063186008946</v>
      </c>
    </row>
    <row r="1024" spans="1:9" x14ac:dyDescent="0.25">
      <c r="A1024" t="s">
        <v>948</v>
      </c>
      <c r="B1024" t="s">
        <v>13</v>
      </c>
      <c r="C1024">
        <v>31</v>
      </c>
      <c r="D1024">
        <v>29</v>
      </c>
      <c r="E1024" t="s">
        <v>17</v>
      </c>
      <c r="F1024">
        <v>23.97</v>
      </c>
      <c r="G1024">
        <v>24.38</v>
      </c>
      <c r="H1024" t="s">
        <v>17</v>
      </c>
      <c r="I1024" t="str">
        <f>"060591000534"</f>
        <v>060591000534</v>
      </c>
    </row>
    <row r="1025" spans="1:9" x14ac:dyDescent="0.25">
      <c r="A1025" t="s">
        <v>948</v>
      </c>
      <c r="B1025" t="s">
        <v>13</v>
      </c>
      <c r="C1025">
        <v>29</v>
      </c>
      <c r="D1025">
        <v>28</v>
      </c>
      <c r="E1025" t="s">
        <v>17</v>
      </c>
      <c r="F1025">
        <v>30.66</v>
      </c>
      <c r="G1025">
        <v>31.96</v>
      </c>
      <c r="H1025" t="s">
        <v>17</v>
      </c>
      <c r="I1025" t="str">
        <f>"064104006457"</f>
        <v>064104006457</v>
      </c>
    </row>
    <row r="1026" spans="1:9" x14ac:dyDescent="0.25">
      <c r="A1026" t="s">
        <v>949</v>
      </c>
      <c r="B1026" t="s">
        <v>13</v>
      </c>
      <c r="C1026">
        <v>43</v>
      </c>
      <c r="D1026">
        <v>46</v>
      </c>
      <c r="E1026" t="s">
        <v>17</v>
      </c>
      <c r="F1026">
        <v>26.81</v>
      </c>
      <c r="G1026">
        <v>27.41</v>
      </c>
      <c r="H1026" t="s">
        <v>17</v>
      </c>
      <c r="I1026" t="str">
        <f>"062271002863"</f>
        <v>062271002863</v>
      </c>
    </row>
    <row r="1027" spans="1:9" x14ac:dyDescent="0.25">
      <c r="A1027" t="s">
        <v>950</v>
      </c>
      <c r="B1027" t="s">
        <v>13</v>
      </c>
      <c r="C1027">
        <v>20</v>
      </c>
      <c r="D1027">
        <v>22</v>
      </c>
      <c r="E1027" t="s">
        <v>17</v>
      </c>
      <c r="F1027">
        <v>32.049999999999997</v>
      </c>
      <c r="G1027">
        <v>30</v>
      </c>
      <c r="H1027" t="s">
        <v>17</v>
      </c>
      <c r="I1027" t="str">
        <f>"060645000568"</f>
        <v>060645000568</v>
      </c>
    </row>
    <row r="1028" spans="1:9" x14ac:dyDescent="0.25">
      <c r="A1028" t="s">
        <v>950</v>
      </c>
      <c r="B1028" t="s">
        <v>13</v>
      </c>
      <c r="C1028">
        <v>22</v>
      </c>
      <c r="D1028">
        <v>22</v>
      </c>
      <c r="E1028" t="s">
        <v>17</v>
      </c>
      <c r="F1028">
        <v>27.36</v>
      </c>
      <c r="G1028">
        <v>25.91</v>
      </c>
      <c r="H1028" t="s">
        <v>17</v>
      </c>
      <c r="I1028" t="str">
        <f>"060969008814"</f>
        <v>060969008814</v>
      </c>
    </row>
    <row r="1029" spans="1:9" x14ac:dyDescent="0.25">
      <c r="A1029" t="s">
        <v>950</v>
      </c>
      <c r="B1029" t="s">
        <v>13</v>
      </c>
      <c r="C1029">
        <v>34</v>
      </c>
      <c r="D1029">
        <v>40</v>
      </c>
      <c r="E1029" t="s">
        <v>17</v>
      </c>
      <c r="F1029">
        <v>25.71</v>
      </c>
      <c r="G1029">
        <v>21.78</v>
      </c>
      <c r="H1029" t="s">
        <v>17</v>
      </c>
      <c r="I1029" t="str">
        <f>"062513003727"</f>
        <v>062513003727</v>
      </c>
    </row>
    <row r="1030" spans="1:9" x14ac:dyDescent="0.25">
      <c r="A1030" t="s">
        <v>950</v>
      </c>
      <c r="B1030" t="s">
        <v>13</v>
      </c>
      <c r="C1030">
        <v>14</v>
      </c>
      <c r="D1030">
        <v>16.3</v>
      </c>
      <c r="E1030" t="s">
        <v>17</v>
      </c>
      <c r="F1030">
        <v>28.64</v>
      </c>
      <c r="G1030">
        <v>27.3</v>
      </c>
      <c r="H1030" t="s">
        <v>17</v>
      </c>
      <c r="I1030" t="str">
        <f>"063384005225"</f>
        <v>063384005225</v>
      </c>
    </row>
    <row r="1031" spans="1:9" x14ac:dyDescent="0.25">
      <c r="A1031" t="s">
        <v>951</v>
      </c>
      <c r="B1031" t="s">
        <v>13</v>
      </c>
      <c r="C1031">
        <v>30.01</v>
      </c>
      <c r="D1031">
        <v>32.83</v>
      </c>
      <c r="E1031" t="s">
        <v>17</v>
      </c>
      <c r="F1031">
        <v>18.329999999999998</v>
      </c>
      <c r="G1031">
        <v>19.04</v>
      </c>
      <c r="H1031" t="s">
        <v>17</v>
      </c>
      <c r="I1031" t="str">
        <f>"062805004242"</f>
        <v>062805004242</v>
      </c>
    </row>
    <row r="1032" spans="1:9" x14ac:dyDescent="0.25">
      <c r="A1032" t="s">
        <v>951</v>
      </c>
      <c r="B1032" t="s">
        <v>13</v>
      </c>
      <c r="C1032">
        <v>24.19</v>
      </c>
      <c r="D1032">
        <v>23.77</v>
      </c>
      <c r="E1032" t="s">
        <v>17</v>
      </c>
      <c r="F1032">
        <v>25.84</v>
      </c>
      <c r="G1032">
        <v>26.42</v>
      </c>
      <c r="H1032" t="s">
        <v>17</v>
      </c>
      <c r="I1032" t="str">
        <f>"061674002105"</f>
        <v>061674002105</v>
      </c>
    </row>
    <row r="1033" spans="1:9" x14ac:dyDescent="0.25">
      <c r="A1033" t="s">
        <v>951</v>
      </c>
      <c r="B1033" t="s">
        <v>13</v>
      </c>
      <c r="C1033">
        <v>52.44</v>
      </c>
      <c r="D1033">
        <v>52.6</v>
      </c>
      <c r="E1033" t="s">
        <v>17</v>
      </c>
      <c r="F1033">
        <v>22.69</v>
      </c>
      <c r="G1033">
        <v>22.64</v>
      </c>
      <c r="H1033" t="s">
        <v>17</v>
      </c>
      <c r="I1033" t="str">
        <f>"063459005703"</f>
        <v>063459005703</v>
      </c>
    </row>
    <row r="1034" spans="1:9" x14ac:dyDescent="0.25">
      <c r="A1034" t="s">
        <v>952</v>
      </c>
      <c r="B1034" t="s">
        <v>13</v>
      </c>
      <c r="C1034">
        <v>44</v>
      </c>
      <c r="D1034">
        <v>57.01</v>
      </c>
      <c r="E1034" t="s">
        <v>17</v>
      </c>
      <c r="F1034">
        <v>21.66</v>
      </c>
      <c r="G1034">
        <v>18.3</v>
      </c>
      <c r="H1034" t="s">
        <v>17</v>
      </c>
      <c r="I1034" t="str">
        <f>"062271003073"</f>
        <v>062271003073</v>
      </c>
    </row>
    <row r="1035" spans="1:9" x14ac:dyDescent="0.25">
      <c r="A1035" t="s">
        <v>953</v>
      </c>
      <c r="B1035" t="s">
        <v>13</v>
      </c>
      <c r="C1035">
        <v>37.15</v>
      </c>
      <c r="D1035">
        <v>37.43</v>
      </c>
      <c r="E1035" t="s">
        <v>17</v>
      </c>
      <c r="F1035">
        <v>18.95</v>
      </c>
      <c r="G1035">
        <v>19.21</v>
      </c>
      <c r="H1035" t="s">
        <v>17</v>
      </c>
      <c r="I1035" t="str">
        <f>"060594000537"</f>
        <v>060594000537</v>
      </c>
    </row>
    <row r="1036" spans="1:9" x14ac:dyDescent="0.25">
      <c r="A1036" t="s">
        <v>954</v>
      </c>
      <c r="B1036" t="s">
        <v>13</v>
      </c>
      <c r="C1036">
        <v>30.03</v>
      </c>
      <c r="D1036">
        <v>28.37</v>
      </c>
      <c r="E1036" t="s">
        <v>17</v>
      </c>
      <c r="F1036">
        <v>24.04</v>
      </c>
      <c r="G1036">
        <v>25.2</v>
      </c>
      <c r="H1036" t="s">
        <v>17</v>
      </c>
      <c r="I1036" t="str">
        <f>"063492005404"</f>
        <v>063492005404</v>
      </c>
    </row>
    <row r="1037" spans="1:9" x14ac:dyDescent="0.25">
      <c r="A1037" t="s">
        <v>955</v>
      </c>
      <c r="B1037" t="s">
        <v>13</v>
      </c>
      <c r="C1037">
        <v>17.100000000000001</v>
      </c>
      <c r="D1037">
        <v>17.8</v>
      </c>
      <c r="E1037" t="s">
        <v>17</v>
      </c>
      <c r="F1037">
        <v>23.57</v>
      </c>
      <c r="G1037">
        <v>23.09</v>
      </c>
      <c r="H1037" t="s">
        <v>17</v>
      </c>
      <c r="I1037" t="str">
        <f>"063543006036"</f>
        <v>063543006036</v>
      </c>
    </row>
    <row r="1038" spans="1:9" x14ac:dyDescent="0.25">
      <c r="A1038" t="s">
        <v>956</v>
      </c>
      <c r="B1038" t="s">
        <v>13</v>
      </c>
      <c r="C1038">
        <v>27</v>
      </c>
      <c r="D1038">
        <v>27.7</v>
      </c>
      <c r="E1038" t="s">
        <v>17</v>
      </c>
      <c r="F1038">
        <v>18.59</v>
      </c>
      <c r="G1038">
        <v>17.22</v>
      </c>
      <c r="H1038" t="s">
        <v>17</v>
      </c>
      <c r="I1038" t="str">
        <f>"064347007031"</f>
        <v>064347007031</v>
      </c>
    </row>
    <row r="1039" spans="1:9" x14ac:dyDescent="0.25">
      <c r="A1039" t="s">
        <v>956</v>
      </c>
      <c r="B1039" t="s">
        <v>13</v>
      </c>
      <c r="C1039">
        <v>16</v>
      </c>
      <c r="D1039">
        <v>18</v>
      </c>
      <c r="E1039" t="s">
        <v>17</v>
      </c>
      <c r="F1039">
        <v>19.559999999999999</v>
      </c>
      <c r="G1039">
        <v>17.559999999999999</v>
      </c>
      <c r="H1039" t="s">
        <v>17</v>
      </c>
      <c r="I1039" t="str">
        <f>"062271002864"</f>
        <v>062271002864</v>
      </c>
    </row>
    <row r="1040" spans="1:9" x14ac:dyDescent="0.25">
      <c r="A1040" t="s">
        <v>957</v>
      </c>
      <c r="B1040" t="s">
        <v>13</v>
      </c>
      <c r="C1040">
        <v>7.7</v>
      </c>
      <c r="D1040">
        <v>7.7</v>
      </c>
      <c r="E1040" t="s">
        <v>17</v>
      </c>
      <c r="F1040">
        <v>13.51</v>
      </c>
      <c r="G1040">
        <v>12.86</v>
      </c>
      <c r="H1040" t="s">
        <v>17</v>
      </c>
      <c r="I1040" t="str">
        <f>"062706004080"</f>
        <v>062706004080</v>
      </c>
    </row>
    <row r="1041" spans="1:9" x14ac:dyDescent="0.25">
      <c r="A1041" t="s">
        <v>958</v>
      </c>
      <c r="B1041" t="s">
        <v>13</v>
      </c>
      <c r="C1041">
        <v>37.5</v>
      </c>
      <c r="D1041">
        <v>42.5</v>
      </c>
      <c r="E1041" t="s">
        <v>17</v>
      </c>
      <c r="F1041">
        <v>28.51</v>
      </c>
      <c r="G1041">
        <v>24.05</v>
      </c>
      <c r="H1041" t="s">
        <v>17</v>
      </c>
      <c r="I1041" t="str">
        <f>"063597010535"</f>
        <v>063597010535</v>
      </c>
    </row>
    <row r="1042" spans="1:9" x14ac:dyDescent="0.25">
      <c r="A1042" t="s">
        <v>958</v>
      </c>
      <c r="B1042" t="s">
        <v>13</v>
      </c>
      <c r="C1042">
        <v>6.13</v>
      </c>
      <c r="D1042">
        <v>6.63</v>
      </c>
      <c r="E1042" t="s">
        <v>17</v>
      </c>
      <c r="F1042">
        <v>10.11</v>
      </c>
      <c r="G1042">
        <v>9.35</v>
      </c>
      <c r="H1042" t="s">
        <v>17</v>
      </c>
      <c r="I1042" t="str">
        <f>"061187001324"</f>
        <v>061187001324</v>
      </c>
    </row>
    <row r="1043" spans="1:9" x14ac:dyDescent="0.25">
      <c r="A1043" t="s">
        <v>959</v>
      </c>
      <c r="B1043" t="s">
        <v>13</v>
      </c>
      <c r="C1043">
        <v>2</v>
      </c>
      <c r="D1043">
        <v>3.8</v>
      </c>
      <c r="E1043" t="s">
        <v>17</v>
      </c>
      <c r="F1043">
        <v>11.5</v>
      </c>
      <c r="G1043">
        <v>5.53</v>
      </c>
      <c r="H1043" t="s">
        <v>17</v>
      </c>
      <c r="I1043" t="str">
        <f>"060285007017"</f>
        <v>060285007017</v>
      </c>
    </row>
    <row r="1044" spans="1:9" x14ac:dyDescent="0.25">
      <c r="A1044" t="s">
        <v>960</v>
      </c>
      <c r="B1044" t="s">
        <v>13</v>
      </c>
      <c r="C1044">
        <v>20</v>
      </c>
      <c r="D1044">
        <v>20</v>
      </c>
      <c r="E1044" t="s">
        <v>17</v>
      </c>
      <c r="F1044">
        <v>19.05</v>
      </c>
      <c r="G1044">
        <v>19.899999999999999</v>
      </c>
      <c r="H1044" t="s">
        <v>17</v>
      </c>
      <c r="I1044" t="str">
        <f>"062805004301"</f>
        <v>062805004301</v>
      </c>
    </row>
    <row r="1045" spans="1:9" x14ac:dyDescent="0.25">
      <c r="A1045" t="s">
        <v>960</v>
      </c>
      <c r="B1045" t="s">
        <v>13</v>
      </c>
      <c r="C1045">
        <v>29.9</v>
      </c>
      <c r="D1045">
        <v>28.8</v>
      </c>
      <c r="E1045" t="s">
        <v>17</v>
      </c>
      <c r="F1045">
        <v>23.14</v>
      </c>
      <c r="G1045">
        <v>22.33</v>
      </c>
      <c r="H1045" t="s">
        <v>17</v>
      </c>
      <c r="I1045" t="str">
        <f>"061437001643"</f>
        <v>061437001643</v>
      </c>
    </row>
    <row r="1046" spans="1:9" x14ac:dyDescent="0.25">
      <c r="A1046" t="s">
        <v>961</v>
      </c>
      <c r="B1046" t="s">
        <v>13</v>
      </c>
      <c r="C1046">
        <v>15.9</v>
      </c>
      <c r="D1046">
        <v>13.5</v>
      </c>
      <c r="E1046" t="s">
        <v>17</v>
      </c>
      <c r="F1046">
        <v>23.71</v>
      </c>
      <c r="G1046">
        <v>23.11</v>
      </c>
      <c r="H1046" t="s">
        <v>17</v>
      </c>
      <c r="I1046" t="str">
        <f>"069104712617"</f>
        <v>069104712617</v>
      </c>
    </row>
    <row r="1047" spans="1:9" x14ac:dyDescent="0.25">
      <c r="A1047" t="s">
        <v>962</v>
      </c>
      <c r="B1047" t="s">
        <v>13</v>
      </c>
      <c r="C1047">
        <v>3.8</v>
      </c>
      <c r="D1047">
        <v>4</v>
      </c>
      <c r="E1047" t="s">
        <v>17</v>
      </c>
      <c r="F1047">
        <v>9.2100000000000009</v>
      </c>
      <c r="G1047">
        <v>9.5</v>
      </c>
      <c r="H1047" t="s">
        <v>17</v>
      </c>
      <c r="I1047" t="str">
        <f>"060003412585"</f>
        <v>060003412585</v>
      </c>
    </row>
    <row r="1048" spans="1:9" x14ac:dyDescent="0.25">
      <c r="A1048" t="s">
        <v>963</v>
      </c>
      <c r="B1048" t="s">
        <v>13</v>
      </c>
      <c r="C1048">
        <v>3</v>
      </c>
      <c r="D1048">
        <v>3</v>
      </c>
      <c r="E1048" t="s">
        <v>17</v>
      </c>
      <c r="F1048">
        <v>3.67</v>
      </c>
      <c r="G1048">
        <v>2.33</v>
      </c>
      <c r="H1048" t="s">
        <v>17</v>
      </c>
      <c r="I1048" t="str">
        <f>"060744010568"</f>
        <v>060744010568</v>
      </c>
    </row>
    <row r="1049" spans="1:9" x14ac:dyDescent="0.25">
      <c r="A1049" t="s">
        <v>963</v>
      </c>
      <c r="B1049" t="s">
        <v>13</v>
      </c>
      <c r="C1049">
        <v>1.8</v>
      </c>
      <c r="D1049">
        <v>3.4</v>
      </c>
      <c r="E1049" t="s">
        <v>17</v>
      </c>
      <c r="F1049">
        <v>9.44</v>
      </c>
      <c r="G1049">
        <v>6.18</v>
      </c>
      <c r="H1049" t="s">
        <v>17</v>
      </c>
      <c r="I1049" t="str">
        <f>"060819005856"</f>
        <v>060819005856</v>
      </c>
    </row>
    <row r="1050" spans="1:9" x14ac:dyDescent="0.25">
      <c r="A1050" t="s">
        <v>964</v>
      </c>
      <c r="B1050" t="s">
        <v>13</v>
      </c>
      <c r="C1050">
        <v>3</v>
      </c>
      <c r="D1050">
        <v>3</v>
      </c>
      <c r="E1050" t="s">
        <v>17</v>
      </c>
      <c r="F1050">
        <v>12.33</v>
      </c>
      <c r="G1050">
        <v>13.33</v>
      </c>
      <c r="H1050" t="s">
        <v>17</v>
      </c>
      <c r="I1050" t="str">
        <f>"060600000539"</f>
        <v>060600000539</v>
      </c>
    </row>
    <row r="1051" spans="1:9" x14ac:dyDescent="0.25">
      <c r="A1051" t="s">
        <v>965</v>
      </c>
      <c r="B1051" t="s">
        <v>13</v>
      </c>
      <c r="C1051">
        <v>41.67</v>
      </c>
      <c r="D1051">
        <v>41.42</v>
      </c>
      <c r="E1051" t="s">
        <v>17</v>
      </c>
      <c r="F1051">
        <v>21.93</v>
      </c>
      <c r="G1051">
        <v>21.68</v>
      </c>
      <c r="H1051" t="s">
        <v>17</v>
      </c>
      <c r="I1051" t="str">
        <f>"064158010715"</f>
        <v>064158010715</v>
      </c>
    </row>
    <row r="1052" spans="1:9" x14ac:dyDescent="0.25">
      <c r="A1052" t="s">
        <v>966</v>
      </c>
      <c r="B1052" t="s">
        <v>13</v>
      </c>
      <c r="C1052">
        <v>41.3</v>
      </c>
      <c r="D1052">
        <v>41.7</v>
      </c>
      <c r="E1052" t="s">
        <v>17</v>
      </c>
      <c r="F1052">
        <v>20.39</v>
      </c>
      <c r="G1052">
        <v>16.329999999999998</v>
      </c>
      <c r="H1052" t="s">
        <v>17</v>
      </c>
      <c r="I1052" t="str">
        <f>"061440001657"</f>
        <v>061440001657</v>
      </c>
    </row>
    <row r="1053" spans="1:9" x14ac:dyDescent="0.25">
      <c r="A1053" t="s">
        <v>967</v>
      </c>
      <c r="B1053" t="s">
        <v>13</v>
      </c>
      <c r="C1053">
        <v>12</v>
      </c>
      <c r="D1053">
        <v>12</v>
      </c>
      <c r="E1053" t="s">
        <v>17</v>
      </c>
      <c r="F1053">
        <v>22.25</v>
      </c>
      <c r="G1053">
        <v>22.83</v>
      </c>
      <c r="H1053" t="s">
        <v>17</v>
      </c>
      <c r="I1053" t="str">
        <f>"060603000540"</f>
        <v>060603000540</v>
      </c>
    </row>
    <row r="1054" spans="1:9" x14ac:dyDescent="0.25">
      <c r="A1054" t="s">
        <v>968</v>
      </c>
      <c r="B1054" t="s">
        <v>13</v>
      </c>
      <c r="C1054">
        <v>14.72</v>
      </c>
      <c r="D1054">
        <v>13.5</v>
      </c>
      <c r="E1054" t="s">
        <v>17</v>
      </c>
      <c r="F1054">
        <v>29.35</v>
      </c>
      <c r="G1054">
        <v>26</v>
      </c>
      <c r="H1054" t="s">
        <v>17</v>
      </c>
      <c r="I1054" t="str">
        <f>"062271011665"</f>
        <v>062271011665</v>
      </c>
    </row>
    <row r="1055" spans="1:9" x14ac:dyDescent="0.25">
      <c r="A1055" t="s">
        <v>969</v>
      </c>
      <c r="B1055" t="s">
        <v>13</v>
      </c>
      <c r="C1055">
        <v>35.83</v>
      </c>
      <c r="D1055">
        <v>37.33</v>
      </c>
      <c r="E1055" t="s">
        <v>17</v>
      </c>
      <c r="F1055">
        <v>28.05</v>
      </c>
      <c r="G1055">
        <v>26.41</v>
      </c>
      <c r="H1055" t="s">
        <v>17</v>
      </c>
      <c r="I1055" t="str">
        <f>"060015310934"</f>
        <v>060015310934</v>
      </c>
    </row>
    <row r="1056" spans="1:9" x14ac:dyDescent="0.25">
      <c r="A1056" t="s">
        <v>970</v>
      </c>
      <c r="B1056" t="s">
        <v>13</v>
      </c>
      <c r="C1056">
        <v>2.1</v>
      </c>
      <c r="D1056">
        <v>3.1</v>
      </c>
      <c r="E1056" t="s">
        <v>17</v>
      </c>
      <c r="F1056">
        <v>26.19</v>
      </c>
      <c r="G1056">
        <v>23.23</v>
      </c>
      <c r="H1056" t="s">
        <v>17</v>
      </c>
      <c r="I1056" t="str">
        <f>"062403007071"</f>
        <v>062403007071</v>
      </c>
    </row>
    <row r="1057" spans="1:9" x14ac:dyDescent="0.25">
      <c r="A1057" t="s">
        <v>971</v>
      </c>
      <c r="B1057" t="s">
        <v>13</v>
      </c>
      <c r="C1057">
        <v>12</v>
      </c>
      <c r="D1057">
        <v>12.6</v>
      </c>
      <c r="E1057" t="s">
        <v>17</v>
      </c>
      <c r="F1057">
        <v>18.5</v>
      </c>
      <c r="G1057">
        <v>18.649999999999999</v>
      </c>
      <c r="H1057" t="s">
        <v>17</v>
      </c>
      <c r="I1057" t="str">
        <f>"060606000541"</f>
        <v>060606000541</v>
      </c>
    </row>
    <row r="1058" spans="1:9" x14ac:dyDescent="0.25">
      <c r="A1058" t="s">
        <v>972</v>
      </c>
      <c r="B1058" t="s">
        <v>13</v>
      </c>
      <c r="C1058" t="s">
        <v>14</v>
      </c>
      <c r="D1058" t="str">
        <f>"0.35"</f>
        <v>0.35</v>
      </c>
      <c r="E1058" t="s">
        <v>17</v>
      </c>
      <c r="F1058" t="s">
        <v>17</v>
      </c>
      <c r="G1058">
        <v>2.86</v>
      </c>
      <c r="H1058" t="s">
        <v>17</v>
      </c>
      <c r="I1058" t="str">
        <f>"060495012502"</f>
        <v>060495012502</v>
      </c>
    </row>
    <row r="1059" spans="1:9" x14ac:dyDescent="0.25">
      <c r="A1059" t="s">
        <v>973</v>
      </c>
      <c r="B1059" t="s">
        <v>13</v>
      </c>
      <c r="C1059">
        <v>21.6</v>
      </c>
      <c r="D1059">
        <v>21.7</v>
      </c>
      <c r="E1059" t="s">
        <v>17</v>
      </c>
      <c r="F1059">
        <v>21.53</v>
      </c>
      <c r="G1059">
        <v>21.98</v>
      </c>
      <c r="H1059" t="s">
        <v>17</v>
      </c>
      <c r="I1059" t="str">
        <f>"063429005401"</f>
        <v>063429005401</v>
      </c>
    </row>
    <row r="1060" spans="1:9" x14ac:dyDescent="0.25">
      <c r="A1060" t="s">
        <v>974</v>
      </c>
      <c r="B1060" t="s">
        <v>13</v>
      </c>
      <c r="C1060" t="s">
        <v>17</v>
      </c>
      <c r="D1060" t="s">
        <v>17</v>
      </c>
      <c r="E1060" t="s">
        <v>17</v>
      </c>
      <c r="F1060" t="s">
        <v>17</v>
      </c>
      <c r="G1060" t="s">
        <v>17</v>
      </c>
      <c r="H1060" t="s">
        <v>17</v>
      </c>
      <c r="I1060" t="str">
        <f>"060609011517"</f>
        <v>060609011517</v>
      </c>
    </row>
    <row r="1061" spans="1:9" x14ac:dyDescent="0.25">
      <c r="A1061" t="s">
        <v>975</v>
      </c>
      <c r="B1061" t="s">
        <v>13</v>
      </c>
      <c r="C1061">
        <v>19</v>
      </c>
      <c r="D1061">
        <v>20</v>
      </c>
      <c r="E1061" t="s">
        <v>17</v>
      </c>
      <c r="F1061">
        <v>23.95</v>
      </c>
      <c r="G1061">
        <v>22.75</v>
      </c>
      <c r="H1061" t="s">
        <v>17</v>
      </c>
      <c r="I1061" t="str">
        <f>"060609000544"</f>
        <v>060609000544</v>
      </c>
    </row>
    <row r="1062" spans="1:9" x14ac:dyDescent="0.25">
      <c r="A1062" t="s">
        <v>976</v>
      </c>
      <c r="B1062" t="s">
        <v>13</v>
      </c>
      <c r="C1062">
        <v>32</v>
      </c>
      <c r="D1062">
        <v>35</v>
      </c>
      <c r="E1062" t="s">
        <v>17</v>
      </c>
      <c r="F1062">
        <v>24.66</v>
      </c>
      <c r="G1062">
        <v>23.6</v>
      </c>
      <c r="H1062" t="s">
        <v>17</v>
      </c>
      <c r="I1062" t="str">
        <f>"062271002865"</f>
        <v>062271002865</v>
      </c>
    </row>
    <row r="1063" spans="1:9" x14ac:dyDescent="0.25">
      <c r="A1063" t="s">
        <v>977</v>
      </c>
      <c r="B1063" t="s">
        <v>13</v>
      </c>
      <c r="C1063">
        <v>10</v>
      </c>
      <c r="D1063">
        <v>12</v>
      </c>
      <c r="E1063" t="s">
        <v>17</v>
      </c>
      <c r="F1063">
        <v>27</v>
      </c>
      <c r="G1063">
        <v>21.92</v>
      </c>
      <c r="H1063" t="s">
        <v>17</v>
      </c>
      <c r="I1063" t="str">
        <f>"062271002866"</f>
        <v>062271002866</v>
      </c>
    </row>
    <row r="1064" spans="1:9" x14ac:dyDescent="0.25">
      <c r="A1064" t="s">
        <v>978</v>
      </c>
      <c r="B1064" t="s">
        <v>13</v>
      </c>
      <c r="C1064">
        <v>17.5</v>
      </c>
      <c r="D1064">
        <v>15</v>
      </c>
      <c r="E1064" t="s">
        <v>17</v>
      </c>
      <c r="F1064">
        <v>22.34</v>
      </c>
      <c r="G1064">
        <v>21.93</v>
      </c>
      <c r="H1064" t="s">
        <v>17</v>
      </c>
      <c r="I1064" t="str">
        <f>"062271002867"</f>
        <v>062271002867</v>
      </c>
    </row>
    <row r="1065" spans="1:9" x14ac:dyDescent="0.25">
      <c r="A1065" t="s">
        <v>979</v>
      </c>
      <c r="B1065" t="s">
        <v>13</v>
      </c>
      <c r="C1065">
        <v>18.75</v>
      </c>
      <c r="D1065">
        <v>17</v>
      </c>
      <c r="E1065" t="s">
        <v>17</v>
      </c>
      <c r="F1065">
        <v>13.39</v>
      </c>
      <c r="G1065">
        <v>13.06</v>
      </c>
      <c r="H1065" t="s">
        <v>17</v>
      </c>
      <c r="I1065" t="str">
        <f>"063459005709"</f>
        <v>063459005709</v>
      </c>
    </row>
    <row r="1066" spans="1:9" x14ac:dyDescent="0.25">
      <c r="A1066" t="s">
        <v>980</v>
      </c>
      <c r="B1066" t="s">
        <v>13</v>
      </c>
      <c r="C1066">
        <v>27.2</v>
      </c>
      <c r="D1066">
        <v>26.4</v>
      </c>
      <c r="E1066" t="s">
        <v>17</v>
      </c>
      <c r="F1066">
        <v>28.13</v>
      </c>
      <c r="G1066">
        <v>28.71</v>
      </c>
      <c r="H1066" t="s">
        <v>17</v>
      </c>
      <c r="I1066" t="str">
        <f>"062361009575"</f>
        <v>062361009575</v>
      </c>
    </row>
    <row r="1067" spans="1:9" x14ac:dyDescent="0.25">
      <c r="A1067" t="s">
        <v>981</v>
      </c>
      <c r="B1067" t="s">
        <v>13</v>
      </c>
      <c r="C1067">
        <v>13</v>
      </c>
      <c r="D1067">
        <v>14</v>
      </c>
      <c r="E1067" t="s">
        <v>17</v>
      </c>
      <c r="F1067">
        <v>18.850000000000001</v>
      </c>
      <c r="G1067">
        <v>18.07</v>
      </c>
      <c r="H1067" t="s">
        <v>17</v>
      </c>
      <c r="I1067" t="str">
        <f>"062271002868"</f>
        <v>062271002868</v>
      </c>
    </row>
    <row r="1068" spans="1:9" x14ac:dyDescent="0.25">
      <c r="A1068" t="s">
        <v>982</v>
      </c>
      <c r="B1068" t="s">
        <v>13</v>
      </c>
      <c r="C1068">
        <v>18.34</v>
      </c>
      <c r="D1068">
        <v>22.05</v>
      </c>
      <c r="E1068" t="s">
        <v>17</v>
      </c>
      <c r="F1068">
        <v>21.37</v>
      </c>
      <c r="G1068">
        <v>20.09</v>
      </c>
      <c r="H1068" t="s">
        <v>17</v>
      </c>
      <c r="I1068" t="str">
        <f>"063618006177"</f>
        <v>063618006177</v>
      </c>
    </row>
    <row r="1069" spans="1:9" x14ac:dyDescent="0.25">
      <c r="A1069" t="s">
        <v>983</v>
      </c>
      <c r="B1069" t="s">
        <v>13</v>
      </c>
      <c r="C1069">
        <v>30.64</v>
      </c>
      <c r="D1069">
        <v>22.64</v>
      </c>
      <c r="E1069" t="s">
        <v>17</v>
      </c>
      <c r="F1069">
        <v>17.98</v>
      </c>
      <c r="G1069">
        <v>19.3</v>
      </c>
      <c r="H1069" t="s">
        <v>17</v>
      </c>
      <c r="I1069" t="str">
        <f>"063581006117"</f>
        <v>063581006117</v>
      </c>
    </row>
    <row r="1070" spans="1:9" x14ac:dyDescent="0.25">
      <c r="A1070" t="s">
        <v>984</v>
      </c>
      <c r="B1070" t="s">
        <v>13</v>
      </c>
      <c r="C1070">
        <v>21.4</v>
      </c>
      <c r="D1070">
        <v>22.35</v>
      </c>
      <c r="E1070" t="s">
        <v>17</v>
      </c>
      <c r="F1070">
        <v>26.59</v>
      </c>
      <c r="G1070">
        <v>24.97</v>
      </c>
      <c r="H1070" t="s">
        <v>17</v>
      </c>
      <c r="I1070" t="str">
        <f>"060004306172"</f>
        <v>060004306172</v>
      </c>
    </row>
    <row r="1071" spans="1:9" x14ac:dyDescent="0.25">
      <c r="A1071" t="s">
        <v>985</v>
      </c>
      <c r="B1071" t="s">
        <v>13</v>
      </c>
      <c r="C1071">
        <v>20.010000000000002</v>
      </c>
      <c r="D1071">
        <v>22</v>
      </c>
      <c r="E1071" t="s">
        <v>17</v>
      </c>
      <c r="F1071">
        <v>18.34</v>
      </c>
      <c r="G1071">
        <v>17.45</v>
      </c>
      <c r="H1071" t="s">
        <v>17</v>
      </c>
      <c r="I1071" t="str">
        <f>"062805004243"</f>
        <v>062805004243</v>
      </c>
    </row>
    <row r="1072" spans="1:9" x14ac:dyDescent="0.25">
      <c r="A1072" t="s">
        <v>986</v>
      </c>
      <c r="B1072" t="s">
        <v>13</v>
      </c>
      <c r="C1072">
        <v>19</v>
      </c>
      <c r="D1072">
        <v>17.5</v>
      </c>
      <c r="E1072" t="s">
        <v>17</v>
      </c>
      <c r="F1072">
        <v>28.11</v>
      </c>
      <c r="G1072">
        <v>29.66</v>
      </c>
      <c r="H1072" t="s">
        <v>17</v>
      </c>
      <c r="I1072" t="str">
        <f>"063066004755"</f>
        <v>063066004755</v>
      </c>
    </row>
    <row r="1073" spans="1:9" x14ac:dyDescent="0.25">
      <c r="A1073" t="s">
        <v>987</v>
      </c>
      <c r="B1073" t="s">
        <v>13</v>
      </c>
      <c r="C1073">
        <v>20</v>
      </c>
      <c r="D1073">
        <v>21</v>
      </c>
      <c r="E1073" t="s">
        <v>17</v>
      </c>
      <c r="F1073">
        <v>26.1</v>
      </c>
      <c r="G1073">
        <v>24.67</v>
      </c>
      <c r="H1073" t="s">
        <v>17</v>
      </c>
      <c r="I1073" t="str">
        <f>"061488000751"</f>
        <v>061488000751</v>
      </c>
    </row>
    <row r="1074" spans="1:9" x14ac:dyDescent="0.25">
      <c r="A1074" t="s">
        <v>988</v>
      </c>
      <c r="B1074" t="s">
        <v>13</v>
      </c>
      <c r="C1074">
        <v>45.26</v>
      </c>
      <c r="D1074">
        <v>46.75</v>
      </c>
      <c r="E1074" t="s">
        <v>17</v>
      </c>
      <c r="F1074">
        <v>26.01</v>
      </c>
      <c r="G1074">
        <v>25.78</v>
      </c>
      <c r="H1074" t="s">
        <v>17</v>
      </c>
      <c r="I1074" t="str">
        <f>"060263000171"</f>
        <v>060263000171</v>
      </c>
    </row>
    <row r="1075" spans="1:9" x14ac:dyDescent="0.25">
      <c r="A1075" t="s">
        <v>989</v>
      </c>
      <c r="B1075" t="s">
        <v>13</v>
      </c>
      <c r="C1075">
        <v>26</v>
      </c>
      <c r="D1075">
        <v>23.5</v>
      </c>
      <c r="E1075" t="s">
        <v>17</v>
      </c>
      <c r="F1075">
        <v>23.85</v>
      </c>
      <c r="G1075">
        <v>24.81</v>
      </c>
      <c r="H1075" t="s">
        <v>17</v>
      </c>
      <c r="I1075" t="str">
        <f>"062271002869"</f>
        <v>062271002869</v>
      </c>
    </row>
    <row r="1076" spans="1:9" x14ac:dyDescent="0.25">
      <c r="A1076" t="s">
        <v>990</v>
      </c>
      <c r="B1076" t="s">
        <v>13</v>
      </c>
      <c r="C1076">
        <v>21.15</v>
      </c>
      <c r="D1076">
        <v>19.649999999999999</v>
      </c>
      <c r="E1076" t="s">
        <v>17</v>
      </c>
      <c r="F1076">
        <v>26.38</v>
      </c>
      <c r="G1076">
        <v>27.33</v>
      </c>
      <c r="H1076" t="s">
        <v>17</v>
      </c>
      <c r="I1076" t="str">
        <f>"060003409465"</f>
        <v>060003409465</v>
      </c>
    </row>
    <row r="1077" spans="1:9" x14ac:dyDescent="0.25">
      <c r="A1077" t="s">
        <v>991</v>
      </c>
      <c r="B1077" t="s">
        <v>13</v>
      </c>
      <c r="C1077">
        <v>28.8</v>
      </c>
      <c r="D1077">
        <v>30.3</v>
      </c>
      <c r="E1077" t="s">
        <v>17</v>
      </c>
      <c r="F1077">
        <v>28.23</v>
      </c>
      <c r="G1077">
        <v>26.24</v>
      </c>
      <c r="H1077" t="s">
        <v>17</v>
      </c>
      <c r="I1077" t="str">
        <f>"062169002775"</f>
        <v>062169002775</v>
      </c>
    </row>
    <row r="1078" spans="1:9" x14ac:dyDescent="0.25">
      <c r="A1078" t="s">
        <v>992</v>
      </c>
      <c r="B1078" t="s">
        <v>13</v>
      </c>
      <c r="C1078">
        <v>19.7</v>
      </c>
      <c r="D1078">
        <v>21.8</v>
      </c>
      <c r="E1078" t="s">
        <v>17</v>
      </c>
      <c r="F1078">
        <v>18.22</v>
      </c>
      <c r="G1078">
        <v>16.829999999999998</v>
      </c>
      <c r="H1078" t="s">
        <v>17</v>
      </c>
      <c r="I1078" t="str">
        <f>"064256006967"</f>
        <v>064256006967</v>
      </c>
    </row>
    <row r="1079" spans="1:9" x14ac:dyDescent="0.25">
      <c r="A1079" t="s">
        <v>992</v>
      </c>
      <c r="B1079" t="s">
        <v>13</v>
      </c>
      <c r="C1079">
        <v>17.22</v>
      </c>
      <c r="D1079">
        <v>17</v>
      </c>
      <c r="E1079" t="s">
        <v>17</v>
      </c>
      <c r="F1079">
        <v>18.52</v>
      </c>
      <c r="G1079">
        <v>18.649999999999999</v>
      </c>
      <c r="H1079" t="s">
        <v>17</v>
      </c>
      <c r="I1079" t="str">
        <f>"060000608775"</f>
        <v>060000608775</v>
      </c>
    </row>
    <row r="1080" spans="1:9" x14ac:dyDescent="0.25">
      <c r="A1080" t="s">
        <v>992</v>
      </c>
      <c r="B1080" t="s">
        <v>13</v>
      </c>
      <c r="C1080">
        <v>22</v>
      </c>
      <c r="D1080">
        <v>22</v>
      </c>
      <c r="E1080" t="s">
        <v>17</v>
      </c>
      <c r="F1080">
        <v>27.23</v>
      </c>
      <c r="G1080">
        <v>26.55</v>
      </c>
      <c r="H1080" t="s">
        <v>17</v>
      </c>
      <c r="I1080" t="str">
        <f>"062785007251"</f>
        <v>062785007251</v>
      </c>
    </row>
    <row r="1081" spans="1:9" x14ac:dyDescent="0.25">
      <c r="A1081" t="s">
        <v>992</v>
      </c>
      <c r="B1081" t="s">
        <v>13</v>
      </c>
      <c r="C1081">
        <v>21</v>
      </c>
      <c r="D1081">
        <v>23</v>
      </c>
      <c r="E1081" t="s">
        <v>17</v>
      </c>
      <c r="F1081">
        <v>28.29</v>
      </c>
      <c r="G1081">
        <v>24.74</v>
      </c>
      <c r="H1081" t="s">
        <v>17</v>
      </c>
      <c r="I1081" t="str">
        <f>"060429011012"</f>
        <v>060429011012</v>
      </c>
    </row>
    <row r="1082" spans="1:9" x14ac:dyDescent="0.25">
      <c r="A1082" t="s">
        <v>993</v>
      </c>
      <c r="B1082" t="s">
        <v>13</v>
      </c>
      <c r="C1082">
        <v>23</v>
      </c>
      <c r="D1082">
        <v>20.6</v>
      </c>
      <c r="E1082" t="s">
        <v>17</v>
      </c>
      <c r="F1082">
        <v>20.78</v>
      </c>
      <c r="G1082">
        <v>22.86</v>
      </c>
      <c r="H1082" t="s">
        <v>17</v>
      </c>
      <c r="I1082" t="str">
        <f>"060480000457"</f>
        <v>060480000457</v>
      </c>
    </row>
    <row r="1083" spans="1:9" x14ac:dyDescent="0.25">
      <c r="A1083" t="s">
        <v>994</v>
      </c>
      <c r="B1083" t="s">
        <v>13</v>
      </c>
      <c r="C1083">
        <v>24.6</v>
      </c>
      <c r="D1083">
        <v>23.6</v>
      </c>
      <c r="E1083" t="s">
        <v>17</v>
      </c>
      <c r="F1083">
        <v>20.57</v>
      </c>
      <c r="G1083">
        <v>21.23</v>
      </c>
      <c r="H1083" t="s">
        <v>17</v>
      </c>
      <c r="I1083" t="str">
        <f>"061440001658"</f>
        <v>061440001658</v>
      </c>
    </row>
    <row r="1084" spans="1:9" x14ac:dyDescent="0.25">
      <c r="A1084" t="s">
        <v>995</v>
      </c>
      <c r="B1084" t="s">
        <v>13</v>
      </c>
      <c r="C1084" t="s">
        <v>14</v>
      </c>
      <c r="D1084" t="s">
        <v>14</v>
      </c>
      <c r="E1084" t="s">
        <v>17</v>
      </c>
      <c r="F1084" t="s">
        <v>14</v>
      </c>
      <c r="G1084" t="s">
        <v>14</v>
      </c>
      <c r="H1084" t="s">
        <v>17</v>
      </c>
      <c r="I1084" t="str">
        <f>"063441002774"</f>
        <v>063441002774</v>
      </c>
    </row>
    <row r="1085" spans="1:9" x14ac:dyDescent="0.25">
      <c r="A1085" t="s">
        <v>996</v>
      </c>
      <c r="B1085" t="s">
        <v>13</v>
      </c>
      <c r="C1085">
        <v>37.83</v>
      </c>
      <c r="D1085">
        <v>32.200000000000003</v>
      </c>
      <c r="E1085" t="s">
        <v>17</v>
      </c>
      <c r="F1085">
        <v>25.27</v>
      </c>
      <c r="G1085">
        <v>24.35</v>
      </c>
      <c r="H1085" t="s">
        <v>17</v>
      </c>
      <c r="I1085" t="str">
        <f>"061518004070"</f>
        <v>061518004070</v>
      </c>
    </row>
    <row r="1086" spans="1:9" x14ac:dyDescent="0.25">
      <c r="A1086" t="s">
        <v>997</v>
      </c>
      <c r="B1086" t="s">
        <v>13</v>
      </c>
      <c r="C1086">
        <v>32</v>
      </c>
      <c r="D1086">
        <v>32</v>
      </c>
      <c r="E1086" t="s">
        <v>17</v>
      </c>
      <c r="F1086">
        <v>20.22</v>
      </c>
      <c r="G1086">
        <v>19.84</v>
      </c>
      <c r="H1086" t="s">
        <v>17</v>
      </c>
      <c r="I1086" t="str">
        <f>"062423003645"</f>
        <v>062423003645</v>
      </c>
    </row>
    <row r="1087" spans="1:9" x14ac:dyDescent="0.25">
      <c r="A1087" t="s">
        <v>998</v>
      </c>
      <c r="B1087" t="s">
        <v>13</v>
      </c>
      <c r="C1087">
        <v>9</v>
      </c>
      <c r="D1087">
        <v>9</v>
      </c>
      <c r="E1087" t="s">
        <v>17</v>
      </c>
      <c r="F1087">
        <v>16.89</v>
      </c>
      <c r="G1087">
        <v>19.329999999999998</v>
      </c>
      <c r="H1087" t="s">
        <v>17</v>
      </c>
      <c r="I1087" t="str">
        <f>"060610000545"</f>
        <v>060610000545</v>
      </c>
    </row>
    <row r="1088" spans="1:9" x14ac:dyDescent="0.25">
      <c r="A1088" t="s">
        <v>999</v>
      </c>
      <c r="B1088" t="s">
        <v>13</v>
      </c>
      <c r="C1088">
        <v>7</v>
      </c>
      <c r="D1088">
        <v>6.8</v>
      </c>
      <c r="E1088" t="s">
        <v>17</v>
      </c>
      <c r="F1088">
        <v>24.43</v>
      </c>
      <c r="G1088">
        <v>23.53</v>
      </c>
      <c r="H1088" t="s">
        <v>17</v>
      </c>
      <c r="I1088" t="str">
        <f>"062409003622"</f>
        <v>062409003622</v>
      </c>
    </row>
    <row r="1089" spans="1:9" x14ac:dyDescent="0.25">
      <c r="A1089" t="s">
        <v>999</v>
      </c>
      <c r="B1089" t="s">
        <v>13</v>
      </c>
      <c r="C1089">
        <v>38.25</v>
      </c>
      <c r="D1089">
        <v>35.72</v>
      </c>
      <c r="E1089" t="s">
        <v>17</v>
      </c>
      <c r="F1089">
        <v>25.49</v>
      </c>
      <c r="G1089">
        <v>27.16</v>
      </c>
      <c r="H1089" t="s">
        <v>17</v>
      </c>
      <c r="I1089" t="str">
        <f>"064059010329"</f>
        <v>064059010329</v>
      </c>
    </row>
    <row r="1090" spans="1:9" x14ac:dyDescent="0.25">
      <c r="A1090" t="s">
        <v>999</v>
      </c>
      <c r="B1090" t="s">
        <v>13</v>
      </c>
      <c r="C1090">
        <v>17.3</v>
      </c>
      <c r="D1090">
        <v>16.7</v>
      </c>
      <c r="E1090" t="s">
        <v>17</v>
      </c>
      <c r="F1090">
        <v>29.13</v>
      </c>
      <c r="G1090">
        <v>28.38</v>
      </c>
      <c r="H1090" t="s">
        <v>17</v>
      </c>
      <c r="I1090" t="str">
        <f>"062664004013"</f>
        <v>062664004013</v>
      </c>
    </row>
    <row r="1091" spans="1:9" x14ac:dyDescent="0.25">
      <c r="A1091" t="s">
        <v>1000</v>
      </c>
      <c r="B1091" t="s">
        <v>13</v>
      </c>
      <c r="C1091">
        <v>30.5</v>
      </c>
      <c r="D1091">
        <v>30.5</v>
      </c>
      <c r="E1091" t="s">
        <v>17</v>
      </c>
      <c r="F1091">
        <v>28.1</v>
      </c>
      <c r="G1091">
        <v>26.98</v>
      </c>
      <c r="H1091" t="s">
        <v>17</v>
      </c>
      <c r="I1091" t="str">
        <f>"060558009322"</f>
        <v>060558009322</v>
      </c>
    </row>
    <row r="1092" spans="1:9" x14ac:dyDescent="0.25">
      <c r="A1092" t="s">
        <v>1001</v>
      </c>
      <c r="B1092" t="s">
        <v>13</v>
      </c>
      <c r="C1092">
        <v>13.5</v>
      </c>
      <c r="D1092">
        <v>12</v>
      </c>
      <c r="E1092" t="s">
        <v>17</v>
      </c>
      <c r="F1092">
        <v>18.440000000000001</v>
      </c>
      <c r="G1092">
        <v>19.829999999999998</v>
      </c>
      <c r="H1092" t="s">
        <v>17</v>
      </c>
      <c r="I1092" t="str">
        <f>"063441005592"</f>
        <v>063441005592</v>
      </c>
    </row>
    <row r="1093" spans="1:9" x14ac:dyDescent="0.25">
      <c r="A1093" t="s">
        <v>1001</v>
      </c>
      <c r="B1093" t="s">
        <v>13</v>
      </c>
      <c r="C1093">
        <v>16.5</v>
      </c>
      <c r="D1093">
        <v>15.49</v>
      </c>
      <c r="E1093" t="s">
        <v>17</v>
      </c>
      <c r="F1093">
        <v>28.55</v>
      </c>
      <c r="G1093">
        <v>28.41</v>
      </c>
      <c r="H1093" t="s">
        <v>17</v>
      </c>
      <c r="I1093" t="str">
        <f>"063315005132"</f>
        <v>063315005132</v>
      </c>
    </row>
    <row r="1094" spans="1:9" x14ac:dyDescent="0.25">
      <c r="A1094" t="s">
        <v>1001</v>
      </c>
      <c r="B1094" t="s">
        <v>13</v>
      </c>
      <c r="C1094">
        <v>21.6</v>
      </c>
      <c r="D1094">
        <v>22.6</v>
      </c>
      <c r="E1094" t="s">
        <v>17</v>
      </c>
      <c r="F1094">
        <v>26.16</v>
      </c>
      <c r="G1094">
        <v>24.25</v>
      </c>
      <c r="H1094" t="s">
        <v>17</v>
      </c>
      <c r="I1094" t="str">
        <f>"061488001829"</f>
        <v>061488001829</v>
      </c>
    </row>
    <row r="1095" spans="1:9" x14ac:dyDescent="0.25">
      <c r="A1095" t="s">
        <v>1001</v>
      </c>
      <c r="B1095" t="s">
        <v>13</v>
      </c>
      <c r="C1095">
        <v>14.5</v>
      </c>
      <c r="D1095">
        <v>14</v>
      </c>
      <c r="E1095" t="s">
        <v>17</v>
      </c>
      <c r="F1095">
        <v>25.72</v>
      </c>
      <c r="G1095">
        <v>26.14</v>
      </c>
      <c r="H1095" t="s">
        <v>17</v>
      </c>
      <c r="I1095" t="str">
        <f>"062250002701"</f>
        <v>062250002701</v>
      </c>
    </row>
    <row r="1096" spans="1:9" x14ac:dyDescent="0.25">
      <c r="A1096" t="s">
        <v>1002</v>
      </c>
      <c r="B1096" t="s">
        <v>13</v>
      </c>
      <c r="C1096">
        <v>18.5</v>
      </c>
      <c r="D1096">
        <v>17.5</v>
      </c>
      <c r="E1096" t="s">
        <v>17</v>
      </c>
      <c r="F1096">
        <v>29.84</v>
      </c>
      <c r="G1096">
        <v>31.31</v>
      </c>
      <c r="H1096" t="s">
        <v>17</v>
      </c>
      <c r="I1096" t="str">
        <f>"060003301255"</f>
        <v>060003301255</v>
      </c>
    </row>
    <row r="1097" spans="1:9" x14ac:dyDescent="0.25">
      <c r="A1097" t="s">
        <v>1003</v>
      </c>
      <c r="B1097" t="s">
        <v>13</v>
      </c>
      <c r="C1097">
        <v>18</v>
      </c>
      <c r="D1097">
        <v>19.25</v>
      </c>
      <c r="E1097" t="s">
        <v>17</v>
      </c>
      <c r="F1097">
        <v>30.44</v>
      </c>
      <c r="G1097">
        <v>30.13</v>
      </c>
      <c r="H1097" t="s">
        <v>17</v>
      </c>
      <c r="I1097" t="str">
        <f>"063066009996"</f>
        <v>063066009996</v>
      </c>
    </row>
    <row r="1098" spans="1:9" x14ac:dyDescent="0.25">
      <c r="A1098" t="s">
        <v>1004</v>
      </c>
      <c r="B1098" t="s">
        <v>13</v>
      </c>
      <c r="C1098">
        <v>28.47</v>
      </c>
      <c r="D1098">
        <v>30.67</v>
      </c>
      <c r="E1098" t="s">
        <v>17</v>
      </c>
      <c r="F1098">
        <v>25.64</v>
      </c>
      <c r="G1098">
        <v>25.3</v>
      </c>
      <c r="H1098" t="s">
        <v>17</v>
      </c>
      <c r="I1098" t="str">
        <f>"063207002617"</f>
        <v>063207002617</v>
      </c>
    </row>
    <row r="1099" spans="1:9" x14ac:dyDescent="0.25">
      <c r="A1099" t="s">
        <v>1005</v>
      </c>
      <c r="B1099" t="s">
        <v>13</v>
      </c>
      <c r="C1099">
        <v>34</v>
      </c>
      <c r="D1099">
        <v>35</v>
      </c>
      <c r="E1099" t="s">
        <v>17</v>
      </c>
      <c r="F1099">
        <v>23.94</v>
      </c>
      <c r="G1099">
        <v>23.14</v>
      </c>
      <c r="H1099" t="s">
        <v>17</v>
      </c>
      <c r="I1099" t="str">
        <f>"062271002870"</f>
        <v>062271002870</v>
      </c>
    </row>
    <row r="1100" spans="1:9" x14ac:dyDescent="0.25">
      <c r="A1100" t="s">
        <v>1006</v>
      </c>
      <c r="B1100" t="s">
        <v>13</v>
      </c>
      <c r="C1100" t="s">
        <v>14</v>
      </c>
      <c r="D1100">
        <v>16</v>
      </c>
      <c r="E1100" t="s">
        <v>17</v>
      </c>
      <c r="F1100" t="s">
        <v>17</v>
      </c>
      <c r="G1100">
        <v>17.309999999999999</v>
      </c>
      <c r="H1100" t="s">
        <v>17</v>
      </c>
      <c r="I1100" t="str">
        <f>"064158009462"</f>
        <v>064158009462</v>
      </c>
    </row>
    <row r="1101" spans="1:9" x14ac:dyDescent="0.25">
      <c r="A1101" t="s">
        <v>1007</v>
      </c>
      <c r="B1101" t="s">
        <v>13</v>
      </c>
      <c r="C1101">
        <v>21</v>
      </c>
      <c r="D1101">
        <v>22</v>
      </c>
      <c r="E1101" t="s">
        <v>17</v>
      </c>
      <c r="F1101">
        <v>28.48</v>
      </c>
      <c r="G1101">
        <v>28.82</v>
      </c>
      <c r="H1101" t="s">
        <v>17</v>
      </c>
      <c r="I1101" t="str">
        <f>"068450009211"</f>
        <v>068450009211</v>
      </c>
    </row>
    <row r="1102" spans="1:9" x14ac:dyDescent="0.25">
      <c r="A1102" t="s">
        <v>1008</v>
      </c>
      <c r="B1102" t="s">
        <v>13</v>
      </c>
      <c r="C1102" t="s">
        <v>17</v>
      </c>
      <c r="D1102" t="s">
        <v>17</v>
      </c>
      <c r="E1102" t="s">
        <v>17</v>
      </c>
      <c r="F1102" t="s">
        <v>17</v>
      </c>
      <c r="G1102" t="s">
        <v>17</v>
      </c>
      <c r="H1102" t="s">
        <v>17</v>
      </c>
      <c r="I1102" t="str">
        <f>"060648012580"</f>
        <v>060648012580</v>
      </c>
    </row>
    <row r="1103" spans="1:9" x14ac:dyDescent="0.25">
      <c r="A1103" t="s">
        <v>1009</v>
      </c>
      <c r="B1103" t="s">
        <v>13</v>
      </c>
      <c r="C1103">
        <v>28</v>
      </c>
      <c r="D1103">
        <v>32</v>
      </c>
      <c r="E1103" t="s">
        <v>17</v>
      </c>
      <c r="F1103">
        <v>29.14</v>
      </c>
      <c r="G1103">
        <v>23.97</v>
      </c>
      <c r="H1103" t="s">
        <v>17</v>
      </c>
      <c r="I1103" t="str">
        <f>"062955001025"</f>
        <v>062955001025</v>
      </c>
    </row>
    <row r="1104" spans="1:9" x14ac:dyDescent="0.25">
      <c r="A1104" t="s">
        <v>1010</v>
      </c>
      <c r="B1104" t="s">
        <v>13</v>
      </c>
      <c r="C1104">
        <v>104.36</v>
      </c>
      <c r="D1104">
        <v>96.05</v>
      </c>
      <c r="E1104" t="s">
        <v>17</v>
      </c>
      <c r="F1104">
        <v>24.28</v>
      </c>
      <c r="G1104">
        <v>26.17</v>
      </c>
      <c r="H1104" t="s">
        <v>17</v>
      </c>
      <c r="I1104" t="str">
        <f>"060903000367"</f>
        <v>060903000367</v>
      </c>
    </row>
    <row r="1105" spans="1:9" x14ac:dyDescent="0.25">
      <c r="A1105" t="s">
        <v>1011</v>
      </c>
      <c r="B1105" t="s">
        <v>13</v>
      </c>
      <c r="C1105">
        <v>21.5</v>
      </c>
      <c r="D1105">
        <v>21</v>
      </c>
      <c r="E1105" t="s">
        <v>17</v>
      </c>
      <c r="F1105">
        <v>24.88</v>
      </c>
      <c r="G1105">
        <v>25.29</v>
      </c>
      <c r="H1105" t="s">
        <v>17</v>
      </c>
      <c r="I1105" t="str">
        <f>"062271002871"</f>
        <v>062271002871</v>
      </c>
    </row>
    <row r="1106" spans="1:9" x14ac:dyDescent="0.25">
      <c r="A1106" t="s">
        <v>1012</v>
      </c>
      <c r="B1106" t="s">
        <v>13</v>
      </c>
      <c r="C1106">
        <v>44.5</v>
      </c>
      <c r="D1106">
        <v>47</v>
      </c>
      <c r="E1106" t="s">
        <v>17</v>
      </c>
      <c r="F1106">
        <v>22.02</v>
      </c>
      <c r="G1106">
        <v>21.34</v>
      </c>
      <c r="H1106" t="s">
        <v>17</v>
      </c>
      <c r="I1106" t="str">
        <f>"063543007866"</f>
        <v>063543007866</v>
      </c>
    </row>
    <row r="1107" spans="1:9" x14ac:dyDescent="0.25">
      <c r="A1107" t="s">
        <v>1013</v>
      </c>
      <c r="B1107" t="s">
        <v>13</v>
      </c>
      <c r="C1107">
        <v>19</v>
      </c>
      <c r="D1107">
        <v>18.309999999999999</v>
      </c>
      <c r="E1107" t="s">
        <v>17</v>
      </c>
      <c r="F1107">
        <v>21.68</v>
      </c>
      <c r="G1107">
        <v>23.59</v>
      </c>
      <c r="H1107" t="s">
        <v>17</v>
      </c>
      <c r="I1107" t="str">
        <f>"060627000548"</f>
        <v>060627000548</v>
      </c>
    </row>
    <row r="1108" spans="1:9" x14ac:dyDescent="0.25">
      <c r="A1108" t="s">
        <v>1014</v>
      </c>
      <c r="B1108" t="s">
        <v>13</v>
      </c>
      <c r="C1108">
        <v>27.12</v>
      </c>
      <c r="D1108">
        <v>24.62</v>
      </c>
      <c r="E1108" t="s">
        <v>17</v>
      </c>
      <c r="F1108">
        <v>22.42</v>
      </c>
      <c r="G1108">
        <v>19.739999999999998</v>
      </c>
      <c r="H1108" t="s">
        <v>17</v>
      </c>
      <c r="I1108" t="str">
        <f>"061495001682"</f>
        <v>061495001682</v>
      </c>
    </row>
    <row r="1109" spans="1:9" x14ac:dyDescent="0.25">
      <c r="A1109" t="s">
        <v>1015</v>
      </c>
      <c r="B1109" t="s">
        <v>13</v>
      </c>
      <c r="C1109">
        <v>31.16</v>
      </c>
      <c r="D1109">
        <v>31</v>
      </c>
      <c r="E1109" t="s">
        <v>17</v>
      </c>
      <c r="F1109">
        <v>24.36</v>
      </c>
      <c r="G1109">
        <v>25.19</v>
      </c>
      <c r="H1109" t="s">
        <v>17</v>
      </c>
      <c r="I1109" t="str">
        <f>"061668002100"</f>
        <v>061668002100</v>
      </c>
    </row>
    <row r="1110" spans="1:9" x14ac:dyDescent="0.25">
      <c r="A1110" t="s">
        <v>1016</v>
      </c>
      <c r="B1110" t="s">
        <v>13</v>
      </c>
      <c r="C1110">
        <v>26</v>
      </c>
      <c r="D1110">
        <v>24</v>
      </c>
      <c r="E1110" t="s">
        <v>17</v>
      </c>
      <c r="F1110">
        <v>28.19</v>
      </c>
      <c r="G1110">
        <v>26.92</v>
      </c>
      <c r="H1110" t="s">
        <v>17</v>
      </c>
      <c r="I1110" t="str">
        <f>"060903012029"</f>
        <v>060903012029</v>
      </c>
    </row>
    <row r="1111" spans="1:9" x14ac:dyDescent="0.25">
      <c r="A1111" t="s">
        <v>1017</v>
      </c>
      <c r="B1111" t="s">
        <v>13</v>
      </c>
      <c r="C1111">
        <v>40</v>
      </c>
      <c r="D1111">
        <v>39.01</v>
      </c>
      <c r="E1111" t="s">
        <v>17</v>
      </c>
      <c r="F1111">
        <v>24.05</v>
      </c>
      <c r="G1111">
        <v>25.15</v>
      </c>
      <c r="H1111" t="s">
        <v>17</v>
      </c>
      <c r="I1111" t="str">
        <f>"062271002872"</f>
        <v>062271002872</v>
      </c>
    </row>
    <row r="1112" spans="1:9" x14ac:dyDescent="0.25">
      <c r="A1112" t="s">
        <v>1018</v>
      </c>
      <c r="B1112" t="s">
        <v>13</v>
      </c>
      <c r="C1112">
        <v>83.05</v>
      </c>
      <c r="D1112">
        <v>85.47</v>
      </c>
      <c r="E1112" t="s">
        <v>17</v>
      </c>
      <c r="F1112">
        <v>25.73</v>
      </c>
      <c r="G1112">
        <v>24.46</v>
      </c>
      <c r="H1112" t="s">
        <v>17</v>
      </c>
      <c r="I1112" t="str">
        <f>"064098006748"</f>
        <v>064098006748</v>
      </c>
    </row>
    <row r="1113" spans="1:9" x14ac:dyDescent="0.25">
      <c r="A1113" t="s">
        <v>1019</v>
      </c>
      <c r="B1113" t="s">
        <v>13</v>
      </c>
      <c r="C1113">
        <v>72.8</v>
      </c>
      <c r="D1113">
        <v>72.3</v>
      </c>
      <c r="E1113" t="s">
        <v>17</v>
      </c>
      <c r="F1113">
        <v>26.39</v>
      </c>
      <c r="G1113">
        <v>26.79</v>
      </c>
      <c r="H1113" t="s">
        <v>17</v>
      </c>
      <c r="I1113" t="str">
        <f>"061476001809"</f>
        <v>061476001809</v>
      </c>
    </row>
    <row r="1114" spans="1:9" x14ac:dyDescent="0.25">
      <c r="A1114" t="s">
        <v>1020</v>
      </c>
      <c r="B1114" t="s">
        <v>13</v>
      </c>
      <c r="C1114">
        <v>40.56</v>
      </c>
      <c r="D1114">
        <v>43.56</v>
      </c>
      <c r="E1114" t="s">
        <v>17</v>
      </c>
      <c r="F1114">
        <v>28.94</v>
      </c>
      <c r="G1114">
        <v>25.37</v>
      </c>
      <c r="H1114" t="s">
        <v>17</v>
      </c>
      <c r="I1114" t="str">
        <f>"060636000553"</f>
        <v>060636000553</v>
      </c>
    </row>
    <row r="1115" spans="1:9" x14ac:dyDescent="0.25">
      <c r="A1115" t="s">
        <v>1021</v>
      </c>
      <c r="B1115" t="s">
        <v>13</v>
      </c>
      <c r="C1115">
        <v>19</v>
      </c>
      <c r="D1115">
        <v>19</v>
      </c>
      <c r="E1115" t="s">
        <v>17</v>
      </c>
      <c r="F1115">
        <v>27.63</v>
      </c>
      <c r="G1115">
        <v>26.79</v>
      </c>
      <c r="H1115" t="s">
        <v>17</v>
      </c>
      <c r="I1115" t="str">
        <f>"060807000773"</f>
        <v>060807000773</v>
      </c>
    </row>
    <row r="1116" spans="1:9" x14ac:dyDescent="0.25">
      <c r="A1116" t="s">
        <v>1022</v>
      </c>
      <c r="B1116" t="s">
        <v>13</v>
      </c>
      <c r="C1116" t="s">
        <v>14</v>
      </c>
      <c r="D1116" t="s">
        <v>14</v>
      </c>
      <c r="E1116" t="s">
        <v>17</v>
      </c>
      <c r="F1116" t="s">
        <v>14</v>
      </c>
      <c r="G1116" t="s">
        <v>14</v>
      </c>
      <c r="H1116" t="s">
        <v>17</v>
      </c>
      <c r="I1116" t="str">
        <f>"063441005593"</f>
        <v>063441005593</v>
      </c>
    </row>
    <row r="1117" spans="1:9" x14ac:dyDescent="0.25">
      <c r="A1117" t="s">
        <v>1023</v>
      </c>
      <c r="B1117" t="s">
        <v>13</v>
      </c>
      <c r="C1117">
        <v>15.1</v>
      </c>
      <c r="D1117">
        <v>15</v>
      </c>
      <c r="E1117" t="s">
        <v>17</v>
      </c>
      <c r="F1117">
        <v>26.56</v>
      </c>
      <c r="G1117">
        <v>27.53</v>
      </c>
      <c r="H1117" t="s">
        <v>17</v>
      </c>
      <c r="I1117" t="str">
        <f>"062847008925"</f>
        <v>062847008925</v>
      </c>
    </row>
    <row r="1118" spans="1:9" x14ac:dyDescent="0.25">
      <c r="A1118" t="s">
        <v>1024</v>
      </c>
      <c r="B1118" t="s">
        <v>13</v>
      </c>
      <c r="C1118">
        <v>1</v>
      </c>
      <c r="D1118">
        <v>1</v>
      </c>
      <c r="E1118" t="s">
        <v>17</v>
      </c>
      <c r="F1118">
        <v>3</v>
      </c>
      <c r="G1118">
        <v>1</v>
      </c>
      <c r="H1118" t="s">
        <v>17</v>
      </c>
      <c r="I1118" t="str">
        <f>"063105011822"</f>
        <v>063105011822</v>
      </c>
    </row>
    <row r="1119" spans="1:9" x14ac:dyDescent="0.25">
      <c r="A1119" t="s">
        <v>1025</v>
      </c>
      <c r="B1119" t="s">
        <v>13</v>
      </c>
      <c r="C1119">
        <v>14.36</v>
      </c>
      <c r="D1119">
        <v>14.25</v>
      </c>
      <c r="E1119" t="s">
        <v>17</v>
      </c>
      <c r="F1119">
        <v>13.16</v>
      </c>
      <c r="G1119">
        <v>13.54</v>
      </c>
      <c r="H1119" t="s">
        <v>17</v>
      </c>
      <c r="I1119" t="str">
        <f>"060846000833"</f>
        <v>060846000833</v>
      </c>
    </row>
    <row r="1120" spans="1:9" x14ac:dyDescent="0.25">
      <c r="A1120" t="s">
        <v>1026</v>
      </c>
      <c r="B1120" t="s">
        <v>13</v>
      </c>
      <c r="C1120">
        <v>10.5</v>
      </c>
      <c r="D1120">
        <v>10</v>
      </c>
      <c r="E1120" t="s">
        <v>17</v>
      </c>
      <c r="F1120">
        <v>27.52</v>
      </c>
      <c r="G1120">
        <v>28.6</v>
      </c>
      <c r="H1120" t="s">
        <v>17</v>
      </c>
      <c r="I1120" t="str">
        <f>"060750000708"</f>
        <v>060750000708</v>
      </c>
    </row>
    <row r="1121" spans="1:9" x14ac:dyDescent="0.25">
      <c r="A1121" t="s">
        <v>1026</v>
      </c>
      <c r="B1121" t="s">
        <v>13</v>
      </c>
      <c r="C1121">
        <v>26.87</v>
      </c>
      <c r="D1121">
        <v>23.7</v>
      </c>
      <c r="E1121" t="s">
        <v>17</v>
      </c>
      <c r="F1121">
        <v>20.02</v>
      </c>
      <c r="G1121">
        <v>21.94</v>
      </c>
      <c r="H1121" t="s">
        <v>17</v>
      </c>
      <c r="I1121" t="str">
        <f>"064125006827"</f>
        <v>064125006827</v>
      </c>
    </row>
    <row r="1122" spans="1:9" x14ac:dyDescent="0.25">
      <c r="A1122" t="s">
        <v>1026</v>
      </c>
      <c r="B1122" t="s">
        <v>13</v>
      </c>
      <c r="C1122">
        <v>25.04</v>
      </c>
      <c r="D1122">
        <v>27.61</v>
      </c>
      <c r="E1122" t="s">
        <v>17</v>
      </c>
      <c r="F1122">
        <v>23.92</v>
      </c>
      <c r="G1122">
        <v>20.72</v>
      </c>
      <c r="H1122" t="s">
        <v>17</v>
      </c>
      <c r="I1122" t="str">
        <f>"062241002676"</f>
        <v>062241002676</v>
      </c>
    </row>
    <row r="1123" spans="1:9" x14ac:dyDescent="0.25">
      <c r="A1123" t="s">
        <v>1026</v>
      </c>
      <c r="B1123" t="s">
        <v>13</v>
      </c>
      <c r="C1123">
        <v>10</v>
      </c>
      <c r="D1123">
        <v>10.15</v>
      </c>
      <c r="E1123" t="s">
        <v>17</v>
      </c>
      <c r="F1123">
        <v>19.8</v>
      </c>
      <c r="G1123">
        <v>19.899999999999999</v>
      </c>
      <c r="H1123" t="s">
        <v>17</v>
      </c>
      <c r="I1123" t="str">
        <f>"060642000562"</f>
        <v>060642000562</v>
      </c>
    </row>
    <row r="1124" spans="1:9" x14ac:dyDescent="0.25">
      <c r="A1124" t="s">
        <v>1026</v>
      </c>
      <c r="B1124" t="s">
        <v>13</v>
      </c>
      <c r="C1124">
        <v>31.76</v>
      </c>
      <c r="D1124">
        <v>27.04</v>
      </c>
      <c r="E1124" t="s">
        <v>17</v>
      </c>
      <c r="F1124">
        <v>28.56</v>
      </c>
      <c r="G1124">
        <v>32.69</v>
      </c>
      <c r="H1124" t="s">
        <v>17</v>
      </c>
      <c r="I1124" t="str">
        <f>"060639000561"</f>
        <v>060639000561</v>
      </c>
    </row>
    <row r="1125" spans="1:9" x14ac:dyDescent="0.25">
      <c r="A1125" t="s">
        <v>1026</v>
      </c>
      <c r="B1125" t="s">
        <v>13</v>
      </c>
      <c r="C1125">
        <v>29.04</v>
      </c>
      <c r="D1125">
        <v>29.04</v>
      </c>
      <c r="E1125" t="s">
        <v>17</v>
      </c>
      <c r="F1125">
        <v>23.76</v>
      </c>
      <c r="G1125">
        <v>24.83</v>
      </c>
      <c r="H1125" t="s">
        <v>17</v>
      </c>
      <c r="I1125" t="str">
        <f>"062958009606"</f>
        <v>062958009606</v>
      </c>
    </row>
    <row r="1126" spans="1:9" x14ac:dyDescent="0.25">
      <c r="A1126" t="s">
        <v>1027</v>
      </c>
      <c r="B1126" t="s">
        <v>13</v>
      </c>
      <c r="C1126">
        <v>9.75</v>
      </c>
      <c r="D1126">
        <v>11</v>
      </c>
      <c r="E1126" t="s">
        <v>17</v>
      </c>
      <c r="F1126">
        <v>22.36</v>
      </c>
      <c r="G1126">
        <v>17.55</v>
      </c>
      <c r="H1126" t="s">
        <v>17</v>
      </c>
      <c r="I1126" t="str">
        <f>"062985004647"</f>
        <v>062985004647</v>
      </c>
    </row>
    <row r="1127" spans="1:9" x14ac:dyDescent="0.25">
      <c r="A1127" t="s">
        <v>1027</v>
      </c>
      <c r="B1127" t="s">
        <v>13</v>
      </c>
      <c r="C1127" t="s">
        <v>17</v>
      </c>
      <c r="D1127">
        <v>1.8</v>
      </c>
      <c r="E1127" t="s">
        <v>17</v>
      </c>
      <c r="F1127" t="s">
        <v>17</v>
      </c>
      <c r="G1127">
        <v>8.89</v>
      </c>
      <c r="H1127" t="s">
        <v>17</v>
      </c>
      <c r="I1127" t="str">
        <f>"064098001859"</f>
        <v>064098001859</v>
      </c>
    </row>
    <row r="1128" spans="1:9" x14ac:dyDescent="0.25">
      <c r="A1128" t="s">
        <v>1027</v>
      </c>
      <c r="B1128" t="s">
        <v>13</v>
      </c>
      <c r="C1128" t="str">
        <f>"0.50"</f>
        <v>0.50</v>
      </c>
      <c r="D1128" t="str">
        <f>"0.50"</f>
        <v>0.50</v>
      </c>
      <c r="E1128" t="s">
        <v>17</v>
      </c>
      <c r="F1128">
        <v>16</v>
      </c>
      <c r="G1128">
        <v>6</v>
      </c>
      <c r="H1128" t="s">
        <v>17</v>
      </c>
      <c r="I1128" t="str">
        <f>"061515007726"</f>
        <v>061515007726</v>
      </c>
    </row>
    <row r="1129" spans="1:9" x14ac:dyDescent="0.25">
      <c r="A1129" t="s">
        <v>1028</v>
      </c>
      <c r="B1129" t="s">
        <v>13</v>
      </c>
      <c r="C1129">
        <v>5.1100000000000003</v>
      </c>
      <c r="D1129">
        <v>6.01</v>
      </c>
      <c r="E1129" t="s">
        <v>17</v>
      </c>
      <c r="F1129">
        <v>17.809999999999999</v>
      </c>
      <c r="G1129">
        <v>13.31</v>
      </c>
      <c r="H1129" t="s">
        <v>17</v>
      </c>
      <c r="I1129" t="str">
        <f>"063873006510"</f>
        <v>063873006510</v>
      </c>
    </row>
    <row r="1130" spans="1:9" x14ac:dyDescent="0.25">
      <c r="A1130" t="s">
        <v>1029</v>
      </c>
      <c r="B1130" t="s">
        <v>13</v>
      </c>
      <c r="C1130">
        <v>17.38</v>
      </c>
      <c r="D1130">
        <v>18</v>
      </c>
      <c r="E1130" t="s">
        <v>17</v>
      </c>
      <c r="F1130">
        <v>21.35</v>
      </c>
      <c r="G1130">
        <v>19.5</v>
      </c>
      <c r="H1130" t="s">
        <v>17</v>
      </c>
      <c r="I1130" t="str">
        <f>"063771007565"</f>
        <v>063771007565</v>
      </c>
    </row>
    <row r="1131" spans="1:9" x14ac:dyDescent="0.25">
      <c r="A1131" t="s">
        <v>1030</v>
      </c>
      <c r="B1131" t="s">
        <v>13</v>
      </c>
      <c r="C1131">
        <v>36.08</v>
      </c>
      <c r="D1131">
        <v>39.1</v>
      </c>
      <c r="E1131" t="s">
        <v>17</v>
      </c>
      <c r="F1131">
        <v>16.350000000000001</v>
      </c>
      <c r="G1131">
        <v>15.63</v>
      </c>
      <c r="H1131" t="s">
        <v>17</v>
      </c>
      <c r="I1131" t="str">
        <f>"063441005626"</f>
        <v>063441005626</v>
      </c>
    </row>
    <row r="1132" spans="1:9" x14ac:dyDescent="0.25">
      <c r="A1132" t="s">
        <v>1031</v>
      </c>
      <c r="B1132" t="s">
        <v>13</v>
      </c>
      <c r="C1132" t="s">
        <v>14</v>
      </c>
      <c r="D1132">
        <v>2</v>
      </c>
      <c r="E1132" t="s">
        <v>17</v>
      </c>
      <c r="F1132" t="s">
        <v>17</v>
      </c>
      <c r="G1132" t="s">
        <v>17</v>
      </c>
      <c r="H1132" t="s">
        <v>17</v>
      </c>
      <c r="I1132" t="str">
        <f>"062250007747"</f>
        <v>062250007747</v>
      </c>
    </row>
    <row r="1133" spans="1:9" x14ac:dyDescent="0.25">
      <c r="A1133" t="s">
        <v>1032</v>
      </c>
      <c r="B1133" t="s">
        <v>13</v>
      </c>
      <c r="C1133">
        <v>32.6</v>
      </c>
      <c r="D1133">
        <v>34.6</v>
      </c>
      <c r="E1133" t="s">
        <v>17</v>
      </c>
      <c r="F1133">
        <v>22.06</v>
      </c>
      <c r="G1133">
        <v>21.27</v>
      </c>
      <c r="H1133" t="s">
        <v>17</v>
      </c>
      <c r="I1133" t="str">
        <f>"062142002563"</f>
        <v>062142002563</v>
      </c>
    </row>
    <row r="1134" spans="1:9" x14ac:dyDescent="0.25">
      <c r="A1134" t="s">
        <v>1033</v>
      </c>
      <c r="B1134" t="s">
        <v>13</v>
      </c>
      <c r="C1134">
        <v>70.7</v>
      </c>
      <c r="D1134">
        <v>76.8</v>
      </c>
      <c r="E1134" t="s">
        <v>17</v>
      </c>
      <c r="F1134">
        <v>25.4</v>
      </c>
      <c r="G1134">
        <v>23.66</v>
      </c>
      <c r="H1134" t="s">
        <v>17</v>
      </c>
      <c r="I1134" t="str">
        <f>"062466008741"</f>
        <v>062466008741</v>
      </c>
    </row>
    <row r="1135" spans="1:9" x14ac:dyDescent="0.25">
      <c r="A1135" t="s">
        <v>1034</v>
      </c>
      <c r="B1135" t="s">
        <v>13</v>
      </c>
      <c r="C1135">
        <v>98.72</v>
      </c>
      <c r="D1135">
        <v>100.41</v>
      </c>
      <c r="E1135" t="s">
        <v>17</v>
      </c>
      <c r="F1135">
        <v>27.58</v>
      </c>
      <c r="G1135">
        <v>25.35</v>
      </c>
      <c r="H1135" t="s">
        <v>17</v>
      </c>
      <c r="I1135" t="str">
        <f>"061455001711"</f>
        <v>061455001711</v>
      </c>
    </row>
    <row r="1136" spans="1:9" x14ac:dyDescent="0.25">
      <c r="A1136" t="s">
        <v>1035</v>
      </c>
      <c r="B1136" t="s">
        <v>13</v>
      </c>
      <c r="C1136">
        <v>32.200000000000003</v>
      </c>
      <c r="D1136">
        <v>32.700000000000003</v>
      </c>
      <c r="E1136" t="s">
        <v>17</v>
      </c>
      <c r="F1136">
        <v>25.16</v>
      </c>
      <c r="G1136">
        <v>24.4</v>
      </c>
      <c r="H1136" t="s">
        <v>17</v>
      </c>
      <c r="I1136" t="str">
        <f>"061455008141"</f>
        <v>061455008141</v>
      </c>
    </row>
    <row r="1137" spans="1:9" x14ac:dyDescent="0.25">
      <c r="A1137" t="s">
        <v>1036</v>
      </c>
      <c r="B1137" t="s">
        <v>13</v>
      </c>
      <c r="C1137">
        <v>32.520000000000003</v>
      </c>
      <c r="D1137">
        <v>34.64</v>
      </c>
      <c r="E1137" t="s">
        <v>17</v>
      </c>
      <c r="F1137">
        <v>15.9</v>
      </c>
      <c r="G1137">
        <v>13.42</v>
      </c>
      <c r="H1137" t="s">
        <v>17</v>
      </c>
      <c r="I1137" t="str">
        <f>"069103511442"</f>
        <v>069103511442</v>
      </c>
    </row>
    <row r="1138" spans="1:9" x14ac:dyDescent="0.25">
      <c r="A1138" t="s">
        <v>1037</v>
      </c>
      <c r="B1138" t="s">
        <v>13</v>
      </c>
      <c r="C1138">
        <v>36.5</v>
      </c>
      <c r="D1138">
        <v>40.5</v>
      </c>
      <c r="E1138" t="s">
        <v>17</v>
      </c>
      <c r="F1138">
        <v>19.670000000000002</v>
      </c>
      <c r="G1138">
        <v>17.649999999999999</v>
      </c>
      <c r="H1138" t="s">
        <v>17</v>
      </c>
      <c r="I1138" t="str">
        <f>"060962000971"</f>
        <v>060962000971</v>
      </c>
    </row>
    <row r="1139" spans="1:9" x14ac:dyDescent="0.25">
      <c r="A1139" t="s">
        <v>1038</v>
      </c>
      <c r="B1139" t="s">
        <v>13</v>
      </c>
      <c r="C1139">
        <v>21</v>
      </c>
      <c r="D1139">
        <v>21</v>
      </c>
      <c r="E1139" t="s">
        <v>17</v>
      </c>
      <c r="F1139">
        <v>26.29</v>
      </c>
      <c r="G1139">
        <v>26.43</v>
      </c>
      <c r="H1139" t="s">
        <v>17</v>
      </c>
      <c r="I1139" t="str">
        <f>"060162000005"</f>
        <v>060162000005</v>
      </c>
    </row>
    <row r="1140" spans="1:9" x14ac:dyDescent="0.25">
      <c r="A1140" t="s">
        <v>1039</v>
      </c>
      <c r="B1140" t="s">
        <v>13</v>
      </c>
      <c r="C1140">
        <v>17</v>
      </c>
      <c r="D1140">
        <v>16</v>
      </c>
      <c r="E1140" t="s">
        <v>17</v>
      </c>
      <c r="F1140">
        <v>23.88</v>
      </c>
      <c r="G1140">
        <v>25.5</v>
      </c>
      <c r="H1140" t="s">
        <v>17</v>
      </c>
      <c r="I1140" t="str">
        <f>"062271002874"</f>
        <v>062271002874</v>
      </c>
    </row>
    <row r="1141" spans="1:9" x14ac:dyDescent="0.25">
      <c r="A1141" t="s">
        <v>1040</v>
      </c>
      <c r="B1141" t="s">
        <v>13</v>
      </c>
      <c r="C1141">
        <v>28</v>
      </c>
      <c r="D1141">
        <v>27.5</v>
      </c>
      <c r="E1141" t="s">
        <v>17</v>
      </c>
      <c r="F1141">
        <v>29.54</v>
      </c>
      <c r="G1141">
        <v>28.69</v>
      </c>
      <c r="H1141" t="s">
        <v>17</v>
      </c>
      <c r="I1141" t="str">
        <f>"062250002702"</f>
        <v>062250002702</v>
      </c>
    </row>
    <row r="1142" spans="1:9" x14ac:dyDescent="0.25">
      <c r="A1142" t="s">
        <v>1040</v>
      </c>
      <c r="B1142" t="s">
        <v>13</v>
      </c>
      <c r="C1142">
        <v>27</v>
      </c>
      <c r="D1142">
        <v>30</v>
      </c>
      <c r="E1142" t="s">
        <v>17</v>
      </c>
      <c r="F1142">
        <v>25.15</v>
      </c>
      <c r="G1142">
        <v>21.17</v>
      </c>
      <c r="H1142" t="s">
        <v>17</v>
      </c>
      <c r="I1142" t="str">
        <f>"062513003728"</f>
        <v>062513003728</v>
      </c>
    </row>
    <row r="1143" spans="1:9" x14ac:dyDescent="0.25">
      <c r="A1143" t="s">
        <v>1040</v>
      </c>
      <c r="B1143" t="s">
        <v>13</v>
      </c>
      <c r="C1143" t="s">
        <v>14</v>
      </c>
      <c r="D1143" t="s">
        <v>14</v>
      </c>
      <c r="E1143" t="s">
        <v>17</v>
      </c>
      <c r="F1143" t="s">
        <v>14</v>
      </c>
      <c r="G1143" t="s">
        <v>14</v>
      </c>
      <c r="H1143" t="s">
        <v>17</v>
      </c>
      <c r="I1143" t="str">
        <f>"062994004663"</f>
        <v>062994004663</v>
      </c>
    </row>
    <row r="1144" spans="1:9" x14ac:dyDescent="0.25">
      <c r="A1144" t="s">
        <v>1040</v>
      </c>
      <c r="B1144" t="s">
        <v>13</v>
      </c>
      <c r="C1144">
        <v>34</v>
      </c>
      <c r="D1144">
        <v>32.6</v>
      </c>
      <c r="E1144" t="s">
        <v>17</v>
      </c>
      <c r="F1144">
        <v>12.12</v>
      </c>
      <c r="G1144">
        <v>12.18</v>
      </c>
      <c r="H1144" t="s">
        <v>17</v>
      </c>
      <c r="I1144" t="str">
        <f>"063432005426"</f>
        <v>063432005426</v>
      </c>
    </row>
    <row r="1145" spans="1:9" x14ac:dyDescent="0.25">
      <c r="A1145" t="s">
        <v>1040</v>
      </c>
      <c r="B1145" t="s">
        <v>13</v>
      </c>
      <c r="C1145">
        <v>35.630000000000003</v>
      </c>
      <c r="D1145">
        <v>41.6</v>
      </c>
      <c r="E1145" t="s">
        <v>17</v>
      </c>
      <c r="F1145">
        <v>21.47</v>
      </c>
      <c r="G1145">
        <v>18.32</v>
      </c>
      <c r="H1145" t="s">
        <v>17</v>
      </c>
      <c r="I1145" t="str">
        <f>"061674002106"</f>
        <v>061674002106</v>
      </c>
    </row>
    <row r="1146" spans="1:9" x14ac:dyDescent="0.25">
      <c r="A1146" t="s">
        <v>1041</v>
      </c>
      <c r="B1146" t="s">
        <v>13</v>
      </c>
      <c r="C1146">
        <v>105.4</v>
      </c>
      <c r="D1146">
        <v>111.6</v>
      </c>
      <c r="E1146" t="s">
        <v>17</v>
      </c>
      <c r="F1146">
        <v>25.52</v>
      </c>
      <c r="G1146">
        <v>24.96</v>
      </c>
      <c r="H1146" t="s">
        <v>17</v>
      </c>
      <c r="I1146" t="str">
        <f>"060645000563"</f>
        <v>060645000563</v>
      </c>
    </row>
    <row r="1147" spans="1:9" x14ac:dyDescent="0.25">
      <c r="A1147" t="s">
        <v>1042</v>
      </c>
      <c r="B1147" t="s">
        <v>13</v>
      </c>
      <c r="C1147" t="s">
        <v>17</v>
      </c>
      <c r="D1147" t="s">
        <v>14</v>
      </c>
      <c r="E1147" t="s">
        <v>14</v>
      </c>
      <c r="F1147" t="s">
        <v>17</v>
      </c>
      <c r="G1147" t="s">
        <v>14</v>
      </c>
      <c r="H1147" t="s">
        <v>14</v>
      </c>
      <c r="I1147" t="str">
        <f>"062805013483"</f>
        <v>062805013483</v>
      </c>
    </row>
    <row r="1148" spans="1:9" x14ac:dyDescent="0.25">
      <c r="A1148" t="s">
        <v>1043</v>
      </c>
      <c r="B1148" t="s">
        <v>13</v>
      </c>
      <c r="C1148">
        <v>4.5999999999999996</v>
      </c>
      <c r="D1148">
        <v>4.5999999999999996</v>
      </c>
      <c r="E1148" t="s">
        <v>17</v>
      </c>
      <c r="F1148">
        <v>7.17</v>
      </c>
      <c r="G1148">
        <v>8.48</v>
      </c>
      <c r="H1148" t="s">
        <v>17</v>
      </c>
      <c r="I1148" t="str">
        <f>"060645008013"</f>
        <v>060645008013</v>
      </c>
    </row>
    <row r="1149" spans="1:9" x14ac:dyDescent="0.25">
      <c r="A1149" t="s">
        <v>1044</v>
      </c>
      <c r="B1149" t="s">
        <v>13</v>
      </c>
      <c r="C1149">
        <v>32.229999999999997</v>
      </c>
      <c r="D1149">
        <v>22.48</v>
      </c>
      <c r="E1149" t="s">
        <v>17</v>
      </c>
      <c r="F1149">
        <v>25.69</v>
      </c>
      <c r="G1149">
        <v>26.2</v>
      </c>
      <c r="H1149" t="s">
        <v>17</v>
      </c>
      <c r="I1149" t="str">
        <f>"062250002703"</f>
        <v>062250002703</v>
      </c>
    </row>
    <row r="1150" spans="1:9" x14ac:dyDescent="0.25">
      <c r="A1150" t="s">
        <v>1045</v>
      </c>
      <c r="B1150" t="s">
        <v>13</v>
      </c>
      <c r="C1150">
        <v>12.8</v>
      </c>
      <c r="D1150">
        <v>8</v>
      </c>
      <c r="E1150" t="s">
        <v>17</v>
      </c>
      <c r="F1150">
        <v>23.28</v>
      </c>
      <c r="G1150">
        <v>23.63</v>
      </c>
      <c r="H1150" t="s">
        <v>17</v>
      </c>
      <c r="I1150" t="str">
        <f>"062805004245"</f>
        <v>062805004245</v>
      </c>
    </row>
    <row r="1151" spans="1:9" x14ac:dyDescent="0.25">
      <c r="A1151" t="s">
        <v>1046</v>
      </c>
      <c r="B1151" t="s">
        <v>13</v>
      </c>
      <c r="C1151">
        <v>25</v>
      </c>
      <c r="D1151">
        <v>24</v>
      </c>
      <c r="E1151" t="s">
        <v>17</v>
      </c>
      <c r="F1151">
        <v>24.96</v>
      </c>
      <c r="G1151">
        <v>26.08</v>
      </c>
      <c r="H1151" t="s">
        <v>17</v>
      </c>
      <c r="I1151" t="str">
        <f>"063753006341"</f>
        <v>063753006341</v>
      </c>
    </row>
    <row r="1152" spans="1:9" x14ac:dyDescent="0.25">
      <c r="A1152" t="s">
        <v>1047</v>
      </c>
      <c r="B1152" t="s">
        <v>13</v>
      </c>
      <c r="C1152">
        <v>62.82</v>
      </c>
      <c r="D1152">
        <v>61.45</v>
      </c>
      <c r="E1152" t="s">
        <v>17</v>
      </c>
      <c r="F1152">
        <v>21.52</v>
      </c>
      <c r="G1152">
        <v>21.38</v>
      </c>
      <c r="H1152" t="s">
        <v>17</v>
      </c>
      <c r="I1152" t="str">
        <f>"063498005920"</f>
        <v>063498005920</v>
      </c>
    </row>
    <row r="1153" spans="1:9" x14ac:dyDescent="0.25">
      <c r="A1153" t="s">
        <v>1048</v>
      </c>
      <c r="B1153" t="s">
        <v>13</v>
      </c>
      <c r="C1153">
        <v>40.409999999999997</v>
      </c>
      <c r="D1153">
        <v>40.65</v>
      </c>
      <c r="E1153" t="s">
        <v>17</v>
      </c>
      <c r="F1153">
        <v>22.82</v>
      </c>
      <c r="G1153">
        <v>21.87</v>
      </c>
      <c r="H1153" t="s">
        <v>17</v>
      </c>
      <c r="I1153" t="str">
        <f>"060648000581"</f>
        <v>060648000581</v>
      </c>
    </row>
    <row r="1154" spans="1:9" x14ac:dyDescent="0.25">
      <c r="A1154" t="s">
        <v>1049</v>
      </c>
      <c r="B1154" t="s">
        <v>13</v>
      </c>
      <c r="C1154">
        <v>25</v>
      </c>
      <c r="D1154">
        <v>25</v>
      </c>
      <c r="E1154" t="s">
        <v>17</v>
      </c>
      <c r="F1154">
        <v>29.88</v>
      </c>
      <c r="G1154">
        <v>27.56</v>
      </c>
      <c r="H1154" t="s">
        <v>17</v>
      </c>
      <c r="I1154" t="str">
        <f>"062250002704"</f>
        <v>062250002704</v>
      </c>
    </row>
    <row r="1155" spans="1:9" x14ac:dyDescent="0.25">
      <c r="A1155" t="s">
        <v>1050</v>
      </c>
      <c r="B1155" t="s">
        <v>13</v>
      </c>
      <c r="C1155">
        <v>1</v>
      </c>
      <c r="D1155">
        <v>1</v>
      </c>
      <c r="E1155" t="s">
        <v>17</v>
      </c>
      <c r="F1155">
        <v>15</v>
      </c>
      <c r="G1155">
        <v>13</v>
      </c>
      <c r="H1155" t="s">
        <v>17</v>
      </c>
      <c r="I1155" t="str">
        <f>"061347008376"</f>
        <v>061347008376</v>
      </c>
    </row>
    <row r="1156" spans="1:9" x14ac:dyDescent="0.25">
      <c r="A1156" t="s">
        <v>1051</v>
      </c>
      <c r="B1156" t="s">
        <v>13</v>
      </c>
      <c r="C1156">
        <v>17</v>
      </c>
      <c r="D1156">
        <v>19.100000000000001</v>
      </c>
      <c r="E1156" t="s">
        <v>17</v>
      </c>
      <c r="F1156">
        <v>20.76</v>
      </c>
      <c r="G1156">
        <v>18.170000000000002</v>
      </c>
      <c r="H1156" t="s">
        <v>17</v>
      </c>
      <c r="I1156" t="str">
        <f>"061347001534"</f>
        <v>061347001534</v>
      </c>
    </row>
    <row r="1157" spans="1:9" x14ac:dyDescent="0.25">
      <c r="A1157" t="s">
        <v>1052</v>
      </c>
      <c r="B1157" t="s">
        <v>13</v>
      </c>
      <c r="C1157" t="str">
        <f>"0.70"</f>
        <v>0.70</v>
      </c>
      <c r="D1157" t="str">
        <f>"0.80"</f>
        <v>0.80</v>
      </c>
      <c r="E1157" t="s">
        <v>17</v>
      </c>
      <c r="F1157">
        <v>7.14</v>
      </c>
      <c r="G1157">
        <v>5</v>
      </c>
      <c r="H1157" t="s">
        <v>17</v>
      </c>
      <c r="I1157" t="str">
        <f>"061347010417"</f>
        <v>061347010417</v>
      </c>
    </row>
    <row r="1158" spans="1:9" x14ac:dyDescent="0.25">
      <c r="A1158" t="s">
        <v>1053</v>
      </c>
      <c r="B1158" t="s">
        <v>13</v>
      </c>
      <c r="C1158">
        <v>13.05</v>
      </c>
      <c r="D1158">
        <v>12.95</v>
      </c>
      <c r="E1158" t="s">
        <v>17</v>
      </c>
      <c r="F1158">
        <v>17.16</v>
      </c>
      <c r="G1158">
        <v>17.07</v>
      </c>
      <c r="H1158" t="s">
        <v>17</v>
      </c>
      <c r="I1158" t="str">
        <f>"061347001533"</f>
        <v>061347001533</v>
      </c>
    </row>
    <row r="1159" spans="1:9" x14ac:dyDescent="0.25">
      <c r="A1159" t="s">
        <v>1054</v>
      </c>
      <c r="B1159" t="s">
        <v>13</v>
      </c>
      <c r="C1159">
        <v>20.5</v>
      </c>
      <c r="D1159">
        <v>22.7</v>
      </c>
      <c r="E1159" t="s">
        <v>17</v>
      </c>
      <c r="F1159">
        <v>27.07</v>
      </c>
      <c r="G1159">
        <v>22.95</v>
      </c>
      <c r="H1159" t="s">
        <v>17</v>
      </c>
      <c r="I1159" t="str">
        <f>"062007002398"</f>
        <v>062007002398</v>
      </c>
    </row>
    <row r="1160" spans="1:9" x14ac:dyDescent="0.25">
      <c r="A1160" t="s">
        <v>1055</v>
      </c>
      <c r="B1160" t="s">
        <v>13</v>
      </c>
      <c r="C1160">
        <v>4.5599999999999996</v>
      </c>
      <c r="D1160">
        <v>5.12</v>
      </c>
      <c r="E1160" t="s">
        <v>17</v>
      </c>
      <c r="F1160">
        <v>21.27</v>
      </c>
      <c r="G1160">
        <v>16.41</v>
      </c>
      <c r="H1160" t="s">
        <v>17</v>
      </c>
      <c r="I1160" t="str">
        <f>"060651000587"</f>
        <v>060651000587</v>
      </c>
    </row>
    <row r="1161" spans="1:9" x14ac:dyDescent="0.25">
      <c r="A1161" t="s">
        <v>1056</v>
      </c>
      <c r="B1161" t="s">
        <v>13</v>
      </c>
      <c r="C1161">
        <v>7.3</v>
      </c>
      <c r="D1161">
        <v>8</v>
      </c>
      <c r="E1161" t="s">
        <v>17</v>
      </c>
      <c r="F1161">
        <v>16.3</v>
      </c>
      <c r="G1161">
        <v>13.13</v>
      </c>
      <c r="H1161" t="s">
        <v>17</v>
      </c>
      <c r="I1161" t="str">
        <f>"060654000588"</f>
        <v>060654000588</v>
      </c>
    </row>
    <row r="1162" spans="1:9" x14ac:dyDescent="0.25">
      <c r="A1162" t="s">
        <v>1057</v>
      </c>
      <c r="B1162" t="s">
        <v>13</v>
      </c>
      <c r="C1162">
        <v>39</v>
      </c>
      <c r="D1162">
        <v>37</v>
      </c>
      <c r="E1162" t="s">
        <v>17</v>
      </c>
      <c r="F1162">
        <v>20.54</v>
      </c>
      <c r="G1162">
        <v>20.57</v>
      </c>
      <c r="H1162" t="s">
        <v>17</v>
      </c>
      <c r="I1162" t="str">
        <f>"061455001712"</f>
        <v>061455001712</v>
      </c>
    </row>
    <row r="1163" spans="1:9" x14ac:dyDescent="0.25">
      <c r="A1163" t="s">
        <v>1057</v>
      </c>
      <c r="B1163" t="s">
        <v>13</v>
      </c>
      <c r="C1163" t="s">
        <v>17</v>
      </c>
      <c r="D1163" t="s">
        <v>17</v>
      </c>
      <c r="E1163" t="s">
        <v>17</v>
      </c>
      <c r="F1163" t="s">
        <v>17</v>
      </c>
      <c r="G1163" t="s">
        <v>17</v>
      </c>
      <c r="H1163" t="s">
        <v>17</v>
      </c>
      <c r="I1163" t="str">
        <f>"062250002705"</f>
        <v>062250002705</v>
      </c>
    </row>
    <row r="1164" spans="1:9" x14ac:dyDescent="0.25">
      <c r="A1164" t="s">
        <v>1058</v>
      </c>
      <c r="B1164" t="s">
        <v>13</v>
      </c>
      <c r="C1164">
        <v>108.2</v>
      </c>
      <c r="D1164">
        <v>112.26</v>
      </c>
      <c r="E1164" t="s">
        <v>17</v>
      </c>
      <c r="F1164">
        <v>24.62</v>
      </c>
      <c r="G1164">
        <v>24.34</v>
      </c>
      <c r="H1164" t="s">
        <v>17</v>
      </c>
      <c r="I1164" t="str">
        <f>"060645000564"</f>
        <v>060645000564</v>
      </c>
    </row>
    <row r="1165" spans="1:9" x14ac:dyDescent="0.25">
      <c r="A1165" t="s">
        <v>1058</v>
      </c>
      <c r="B1165" t="s">
        <v>13</v>
      </c>
      <c r="C1165">
        <v>62.63</v>
      </c>
      <c r="D1165">
        <v>63.69</v>
      </c>
      <c r="E1165" t="s">
        <v>17</v>
      </c>
      <c r="F1165">
        <v>22.7</v>
      </c>
      <c r="G1165">
        <v>22.94</v>
      </c>
      <c r="H1165" t="s">
        <v>17</v>
      </c>
      <c r="I1165" t="str">
        <f>"063680006232"</f>
        <v>063680006232</v>
      </c>
    </row>
    <row r="1166" spans="1:9" x14ac:dyDescent="0.25">
      <c r="A1166" t="s">
        <v>1059</v>
      </c>
      <c r="B1166" t="s">
        <v>13</v>
      </c>
      <c r="C1166">
        <v>23</v>
      </c>
      <c r="D1166">
        <v>23</v>
      </c>
      <c r="E1166" t="s">
        <v>17</v>
      </c>
      <c r="F1166">
        <v>24.3</v>
      </c>
      <c r="G1166">
        <v>23.17</v>
      </c>
      <c r="H1166" t="s">
        <v>17</v>
      </c>
      <c r="I1166" t="str">
        <f>"060962000972"</f>
        <v>060962000972</v>
      </c>
    </row>
    <row r="1167" spans="1:9" x14ac:dyDescent="0.25">
      <c r="A1167" t="s">
        <v>1060</v>
      </c>
      <c r="B1167" t="s">
        <v>13</v>
      </c>
      <c r="C1167">
        <v>52.71</v>
      </c>
      <c r="D1167">
        <v>54.42</v>
      </c>
      <c r="E1167" t="s">
        <v>17</v>
      </c>
      <c r="F1167">
        <v>17.440000000000001</v>
      </c>
      <c r="G1167">
        <v>16.079999999999998</v>
      </c>
      <c r="H1167" t="s">
        <v>17</v>
      </c>
      <c r="I1167" t="str">
        <f>"063441008189"</f>
        <v>063441008189</v>
      </c>
    </row>
    <row r="1168" spans="1:9" x14ac:dyDescent="0.25">
      <c r="A1168" t="s">
        <v>1061</v>
      </c>
      <c r="B1168" t="s">
        <v>13</v>
      </c>
      <c r="C1168">
        <v>1</v>
      </c>
      <c r="D1168">
        <v>1</v>
      </c>
      <c r="E1168" t="s">
        <v>17</v>
      </c>
      <c r="F1168">
        <v>6</v>
      </c>
      <c r="G1168">
        <v>3</v>
      </c>
      <c r="H1168" t="s">
        <v>17</v>
      </c>
      <c r="I1168" t="str">
        <f>"060657011821"</f>
        <v>060657011821</v>
      </c>
    </row>
    <row r="1169" spans="1:9" x14ac:dyDescent="0.25">
      <c r="A1169" t="s">
        <v>1062</v>
      </c>
      <c r="B1169" t="s">
        <v>13</v>
      </c>
      <c r="C1169">
        <v>21.15</v>
      </c>
      <c r="D1169">
        <v>23.15</v>
      </c>
      <c r="E1169" t="s">
        <v>17</v>
      </c>
      <c r="F1169">
        <v>26.52</v>
      </c>
      <c r="G1169">
        <v>25.66</v>
      </c>
      <c r="H1169" t="s">
        <v>17</v>
      </c>
      <c r="I1169" t="str">
        <f>"060657000589"</f>
        <v>060657000589</v>
      </c>
    </row>
    <row r="1170" spans="1:9" x14ac:dyDescent="0.25">
      <c r="A1170" t="s">
        <v>1063</v>
      </c>
      <c r="B1170" t="s">
        <v>13</v>
      </c>
      <c r="C1170">
        <v>25.9</v>
      </c>
      <c r="D1170">
        <v>26.5</v>
      </c>
      <c r="E1170" t="s">
        <v>17</v>
      </c>
      <c r="F1170">
        <v>21.93</v>
      </c>
      <c r="G1170">
        <v>23.21</v>
      </c>
      <c r="H1170" t="s">
        <v>17</v>
      </c>
      <c r="I1170" t="str">
        <f>"060657008800"</f>
        <v>060657008800</v>
      </c>
    </row>
    <row r="1171" spans="1:9" x14ac:dyDescent="0.25">
      <c r="A1171" t="s">
        <v>1064</v>
      </c>
      <c r="B1171" t="s">
        <v>13</v>
      </c>
      <c r="C1171">
        <v>6.3</v>
      </c>
      <c r="D1171">
        <v>4.3</v>
      </c>
      <c r="E1171" t="s">
        <v>17</v>
      </c>
      <c r="F1171">
        <v>18.73</v>
      </c>
      <c r="G1171">
        <v>22.33</v>
      </c>
      <c r="H1171" t="s">
        <v>17</v>
      </c>
      <c r="I1171" t="str">
        <f>"060657012691"</f>
        <v>060657012691</v>
      </c>
    </row>
    <row r="1172" spans="1:9" x14ac:dyDescent="0.25">
      <c r="A1172" t="s">
        <v>1065</v>
      </c>
      <c r="B1172" t="s">
        <v>13</v>
      </c>
      <c r="C1172">
        <v>21</v>
      </c>
      <c r="D1172">
        <v>26</v>
      </c>
      <c r="E1172" t="s">
        <v>17</v>
      </c>
      <c r="F1172">
        <v>21.62</v>
      </c>
      <c r="G1172">
        <v>22.54</v>
      </c>
      <c r="H1172" t="s">
        <v>17</v>
      </c>
      <c r="I1172" t="str">
        <f>"062271010241"</f>
        <v>062271010241</v>
      </c>
    </row>
    <row r="1173" spans="1:9" x14ac:dyDescent="0.25">
      <c r="A1173" t="s">
        <v>1066</v>
      </c>
      <c r="B1173" t="s">
        <v>13</v>
      </c>
      <c r="C1173">
        <v>33.799999999999997</v>
      </c>
      <c r="D1173">
        <v>33.909999999999997</v>
      </c>
      <c r="E1173" t="s">
        <v>17</v>
      </c>
      <c r="F1173">
        <v>22.31</v>
      </c>
      <c r="G1173">
        <v>21.09</v>
      </c>
      <c r="H1173" t="s">
        <v>17</v>
      </c>
      <c r="I1173" t="str">
        <f>"062031002446"</f>
        <v>062031002446</v>
      </c>
    </row>
    <row r="1174" spans="1:9" x14ac:dyDescent="0.25">
      <c r="A1174" t="s">
        <v>1067</v>
      </c>
      <c r="B1174" t="s">
        <v>13</v>
      </c>
      <c r="C1174">
        <v>1</v>
      </c>
      <c r="D1174">
        <v>1</v>
      </c>
      <c r="E1174" t="s">
        <v>14</v>
      </c>
      <c r="F1174">
        <v>12</v>
      </c>
      <c r="G1174">
        <v>15</v>
      </c>
      <c r="H1174" t="s">
        <v>14</v>
      </c>
      <c r="I1174" t="str">
        <f>"060402012957"</f>
        <v>060402012957</v>
      </c>
    </row>
    <row r="1175" spans="1:9" x14ac:dyDescent="0.25">
      <c r="A1175" t="s">
        <v>1068</v>
      </c>
      <c r="B1175" t="s">
        <v>13</v>
      </c>
      <c r="C1175">
        <v>18</v>
      </c>
      <c r="D1175">
        <v>16.510000000000002</v>
      </c>
      <c r="E1175" t="s">
        <v>17</v>
      </c>
      <c r="F1175">
        <v>22.56</v>
      </c>
      <c r="G1175">
        <v>26.41</v>
      </c>
      <c r="H1175" t="s">
        <v>17</v>
      </c>
      <c r="I1175" t="str">
        <f>"062271002877"</f>
        <v>062271002877</v>
      </c>
    </row>
    <row r="1176" spans="1:9" x14ac:dyDescent="0.25">
      <c r="A1176" t="s">
        <v>1069</v>
      </c>
      <c r="B1176" t="s">
        <v>13</v>
      </c>
      <c r="C1176" t="s">
        <v>14</v>
      </c>
      <c r="D1176">
        <v>10.199999999999999</v>
      </c>
      <c r="E1176" t="s">
        <v>17</v>
      </c>
      <c r="F1176" t="s">
        <v>17</v>
      </c>
      <c r="G1176">
        <v>19.12</v>
      </c>
      <c r="H1176" t="s">
        <v>17</v>
      </c>
      <c r="I1176" t="str">
        <f>"062805010549"</f>
        <v>062805010549</v>
      </c>
    </row>
    <row r="1177" spans="1:9" x14ac:dyDescent="0.25">
      <c r="A1177" t="s">
        <v>1070</v>
      </c>
      <c r="B1177" t="s">
        <v>13</v>
      </c>
      <c r="C1177" t="s">
        <v>17</v>
      </c>
      <c r="D1177" t="s">
        <v>17</v>
      </c>
      <c r="E1177" t="s">
        <v>17</v>
      </c>
      <c r="F1177" t="s">
        <v>17</v>
      </c>
      <c r="G1177" t="s">
        <v>17</v>
      </c>
      <c r="H1177" t="s">
        <v>17</v>
      </c>
      <c r="I1177" t="str">
        <f>"060009010744"</f>
        <v>060009010744</v>
      </c>
    </row>
    <row r="1178" spans="1:9" x14ac:dyDescent="0.25">
      <c r="A1178" t="s">
        <v>1071</v>
      </c>
      <c r="B1178" t="s">
        <v>13</v>
      </c>
      <c r="C1178">
        <v>25.15</v>
      </c>
      <c r="D1178">
        <v>20.79</v>
      </c>
      <c r="E1178" t="s">
        <v>17</v>
      </c>
      <c r="F1178">
        <v>2.27</v>
      </c>
      <c r="G1178">
        <v>3.75</v>
      </c>
      <c r="H1178" t="s">
        <v>17</v>
      </c>
      <c r="I1178" t="str">
        <f>"069100209214"</f>
        <v>069100209214</v>
      </c>
    </row>
    <row r="1179" spans="1:9" x14ac:dyDescent="0.25">
      <c r="A1179" t="s">
        <v>1072</v>
      </c>
      <c r="B1179" t="s">
        <v>13</v>
      </c>
      <c r="C1179">
        <v>9</v>
      </c>
      <c r="D1179">
        <v>8</v>
      </c>
      <c r="E1179" t="s">
        <v>17</v>
      </c>
      <c r="F1179">
        <v>19.78</v>
      </c>
      <c r="G1179">
        <v>23.13</v>
      </c>
      <c r="H1179" t="s">
        <v>17</v>
      </c>
      <c r="I1179" t="str">
        <f>"060658000591"</f>
        <v>060658000591</v>
      </c>
    </row>
    <row r="1180" spans="1:9" x14ac:dyDescent="0.25">
      <c r="A1180" t="s">
        <v>1073</v>
      </c>
      <c r="B1180" t="s">
        <v>13</v>
      </c>
      <c r="C1180">
        <v>7.12</v>
      </c>
      <c r="D1180">
        <v>7.48</v>
      </c>
      <c r="E1180" t="s">
        <v>17</v>
      </c>
      <c r="F1180">
        <v>11.38</v>
      </c>
      <c r="G1180">
        <v>10.56</v>
      </c>
      <c r="H1180" t="s">
        <v>17</v>
      </c>
      <c r="I1180" t="str">
        <f>"060658000590"</f>
        <v>060658000590</v>
      </c>
    </row>
    <row r="1181" spans="1:9" x14ac:dyDescent="0.25">
      <c r="A1181" t="s">
        <v>1074</v>
      </c>
      <c r="B1181" t="s">
        <v>13</v>
      </c>
      <c r="C1181">
        <v>4.28</v>
      </c>
      <c r="D1181">
        <v>4</v>
      </c>
      <c r="E1181" t="s">
        <v>17</v>
      </c>
      <c r="F1181">
        <v>12.62</v>
      </c>
      <c r="G1181">
        <v>12.5</v>
      </c>
      <c r="H1181" t="s">
        <v>17</v>
      </c>
      <c r="I1181" t="str">
        <f>"060658000592"</f>
        <v>060658000592</v>
      </c>
    </row>
    <row r="1182" spans="1:9" x14ac:dyDescent="0.25">
      <c r="A1182" t="s">
        <v>1075</v>
      </c>
      <c r="B1182" t="s">
        <v>13</v>
      </c>
      <c r="C1182" t="str">
        <f>"0.50"</f>
        <v>0.50</v>
      </c>
      <c r="D1182">
        <v>1.33</v>
      </c>
      <c r="E1182" t="s">
        <v>17</v>
      </c>
      <c r="F1182">
        <v>64</v>
      </c>
      <c r="G1182">
        <v>24.81</v>
      </c>
      <c r="H1182" t="s">
        <v>17</v>
      </c>
      <c r="I1182" t="str">
        <f>"063861009449"</f>
        <v>063861009449</v>
      </c>
    </row>
    <row r="1183" spans="1:9" x14ac:dyDescent="0.25">
      <c r="A1183" t="s">
        <v>1076</v>
      </c>
      <c r="B1183" t="s">
        <v>13</v>
      </c>
      <c r="C1183">
        <v>40.89</v>
      </c>
      <c r="D1183">
        <v>43.04</v>
      </c>
      <c r="E1183" t="s">
        <v>17</v>
      </c>
      <c r="F1183">
        <v>23.36</v>
      </c>
      <c r="G1183">
        <v>22.28</v>
      </c>
      <c r="H1183" t="s">
        <v>17</v>
      </c>
      <c r="I1183" t="str">
        <f>"064347004175"</f>
        <v>064347004175</v>
      </c>
    </row>
    <row r="1184" spans="1:9" x14ac:dyDescent="0.25">
      <c r="A1184" t="s">
        <v>1077</v>
      </c>
      <c r="B1184" t="s">
        <v>13</v>
      </c>
      <c r="C1184" t="s">
        <v>17</v>
      </c>
      <c r="D1184" t="s">
        <v>17</v>
      </c>
      <c r="E1184" t="s">
        <v>14</v>
      </c>
      <c r="F1184" t="s">
        <v>17</v>
      </c>
      <c r="G1184" t="s">
        <v>17</v>
      </c>
      <c r="H1184" t="s">
        <v>14</v>
      </c>
      <c r="I1184" t="str">
        <f>"062100012838"</f>
        <v>062100012838</v>
      </c>
    </row>
    <row r="1185" spans="1:9" x14ac:dyDescent="0.25">
      <c r="A1185" t="s">
        <v>1078</v>
      </c>
      <c r="B1185" t="s">
        <v>13</v>
      </c>
      <c r="C1185">
        <v>2</v>
      </c>
      <c r="D1185">
        <v>2</v>
      </c>
      <c r="E1185" t="s">
        <v>17</v>
      </c>
      <c r="F1185">
        <v>151.5</v>
      </c>
      <c r="G1185">
        <v>150</v>
      </c>
      <c r="H1185" t="s">
        <v>17</v>
      </c>
      <c r="I1185" t="str">
        <f>"060006412042"</f>
        <v>060006412042</v>
      </c>
    </row>
    <row r="1186" spans="1:9" x14ac:dyDescent="0.25">
      <c r="A1186" t="s">
        <v>1079</v>
      </c>
      <c r="B1186" t="s">
        <v>13</v>
      </c>
      <c r="C1186">
        <v>24</v>
      </c>
      <c r="D1186">
        <v>26.05</v>
      </c>
      <c r="E1186" t="s">
        <v>17</v>
      </c>
      <c r="F1186">
        <v>29.17</v>
      </c>
      <c r="G1186">
        <v>28.21</v>
      </c>
      <c r="H1186" t="s">
        <v>17</v>
      </c>
      <c r="I1186" t="str">
        <f>"062580008907"</f>
        <v>062580008907</v>
      </c>
    </row>
    <row r="1187" spans="1:9" x14ac:dyDescent="0.25">
      <c r="A1187" t="s">
        <v>1080</v>
      </c>
      <c r="B1187" t="s">
        <v>13</v>
      </c>
      <c r="C1187">
        <v>19</v>
      </c>
      <c r="D1187">
        <v>19</v>
      </c>
      <c r="E1187" t="s">
        <v>17</v>
      </c>
      <c r="F1187">
        <v>31.11</v>
      </c>
      <c r="G1187">
        <v>30.89</v>
      </c>
      <c r="H1187" t="s">
        <v>17</v>
      </c>
      <c r="I1187" t="str">
        <f>"060846009528"</f>
        <v>060846009528</v>
      </c>
    </row>
    <row r="1188" spans="1:9" x14ac:dyDescent="0.25">
      <c r="A1188" t="s">
        <v>1081</v>
      </c>
      <c r="B1188" t="s">
        <v>13</v>
      </c>
      <c r="C1188">
        <v>10.79</v>
      </c>
      <c r="D1188">
        <v>9.6</v>
      </c>
      <c r="E1188" t="s">
        <v>17</v>
      </c>
      <c r="F1188">
        <v>18.72</v>
      </c>
      <c r="G1188">
        <v>18.02</v>
      </c>
      <c r="H1188" t="s">
        <v>17</v>
      </c>
      <c r="I1188" t="str">
        <f>"060669000593"</f>
        <v>060669000593</v>
      </c>
    </row>
    <row r="1189" spans="1:9" x14ac:dyDescent="0.25">
      <c r="A1189" t="s">
        <v>1082</v>
      </c>
      <c r="B1189" t="s">
        <v>13</v>
      </c>
      <c r="C1189">
        <v>19</v>
      </c>
      <c r="D1189">
        <v>21.47</v>
      </c>
      <c r="E1189" t="s">
        <v>17</v>
      </c>
      <c r="F1189">
        <v>18</v>
      </c>
      <c r="G1189">
        <v>17.09</v>
      </c>
      <c r="H1189" t="s">
        <v>17</v>
      </c>
      <c r="I1189" t="str">
        <f>"060672000594"</f>
        <v>060672000594</v>
      </c>
    </row>
    <row r="1190" spans="1:9" x14ac:dyDescent="0.25">
      <c r="A1190" t="s">
        <v>1083</v>
      </c>
      <c r="B1190" t="s">
        <v>13</v>
      </c>
      <c r="C1190">
        <v>24.8</v>
      </c>
      <c r="D1190">
        <v>24.5</v>
      </c>
      <c r="E1190" t="s">
        <v>17</v>
      </c>
      <c r="F1190">
        <v>22.46</v>
      </c>
      <c r="G1190">
        <v>23.27</v>
      </c>
      <c r="H1190" t="s">
        <v>17</v>
      </c>
      <c r="I1190" t="str">
        <f>"061128001250"</f>
        <v>061128001250</v>
      </c>
    </row>
    <row r="1191" spans="1:9" x14ac:dyDescent="0.25">
      <c r="A1191" t="s">
        <v>1084</v>
      </c>
      <c r="B1191" t="s">
        <v>13</v>
      </c>
      <c r="C1191">
        <v>24.4</v>
      </c>
      <c r="D1191">
        <v>24.26</v>
      </c>
      <c r="E1191" t="s">
        <v>17</v>
      </c>
      <c r="F1191">
        <v>25.33</v>
      </c>
      <c r="G1191">
        <v>25.19</v>
      </c>
      <c r="H1191" t="s">
        <v>17</v>
      </c>
      <c r="I1191" t="str">
        <f>"061029007787"</f>
        <v>061029007787</v>
      </c>
    </row>
    <row r="1192" spans="1:9" x14ac:dyDescent="0.25">
      <c r="A1192" t="s">
        <v>1085</v>
      </c>
      <c r="B1192" t="s">
        <v>13</v>
      </c>
      <c r="C1192">
        <v>21</v>
      </c>
      <c r="D1192">
        <v>21</v>
      </c>
      <c r="E1192" t="s">
        <v>17</v>
      </c>
      <c r="F1192">
        <v>29.86</v>
      </c>
      <c r="G1192">
        <v>30.81</v>
      </c>
      <c r="H1192" t="s">
        <v>17</v>
      </c>
      <c r="I1192" t="str">
        <f>"064015006161"</f>
        <v>064015006161</v>
      </c>
    </row>
    <row r="1193" spans="1:9" x14ac:dyDescent="0.25">
      <c r="A1193" t="s">
        <v>1086</v>
      </c>
      <c r="B1193" t="s">
        <v>13</v>
      </c>
      <c r="C1193">
        <v>23</v>
      </c>
      <c r="D1193">
        <v>23</v>
      </c>
      <c r="E1193" t="s">
        <v>17</v>
      </c>
      <c r="F1193">
        <v>24.3</v>
      </c>
      <c r="G1193">
        <v>24.09</v>
      </c>
      <c r="H1193" t="s">
        <v>17</v>
      </c>
      <c r="I1193" t="str">
        <f>"061488001884"</f>
        <v>061488001884</v>
      </c>
    </row>
    <row r="1194" spans="1:9" x14ac:dyDescent="0.25">
      <c r="A1194" t="s">
        <v>1087</v>
      </c>
      <c r="B1194" t="s">
        <v>13</v>
      </c>
      <c r="C1194">
        <v>33.799999999999997</v>
      </c>
      <c r="D1194">
        <v>34.799999999999997</v>
      </c>
      <c r="E1194" t="s">
        <v>17</v>
      </c>
      <c r="F1194">
        <v>28.25</v>
      </c>
      <c r="G1194">
        <v>27.18</v>
      </c>
      <c r="H1194" t="s">
        <v>17</v>
      </c>
      <c r="I1194" t="str">
        <f>"064015003488"</f>
        <v>064015003488</v>
      </c>
    </row>
    <row r="1195" spans="1:9" x14ac:dyDescent="0.25">
      <c r="A1195" t="s">
        <v>1088</v>
      </c>
      <c r="B1195" t="s">
        <v>13</v>
      </c>
      <c r="C1195">
        <v>94.29</v>
      </c>
      <c r="D1195">
        <v>71.099999999999994</v>
      </c>
      <c r="E1195" t="s">
        <v>17</v>
      </c>
      <c r="F1195">
        <v>24.92</v>
      </c>
      <c r="G1195">
        <v>33.26</v>
      </c>
      <c r="H1195" t="s">
        <v>17</v>
      </c>
      <c r="I1195" t="str">
        <f>"063384005226"</f>
        <v>063384005226</v>
      </c>
    </row>
    <row r="1196" spans="1:9" x14ac:dyDescent="0.25">
      <c r="A1196" t="s">
        <v>1089</v>
      </c>
      <c r="B1196" t="s">
        <v>13</v>
      </c>
      <c r="C1196">
        <v>10</v>
      </c>
      <c r="D1196">
        <v>8.5</v>
      </c>
      <c r="E1196" t="s">
        <v>17</v>
      </c>
      <c r="F1196">
        <v>17.3</v>
      </c>
      <c r="G1196">
        <v>12.71</v>
      </c>
      <c r="H1196" t="s">
        <v>17</v>
      </c>
      <c r="I1196" t="str">
        <f>"062271007765"</f>
        <v>062271007765</v>
      </c>
    </row>
    <row r="1197" spans="1:9" x14ac:dyDescent="0.25">
      <c r="A1197" t="s">
        <v>1090</v>
      </c>
      <c r="B1197" t="s">
        <v>13</v>
      </c>
      <c r="C1197">
        <v>12.6</v>
      </c>
      <c r="D1197" t="s">
        <v>17</v>
      </c>
      <c r="E1197" t="s">
        <v>17</v>
      </c>
      <c r="F1197">
        <v>26.11</v>
      </c>
      <c r="G1197" t="s">
        <v>17</v>
      </c>
      <c r="H1197" t="s">
        <v>17</v>
      </c>
      <c r="I1197" t="str">
        <f>"063117010272"</f>
        <v>063117010272</v>
      </c>
    </row>
    <row r="1198" spans="1:9" x14ac:dyDescent="0.25">
      <c r="A1198" t="s">
        <v>1091</v>
      </c>
      <c r="B1198" t="s">
        <v>13</v>
      </c>
      <c r="C1198">
        <v>8.1999999999999993</v>
      </c>
      <c r="D1198">
        <v>7.88</v>
      </c>
      <c r="E1198" t="s">
        <v>17</v>
      </c>
      <c r="F1198">
        <v>20.49</v>
      </c>
      <c r="G1198">
        <v>14.34</v>
      </c>
      <c r="H1198" t="s">
        <v>17</v>
      </c>
      <c r="I1198" t="str">
        <f>"062235002672"</f>
        <v>062235002672</v>
      </c>
    </row>
    <row r="1199" spans="1:9" x14ac:dyDescent="0.25">
      <c r="A1199" t="s">
        <v>1092</v>
      </c>
      <c r="B1199" t="s">
        <v>13</v>
      </c>
      <c r="C1199">
        <v>16</v>
      </c>
      <c r="D1199">
        <v>17</v>
      </c>
      <c r="E1199" t="s">
        <v>17</v>
      </c>
      <c r="F1199">
        <v>26.56</v>
      </c>
      <c r="G1199">
        <v>24.18</v>
      </c>
      <c r="H1199" t="s">
        <v>17</v>
      </c>
      <c r="I1199" t="str">
        <f>"061233001396"</f>
        <v>061233001396</v>
      </c>
    </row>
    <row r="1200" spans="1:9" x14ac:dyDescent="0.25">
      <c r="A1200" t="s">
        <v>1093</v>
      </c>
      <c r="B1200" t="s">
        <v>13</v>
      </c>
      <c r="C1200">
        <v>16.8</v>
      </c>
      <c r="D1200">
        <v>18.2</v>
      </c>
      <c r="E1200" t="s">
        <v>17</v>
      </c>
      <c r="F1200">
        <v>25.24</v>
      </c>
      <c r="G1200">
        <v>23.52</v>
      </c>
      <c r="H1200" t="s">
        <v>17</v>
      </c>
      <c r="I1200" t="str">
        <f>"063543006040"</f>
        <v>063543006040</v>
      </c>
    </row>
    <row r="1201" spans="1:9" x14ac:dyDescent="0.25">
      <c r="A1201" t="s">
        <v>1094</v>
      </c>
      <c r="B1201" t="s">
        <v>13</v>
      </c>
      <c r="C1201">
        <v>12</v>
      </c>
      <c r="D1201">
        <v>10.75</v>
      </c>
      <c r="E1201" t="s">
        <v>17</v>
      </c>
      <c r="F1201">
        <v>29.08</v>
      </c>
      <c r="G1201">
        <v>18.88</v>
      </c>
      <c r="H1201" t="s">
        <v>17</v>
      </c>
      <c r="I1201" t="str">
        <f>"060384009305"</f>
        <v>060384009305</v>
      </c>
    </row>
    <row r="1202" spans="1:9" x14ac:dyDescent="0.25">
      <c r="A1202" t="s">
        <v>1095</v>
      </c>
      <c r="B1202" t="s">
        <v>13</v>
      </c>
      <c r="C1202" t="s">
        <v>14</v>
      </c>
      <c r="D1202">
        <v>13.5</v>
      </c>
      <c r="E1202" t="s">
        <v>17</v>
      </c>
      <c r="F1202" t="s">
        <v>17</v>
      </c>
      <c r="G1202">
        <v>4.8099999999999996</v>
      </c>
      <c r="H1202" t="s">
        <v>17</v>
      </c>
      <c r="I1202" t="str">
        <f>"062691004068"</f>
        <v>062691004068</v>
      </c>
    </row>
    <row r="1203" spans="1:9" x14ac:dyDescent="0.25">
      <c r="A1203" t="s">
        <v>1096</v>
      </c>
      <c r="B1203" t="s">
        <v>13</v>
      </c>
      <c r="C1203">
        <v>28</v>
      </c>
      <c r="D1203">
        <v>27</v>
      </c>
      <c r="E1203" t="s">
        <v>17</v>
      </c>
      <c r="F1203">
        <v>28.71</v>
      </c>
      <c r="G1203">
        <v>28.85</v>
      </c>
      <c r="H1203" t="s">
        <v>17</v>
      </c>
      <c r="I1203" t="str">
        <f>"062955012316"</f>
        <v>062955012316</v>
      </c>
    </row>
    <row r="1204" spans="1:9" x14ac:dyDescent="0.25">
      <c r="A1204" t="s">
        <v>1097</v>
      </c>
      <c r="B1204" t="s">
        <v>13</v>
      </c>
      <c r="C1204">
        <v>18</v>
      </c>
      <c r="D1204">
        <v>19</v>
      </c>
      <c r="E1204" t="s">
        <v>17</v>
      </c>
      <c r="F1204">
        <v>23.28</v>
      </c>
      <c r="G1204">
        <v>22.58</v>
      </c>
      <c r="H1204" t="s">
        <v>17</v>
      </c>
      <c r="I1204" t="str">
        <f>"062271002882"</f>
        <v>062271002882</v>
      </c>
    </row>
    <row r="1205" spans="1:9" x14ac:dyDescent="0.25">
      <c r="A1205" t="s">
        <v>1098</v>
      </c>
      <c r="B1205" t="s">
        <v>13</v>
      </c>
      <c r="C1205">
        <v>23.65</v>
      </c>
      <c r="D1205">
        <v>23.5</v>
      </c>
      <c r="E1205" t="s">
        <v>17</v>
      </c>
      <c r="F1205">
        <v>23.85</v>
      </c>
      <c r="G1205">
        <v>24.55</v>
      </c>
      <c r="H1205" t="s">
        <v>17</v>
      </c>
      <c r="I1205" t="str">
        <f>"062046002458"</f>
        <v>062046002458</v>
      </c>
    </row>
    <row r="1206" spans="1:9" x14ac:dyDescent="0.25">
      <c r="A1206" t="s">
        <v>1098</v>
      </c>
      <c r="B1206" t="s">
        <v>13</v>
      </c>
      <c r="C1206">
        <v>16.600000000000001</v>
      </c>
      <c r="D1206">
        <v>17.3</v>
      </c>
      <c r="E1206" t="s">
        <v>17</v>
      </c>
      <c r="F1206">
        <v>24.04</v>
      </c>
      <c r="G1206">
        <v>22.89</v>
      </c>
      <c r="H1206" t="s">
        <v>17</v>
      </c>
      <c r="I1206" t="str">
        <f>"061440001659"</f>
        <v>061440001659</v>
      </c>
    </row>
    <row r="1207" spans="1:9" x14ac:dyDescent="0.25">
      <c r="A1207" t="s">
        <v>1098</v>
      </c>
      <c r="B1207" t="s">
        <v>13</v>
      </c>
      <c r="C1207">
        <v>10.85</v>
      </c>
      <c r="D1207">
        <v>10.85</v>
      </c>
      <c r="E1207" t="s">
        <v>17</v>
      </c>
      <c r="F1207">
        <v>21.29</v>
      </c>
      <c r="G1207">
        <v>18.62</v>
      </c>
      <c r="H1207" t="s">
        <v>17</v>
      </c>
      <c r="I1207" t="str">
        <f>"063432005427"</f>
        <v>063432005427</v>
      </c>
    </row>
    <row r="1208" spans="1:9" x14ac:dyDescent="0.25">
      <c r="A1208" t="s">
        <v>1098</v>
      </c>
      <c r="B1208" t="s">
        <v>13</v>
      </c>
      <c r="C1208">
        <v>26.5</v>
      </c>
      <c r="D1208">
        <v>28</v>
      </c>
      <c r="E1208" t="s">
        <v>17</v>
      </c>
      <c r="F1208">
        <v>28.79</v>
      </c>
      <c r="G1208">
        <v>27.25</v>
      </c>
      <c r="H1208" t="s">
        <v>17</v>
      </c>
      <c r="I1208" t="str">
        <f>"060001609088"</f>
        <v>060001609088</v>
      </c>
    </row>
    <row r="1209" spans="1:9" x14ac:dyDescent="0.25">
      <c r="A1209" t="s">
        <v>1099</v>
      </c>
      <c r="B1209" t="s">
        <v>13</v>
      </c>
      <c r="C1209">
        <v>62.67</v>
      </c>
      <c r="D1209">
        <v>62.77</v>
      </c>
      <c r="E1209" t="s">
        <v>17</v>
      </c>
      <c r="F1209">
        <v>23.12</v>
      </c>
      <c r="G1209">
        <v>22.73</v>
      </c>
      <c r="H1209" t="s">
        <v>17</v>
      </c>
      <c r="I1209" t="str">
        <f>"062241002677"</f>
        <v>062241002677</v>
      </c>
    </row>
    <row r="1210" spans="1:9" x14ac:dyDescent="0.25">
      <c r="A1210" t="s">
        <v>1099</v>
      </c>
      <c r="B1210" t="s">
        <v>13</v>
      </c>
      <c r="C1210">
        <v>115.09</v>
      </c>
      <c r="D1210">
        <v>123.06</v>
      </c>
      <c r="E1210" t="s">
        <v>17</v>
      </c>
      <c r="F1210">
        <v>26.27</v>
      </c>
      <c r="G1210">
        <v>25.71</v>
      </c>
      <c r="H1210" t="s">
        <v>17</v>
      </c>
      <c r="I1210" t="str">
        <f>"062250005870"</f>
        <v>062250005870</v>
      </c>
    </row>
    <row r="1211" spans="1:9" x14ac:dyDescent="0.25">
      <c r="A1211" t="s">
        <v>1100</v>
      </c>
      <c r="B1211" t="s">
        <v>13</v>
      </c>
      <c r="C1211">
        <v>34.69</v>
      </c>
      <c r="D1211">
        <v>37.479999999999997</v>
      </c>
      <c r="E1211" t="s">
        <v>17</v>
      </c>
      <c r="F1211">
        <v>28.11</v>
      </c>
      <c r="G1211">
        <v>26.92</v>
      </c>
      <c r="H1211" t="s">
        <v>17</v>
      </c>
      <c r="I1211" t="str">
        <f>"064098006749"</f>
        <v>064098006749</v>
      </c>
    </row>
    <row r="1212" spans="1:9" x14ac:dyDescent="0.25">
      <c r="A1212" t="s">
        <v>1101</v>
      </c>
      <c r="B1212" t="s">
        <v>13</v>
      </c>
      <c r="C1212">
        <v>8.75</v>
      </c>
      <c r="D1212">
        <v>10.050000000000001</v>
      </c>
      <c r="E1212" t="s">
        <v>17</v>
      </c>
      <c r="F1212">
        <v>17.03</v>
      </c>
      <c r="G1212">
        <v>18.010000000000002</v>
      </c>
      <c r="H1212" t="s">
        <v>17</v>
      </c>
      <c r="I1212" t="str">
        <f>"064308007010"</f>
        <v>064308007010</v>
      </c>
    </row>
    <row r="1213" spans="1:9" x14ac:dyDescent="0.25">
      <c r="A1213" t="s">
        <v>1102</v>
      </c>
      <c r="B1213" t="s">
        <v>13</v>
      </c>
      <c r="C1213">
        <v>48.21</v>
      </c>
      <c r="D1213">
        <v>50.23</v>
      </c>
      <c r="E1213" t="s">
        <v>17</v>
      </c>
      <c r="F1213">
        <v>21.68</v>
      </c>
      <c r="G1213">
        <v>22.74</v>
      </c>
      <c r="H1213" t="s">
        <v>17</v>
      </c>
      <c r="I1213" t="str">
        <f>"062958008933"</f>
        <v>062958008933</v>
      </c>
    </row>
    <row r="1214" spans="1:9" x14ac:dyDescent="0.25">
      <c r="A1214" t="s">
        <v>1103</v>
      </c>
      <c r="B1214" t="s">
        <v>13</v>
      </c>
      <c r="C1214">
        <v>8.1999999999999993</v>
      </c>
      <c r="D1214">
        <v>9</v>
      </c>
      <c r="E1214" t="s">
        <v>17</v>
      </c>
      <c r="F1214">
        <v>19.760000000000002</v>
      </c>
      <c r="G1214">
        <v>15.89</v>
      </c>
      <c r="H1214" t="s">
        <v>17</v>
      </c>
      <c r="I1214" t="str">
        <f>"063432005428"</f>
        <v>063432005428</v>
      </c>
    </row>
    <row r="1215" spans="1:9" x14ac:dyDescent="0.25">
      <c r="A1215" t="s">
        <v>1104</v>
      </c>
      <c r="B1215" t="s">
        <v>13</v>
      </c>
      <c r="C1215">
        <v>16</v>
      </c>
      <c r="D1215">
        <v>18.03</v>
      </c>
      <c r="E1215" t="s">
        <v>17</v>
      </c>
      <c r="F1215">
        <v>24.31</v>
      </c>
      <c r="G1215">
        <v>22.57</v>
      </c>
      <c r="H1215" t="s">
        <v>17</v>
      </c>
      <c r="I1215" t="str">
        <f>"061314001490"</f>
        <v>061314001490</v>
      </c>
    </row>
    <row r="1216" spans="1:9" x14ac:dyDescent="0.25">
      <c r="A1216" t="s">
        <v>1105</v>
      </c>
      <c r="B1216" t="s">
        <v>13</v>
      </c>
      <c r="C1216">
        <v>35</v>
      </c>
      <c r="D1216">
        <v>35</v>
      </c>
      <c r="E1216" t="s">
        <v>17</v>
      </c>
      <c r="F1216">
        <v>24.54</v>
      </c>
      <c r="G1216">
        <v>24.17</v>
      </c>
      <c r="H1216" t="s">
        <v>17</v>
      </c>
      <c r="I1216" t="str">
        <f>"062271002883"</f>
        <v>062271002883</v>
      </c>
    </row>
    <row r="1217" spans="1:9" x14ac:dyDescent="0.25">
      <c r="A1217" t="s">
        <v>1106</v>
      </c>
      <c r="B1217" t="s">
        <v>13</v>
      </c>
      <c r="C1217">
        <v>41.4</v>
      </c>
      <c r="D1217">
        <v>37.450000000000003</v>
      </c>
      <c r="E1217" t="s">
        <v>17</v>
      </c>
      <c r="F1217">
        <v>19.399999999999999</v>
      </c>
      <c r="G1217">
        <v>20.67</v>
      </c>
      <c r="H1217" t="s">
        <v>17</v>
      </c>
      <c r="I1217" t="str">
        <f>"060907005008"</f>
        <v>060907005008</v>
      </c>
    </row>
    <row r="1218" spans="1:9" x14ac:dyDescent="0.25">
      <c r="A1218" t="s">
        <v>1107</v>
      </c>
      <c r="B1218" t="s">
        <v>13</v>
      </c>
      <c r="C1218">
        <v>21</v>
      </c>
      <c r="D1218">
        <v>21</v>
      </c>
      <c r="E1218" t="s">
        <v>17</v>
      </c>
      <c r="F1218">
        <v>27.81</v>
      </c>
      <c r="G1218">
        <v>25.95</v>
      </c>
      <c r="H1218" t="s">
        <v>17</v>
      </c>
      <c r="I1218" t="str">
        <f>"062955004560"</f>
        <v>062955004560</v>
      </c>
    </row>
    <row r="1219" spans="1:9" x14ac:dyDescent="0.25">
      <c r="A1219" t="s">
        <v>1108</v>
      </c>
      <c r="B1219" t="s">
        <v>13</v>
      </c>
      <c r="C1219">
        <v>98.01</v>
      </c>
      <c r="D1219">
        <v>106</v>
      </c>
      <c r="E1219" t="s">
        <v>17</v>
      </c>
      <c r="F1219">
        <v>28.54</v>
      </c>
      <c r="G1219">
        <v>25.62</v>
      </c>
      <c r="H1219" t="s">
        <v>17</v>
      </c>
      <c r="I1219" t="str">
        <f>"063417005351"</f>
        <v>063417005351</v>
      </c>
    </row>
    <row r="1220" spans="1:9" x14ac:dyDescent="0.25">
      <c r="A1220" t="s">
        <v>1109</v>
      </c>
      <c r="B1220" t="s">
        <v>13</v>
      </c>
      <c r="C1220">
        <v>47.5</v>
      </c>
      <c r="D1220">
        <v>45.78</v>
      </c>
      <c r="E1220" t="s">
        <v>17</v>
      </c>
      <c r="F1220">
        <v>22.13</v>
      </c>
      <c r="G1220">
        <v>22.32</v>
      </c>
      <c r="H1220" t="s">
        <v>17</v>
      </c>
      <c r="I1220" t="str">
        <f>"063588006137"</f>
        <v>063588006137</v>
      </c>
    </row>
    <row r="1221" spans="1:9" x14ac:dyDescent="0.25">
      <c r="A1221" t="s">
        <v>1110</v>
      </c>
      <c r="B1221" t="s">
        <v>13</v>
      </c>
      <c r="C1221">
        <v>2</v>
      </c>
      <c r="D1221">
        <v>2</v>
      </c>
      <c r="E1221" t="s">
        <v>17</v>
      </c>
      <c r="F1221">
        <v>8</v>
      </c>
      <c r="G1221">
        <v>12</v>
      </c>
      <c r="H1221" t="s">
        <v>17</v>
      </c>
      <c r="I1221" t="str">
        <f>"060681008589"</f>
        <v>060681008589</v>
      </c>
    </row>
    <row r="1222" spans="1:9" x14ac:dyDescent="0.25">
      <c r="A1222" t="s">
        <v>1111</v>
      </c>
      <c r="B1222" t="s">
        <v>13</v>
      </c>
      <c r="C1222">
        <v>1.5</v>
      </c>
      <c r="D1222">
        <v>1.9</v>
      </c>
      <c r="E1222" t="s">
        <v>17</v>
      </c>
      <c r="F1222">
        <v>22</v>
      </c>
      <c r="G1222">
        <v>16.32</v>
      </c>
      <c r="H1222" t="s">
        <v>17</v>
      </c>
      <c r="I1222" t="str">
        <f>"060681008590"</f>
        <v>060681008590</v>
      </c>
    </row>
    <row r="1223" spans="1:9" x14ac:dyDescent="0.25">
      <c r="A1223" t="s">
        <v>1112</v>
      </c>
      <c r="B1223" t="s">
        <v>13</v>
      </c>
      <c r="C1223">
        <v>39.11</v>
      </c>
      <c r="D1223">
        <v>37.35</v>
      </c>
      <c r="E1223" t="s">
        <v>17</v>
      </c>
      <c r="F1223">
        <v>21.27</v>
      </c>
      <c r="G1223">
        <v>20.72</v>
      </c>
      <c r="H1223" t="s">
        <v>17</v>
      </c>
      <c r="I1223" t="str">
        <f>"060681000607"</f>
        <v>060681000607</v>
      </c>
    </row>
    <row r="1224" spans="1:9" x14ac:dyDescent="0.25">
      <c r="A1224" t="s">
        <v>1113</v>
      </c>
      <c r="B1224" t="s">
        <v>13</v>
      </c>
      <c r="C1224">
        <v>36.15</v>
      </c>
      <c r="D1224">
        <v>33.76</v>
      </c>
      <c r="E1224" t="s">
        <v>17</v>
      </c>
      <c r="F1224">
        <v>26.5</v>
      </c>
      <c r="G1224">
        <v>27.75</v>
      </c>
      <c r="H1224" t="s">
        <v>17</v>
      </c>
      <c r="I1224" t="str">
        <f>"060846012552"</f>
        <v>060846012552</v>
      </c>
    </row>
    <row r="1225" spans="1:9" x14ac:dyDescent="0.25">
      <c r="A1225" t="s">
        <v>1114</v>
      </c>
      <c r="B1225" t="s">
        <v>13</v>
      </c>
      <c r="C1225">
        <v>7.5</v>
      </c>
      <c r="D1225">
        <v>7.01</v>
      </c>
      <c r="E1225" t="s">
        <v>17</v>
      </c>
      <c r="F1225">
        <v>25.47</v>
      </c>
      <c r="G1225">
        <v>27.67</v>
      </c>
      <c r="H1225" t="s">
        <v>17</v>
      </c>
      <c r="I1225" t="str">
        <f>"062271011627"</f>
        <v>062271011627</v>
      </c>
    </row>
    <row r="1226" spans="1:9" x14ac:dyDescent="0.25">
      <c r="A1226" t="s">
        <v>1115</v>
      </c>
      <c r="B1226" t="s">
        <v>13</v>
      </c>
      <c r="C1226">
        <v>22</v>
      </c>
      <c r="D1226">
        <v>23</v>
      </c>
      <c r="E1226" t="s">
        <v>17</v>
      </c>
      <c r="F1226">
        <v>28.55</v>
      </c>
      <c r="G1226">
        <v>27.65</v>
      </c>
      <c r="H1226" t="s">
        <v>17</v>
      </c>
      <c r="I1226" t="str">
        <f>"062949004539"</f>
        <v>062949004539</v>
      </c>
    </row>
    <row r="1227" spans="1:9" x14ac:dyDescent="0.25">
      <c r="A1227" t="s">
        <v>1116</v>
      </c>
      <c r="B1227" t="s">
        <v>13</v>
      </c>
      <c r="C1227">
        <v>73.16</v>
      </c>
      <c r="D1227">
        <v>71.75</v>
      </c>
      <c r="E1227" t="s">
        <v>17</v>
      </c>
      <c r="F1227">
        <v>23.93</v>
      </c>
      <c r="G1227">
        <v>25.23</v>
      </c>
      <c r="H1227" t="s">
        <v>17</v>
      </c>
      <c r="I1227" t="str">
        <f>"062100002519"</f>
        <v>062100002519</v>
      </c>
    </row>
    <row r="1228" spans="1:9" x14ac:dyDescent="0.25">
      <c r="A1228" t="s">
        <v>1117</v>
      </c>
      <c r="B1228" t="s">
        <v>13</v>
      </c>
      <c r="C1228">
        <v>17</v>
      </c>
      <c r="D1228">
        <v>16.5</v>
      </c>
      <c r="E1228" t="s">
        <v>17</v>
      </c>
      <c r="F1228">
        <v>23.94</v>
      </c>
      <c r="G1228">
        <v>24.48</v>
      </c>
      <c r="H1228" t="s">
        <v>17</v>
      </c>
      <c r="I1228" t="str">
        <f>"062271002884"</f>
        <v>062271002884</v>
      </c>
    </row>
    <row r="1229" spans="1:9" x14ac:dyDescent="0.25">
      <c r="A1229" t="s">
        <v>1118</v>
      </c>
      <c r="B1229" t="s">
        <v>13</v>
      </c>
      <c r="C1229">
        <v>23</v>
      </c>
      <c r="D1229">
        <v>23.5</v>
      </c>
      <c r="E1229" t="s">
        <v>17</v>
      </c>
      <c r="F1229">
        <v>24.3</v>
      </c>
      <c r="G1229">
        <v>24.04</v>
      </c>
      <c r="H1229" t="s">
        <v>17</v>
      </c>
      <c r="I1229" t="str">
        <f>"062271002885"</f>
        <v>062271002885</v>
      </c>
    </row>
    <row r="1230" spans="1:9" x14ac:dyDescent="0.25">
      <c r="A1230" t="s">
        <v>1119</v>
      </c>
      <c r="B1230" t="s">
        <v>13</v>
      </c>
      <c r="C1230">
        <v>19.5</v>
      </c>
      <c r="D1230">
        <v>20.5</v>
      </c>
      <c r="E1230" t="s">
        <v>17</v>
      </c>
      <c r="F1230">
        <v>27.28</v>
      </c>
      <c r="G1230">
        <v>27.61</v>
      </c>
      <c r="H1230" t="s">
        <v>17</v>
      </c>
      <c r="I1230" t="str">
        <f>"060750010643"</f>
        <v>060750010643</v>
      </c>
    </row>
    <row r="1231" spans="1:9" x14ac:dyDescent="0.25">
      <c r="A1231" t="s">
        <v>1120</v>
      </c>
      <c r="B1231" t="s">
        <v>13</v>
      </c>
      <c r="C1231">
        <v>23.6</v>
      </c>
      <c r="D1231">
        <v>23.8</v>
      </c>
      <c r="E1231" t="s">
        <v>17</v>
      </c>
      <c r="F1231">
        <v>22.88</v>
      </c>
      <c r="G1231">
        <v>23.7</v>
      </c>
      <c r="H1231" t="s">
        <v>17</v>
      </c>
      <c r="I1231" t="str">
        <f>"060750011402"</f>
        <v>060750011402</v>
      </c>
    </row>
    <row r="1232" spans="1:9" x14ac:dyDescent="0.25">
      <c r="A1232" t="s">
        <v>1121</v>
      </c>
      <c r="B1232" t="s">
        <v>13</v>
      </c>
      <c r="C1232" t="s">
        <v>17</v>
      </c>
      <c r="D1232" t="s">
        <v>17</v>
      </c>
      <c r="E1232" t="s">
        <v>17</v>
      </c>
      <c r="F1232" t="s">
        <v>17</v>
      </c>
      <c r="G1232" t="s">
        <v>17</v>
      </c>
      <c r="H1232" t="s">
        <v>17</v>
      </c>
      <c r="I1232" t="str">
        <f>"060009110747"</f>
        <v>060009110747</v>
      </c>
    </row>
    <row r="1233" spans="1:9" x14ac:dyDescent="0.25">
      <c r="A1233" t="s">
        <v>1122</v>
      </c>
      <c r="B1233" t="s">
        <v>13</v>
      </c>
      <c r="C1233">
        <v>11.43</v>
      </c>
      <c r="D1233">
        <v>10.6</v>
      </c>
      <c r="E1233" t="s">
        <v>17</v>
      </c>
      <c r="F1233">
        <v>6.74</v>
      </c>
      <c r="G1233">
        <v>6.32</v>
      </c>
      <c r="H1233" t="s">
        <v>17</v>
      </c>
      <c r="I1233" t="str">
        <f>"069100310746"</f>
        <v>069100310746</v>
      </c>
    </row>
    <row r="1234" spans="1:9" x14ac:dyDescent="0.25">
      <c r="A1234" t="s">
        <v>1123</v>
      </c>
      <c r="B1234" t="s">
        <v>13</v>
      </c>
      <c r="C1234">
        <v>1</v>
      </c>
      <c r="D1234">
        <v>1</v>
      </c>
      <c r="E1234" t="s">
        <v>17</v>
      </c>
      <c r="F1234">
        <v>11</v>
      </c>
      <c r="G1234">
        <v>17</v>
      </c>
      <c r="H1234" t="s">
        <v>17</v>
      </c>
      <c r="I1234" t="str">
        <f>"060687007953"</f>
        <v>060687007953</v>
      </c>
    </row>
    <row r="1235" spans="1:9" x14ac:dyDescent="0.25">
      <c r="A1235" t="s">
        <v>1124</v>
      </c>
      <c r="B1235" t="s">
        <v>13</v>
      </c>
      <c r="C1235">
        <v>21.7</v>
      </c>
      <c r="D1235">
        <v>22.36</v>
      </c>
      <c r="E1235" t="s">
        <v>17</v>
      </c>
      <c r="F1235">
        <v>26.54</v>
      </c>
      <c r="G1235">
        <v>27.55</v>
      </c>
      <c r="H1235" t="s">
        <v>17</v>
      </c>
      <c r="I1235" t="str">
        <f>"061734008147"</f>
        <v>061734008147</v>
      </c>
    </row>
    <row r="1236" spans="1:9" x14ac:dyDescent="0.25">
      <c r="A1236" t="s">
        <v>1125</v>
      </c>
      <c r="B1236" t="s">
        <v>13</v>
      </c>
      <c r="C1236">
        <v>47.77</v>
      </c>
      <c r="D1236">
        <v>48.26</v>
      </c>
      <c r="E1236" t="s">
        <v>17</v>
      </c>
      <c r="F1236">
        <v>21.35</v>
      </c>
      <c r="G1236">
        <v>21.05</v>
      </c>
      <c r="H1236" t="s">
        <v>17</v>
      </c>
      <c r="I1236" t="str">
        <f>"060687000625"</f>
        <v>060687000625</v>
      </c>
    </row>
    <row r="1237" spans="1:9" x14ac:dyDescent="0.25">
      <c r="A1237" t="s">
        <v>1126</v>
      </c>
      <c r="B1237" t="s">
        <v>13</v>
      </c>
      <c r="C1237">
        <v>10.6</v>
      </c>
      <c r="D1237">
        <v>11.8</v>
      </c>
      <c r="E1237" t="s">
        <v>17</v>
      </c>
      <c r="F1237">
        <v>16.420000000000002</v>
      </c>
      <c r="G1237">
        <v>14.32</v>
      </c>
      <c r="H1237" t="s">
        <v>17</v>
      </c>
      <c r="I1237" t="str">
        <f>"062450003664"</f>
        <v>062450003664</v>
      </c>
    </row>
    <row r="1238" spans="1:9" x14ac:dyDescent="0.25">
      <c r="A1238" t="s">
        <v>1127</v>
      </c>
      <c r="B1238" t="s">
        <v>13</v>
      </c>
      <c r="C1238">
        <v>4</v>
      </c>
      <c r="D1238">
        <v>4.46</v>
      </c>
      <c r="E1238" t="s">
        <v>17</v>
      </c>
      <c r="F1238">
        <v>13.75</v>
      </c>
      <c r="G1238">
        <v>13</v>
      </c>
      <c r="H1238" t="s">
        <v>17</v>
      </c>
      <c r="I1238" t="str">
        <f>"069100309215"</f>
        <v>069100309215</v>
      </c>
    </row>
    <row r="1239" spans="1:9" x14ac:dyDescent="0.25">
      <c r="A1239" t="s">
        <v>1128</v>
      </c>
      <c r="B1239" t="s">
        <v>13</v>
      </c>
      <c r="C1239">
        <v>2</v>
      </c>
      <c r="D1239">
        <v>2</v>
      </c>
      <c r="E1239" t="s">
        <v>17</v>
      </c>
      <c r="F1239">
        <v>20</v>
      </c>
      <c r="G1239">
        <v>16</v>
      </c>
      <c r="H1239" t="s">
        <v>17</v>
      </c>
      <c r="I1239" t="str">
        <f>"060687009340"</f>
        <v>060687009340</v>
      </c>
    </row>
    <row r="1240" spans="1:9" x14ac:dyDescent="0.25">
      <c r="A1240" t="s">
        <v>1129</v>
      </c>
      <c r="B1240" t="s">
        <v>13</v>
      </c>
      <c r="C1240" t="s">
        <v>14</v>
      </c>
      <c r="D1240" t="s">
        <v>14</v>
      </c>
      <c r="E1240" t="s">
        <v>17</v>
      </c>
      <c r="F1240" t="s">
        <v>14</v>
      </c>
      <c r="G1240" t="s">
        <v>14</v>
      </c>
      <c r="H1240" t="s">
        <v>17</v>
      </c>
      <c r="I1240" t="str">
        <f>"060962000973"</f>
        <v>060962000973</v>
      </c>
    </row>
    <row r="1241" spans="1:9" x14ac:dyDescent="0.25">
      <c r="A1241" t="s">
        <v>1130</v>
      </c>
      <c r="B1241" t="s">
        <v>13</v>
      </c>
      <c r="C1241">
        <v>18</v>
      </c>
      <c r="D1241">
        <v>21.4</v>
      </c>
      <c r="E1241" t="s">
        <v>17</v>
      </c>
      <c r="F1241">
        <v>26.89</v>
      </c>
      <c r="G1241">
        <v>25.75</v>
      </c>
      <c r="H1241" t="s">
        <v>17</v>
      </c>
      <c r="I1241" t="str">
        <f>"063384005227"</f>
        <v>063384005227</v>
      </c>
    </row>
    <row r="1242" spans="1:9" x14ac:dyDescent="0.25">
      <c r="A1242" t="s">
        <v>1131</v>
      </c>
      <c r="B1242" t="s">
        <v>13</v>
      </c>
      <c r="C1242" t="s">
        <v>17</v>
      </c>
      <c r="D1242" t="s">
        <v>14</v>
      </c>
      <c r="E1242" t="s">
        <v>14</v>
      </c>
      <c r="F1242" t="s">
        <v>17</v>
      </c>
      <c r="G1242" t="s">
        <v>14</v>
      </c>
      <c r="H1242" t="s">
        <v>14</v>
      </c>
      <c r="I1242" t="str">
        <f>"061182013019"</f>
        <v>061182013019</v>
      </c>
    </row>
    <row r="1243" spans="1:9" x14ac:dyDescent="0.25">
      <c r="A1243" t="s">
        <v>1132</v>
      </c>
      <c r="B1243" t="s">
        <v>13</v>
      </c>
      <c r="C1243" t="s">
        <v>17</v>
      </c>
      <c r="D1243" t="s">
        <v>17</v>
      </c>
      <c r="E1243" t="s">
        <v>17</v>
      </c>
      <c r="F1243" t="s">
        <v>17</v>
      </c>
      <c r="G1243" t="s">
        <v>17</v>
      </c>
      <c r="H1243" t="s">
        <v>17</v>
      </c>
      <c r="I1243" t="str">
        <f>"060690012355"</f>
        <v>060690012355</v>
      </c>
    </row>
    <row r="1244" spans="1:9" x14ac:dyDescent="0.25">
      <c r="A1244" t="s">
        <v>1133</v>
      </c>
      <c r="B1244" t="s">
        <v>13</v>
      </c>
      <c r="C1244">
        <v>114.5</v>
      </c>
      <c r="D1244">
        <v>92.5</v>
      </c>
      <c r="E1244" t="s">
        <v>17</v>
      </c>
      <c r="F1244">
        <v>25.61</v>
      </c>
      <c r="G1244">
        <v>23.36</v>
      </c>
      <c r="H1244" t="s">
        <v>17</v>
      </c>
      <c r="I1244" t="str">
        <f>"060690000634"</f>
        <v>060690000634</v>
      </c>
    </row>
    <row r="1245" spans="1:9" x14ac:dyDescent="0.25">
      <c r="A1245" t="s">
        <v>1134</v>
      </c>
      <c r="B1245" t="s">
        <v>13</v>
      </c>
      <c r="C1245">
        <v>46.1</v>
      </c>
      <c r="D1245">
        <v>41.45</v>
      </c>
      <c r="E1245" t="s">
        <v>17</v>
      </c>
      <c r="F1245">
        <v>22.3</v>
      </c>
      <c r="G1245">
        <v>24.27</v>
      </c>
      <c r="H1245" t="s">
        <v>17</v>
      </c>
      <c r="I1245" t="str">
        <f>"060003406983"</f>
        <v>060003406983</v>
      </c>
    </row>
    <row r="1246" spans="1:9" x14ac:dyDescent="0.25">
      <c r="A1246" t="s">
        <v>1135</v>
      </c>
      <c r="B1246" t="s">
        <v>13</v>
      </c>
      <c r="C1246">
        <v>2</v>
      </c>
      <c r="D1246">
        <v>4</v>
      </c>
      <c r="E1246" t="s">
        <v>17</v>
      </c>
      <c r="F1246">
        <v>5</v>
      </c>
      <c r="G1246">
        <v>3</v>
      </c>
      <c r="H1246" t="s">
        <v>17</v>
      </c>
      <c r="I1246" t="str">
        <f>"063682007256"</f>
        <v>063682007256</v>
      </c>
    </row>
    <row r="1247" spans="1:9" x14ac:dyDescent="0.25">
      <c r="A1247" t="s">
        <v>1136</v>
      </c>
      <c r="B1247" t="s">
        <v>13</v>
      </c>
      <c r="C1247">
        <v>1</v>
      </c>
      <c r="D1247" t="str">
        <f>"0.50"</f>
        <v>0.50</v>
      </c>
      <c r="E1247" t="s">
        <v>17</v>
      </c>
      <c r="F1247">
        <v>3</v>
      </c>
      <c r="G1247">
        <v>10</v>
      </c>
      <c r="H1247" t="s">
        <v>17</v>
      </c>
      <c r="I1247" t="str">
        <f>"060696000641"</f>
        <v>060696000641</v>
      </c>
    </row>
    <row r="1248" spans="1:9" x14ac:dyDescent="0.25">
      <c r="A1248" t="s">
        <v>1137</v>
      </c>
      <c r="B1248" t="s">
        <v>13</v>
      </c>
      <c r="C1248">
        <v>22.19</v>
      </c>
      <c r="D1248">
        <v>22.05</v>
      </c>
      <c r="E1248" t="s">
        <v>17</v>
      </c>
      <c r="F1248">
        <v>30.19</v>
      </c>
      <c r="G1248">
        <v>29.89</v>
      </c>
      <c r="H1248" t="s">
        <v>17</v>
      </c>
      <c r="I1248" t="str">
        <f>"062250009901"</f>
        <v>062250009901</v>
      </c>
    </row>
    <row r="1249" spans="1:9" x14ac:dyDescent="0.25">
      <c r="A1249" t="s">
        <v>1138</v>
      </c>
      <c r="B1249" t="s">
        <v>13</v>
      </c>
      <c r="C1249" t="s">
        <v>14</v>
      </c>
      <c r="D1249">
        <v>9.5</v>
      </c>
      <c r="E1249" t="s">
        <v>17</v>
      </c>
      <c r="F1249" t="s">
        <v>17</v>
      </c>
      <c r="G1249">
        <v>15.68</v>
      </c>
      <c r="H1249" t="s">
        <v>17</v>
      </c>
      <c r="I1249" t="str">
        <f>"060133211878"</f>
        <v>060133211878</v>
      </c>
    </row>
    <row r="1250" spans="1:9" x14ac:dyDescent="0.25">
      <c r="A1250" t="s">
        <v>1139</v>
      </c>
      <c r="B1250" t="s">
        <v>13</v>
      </c>
      <c r="C1250">
        <v>4</v>
      </c>
      <c r="D1250">
        <v>6.8</v>
      </c>
      <c r="E1250" t="s">
        <v>17</v>
      </c>
      <c r="F1250">
        <v>6.25</v>
      </c>
      <c r="G1250">
        <v>4.71</v>
      </c>
      <c r="H1250" t="s">
        <v>17</v>
      </c>
      <c r="I1250" t="str">
        <f>"064119001246"</f>
        <v>064119001246</v>
      </c>
    </row>
    <row r="1251" spans="1:9" x14ac:dyDescent="0.25">
      <c r="A1251" t="s">
        <v>1139</v>
      </c>
      <c r="B1251" t="s">
        <v>13</v>
      </c>
      <c r="C1251">
        <v>21</v>
      </c>
      <c r="D1251">
        <v>21</v>
      </c>
      <c r="E1251" t="s">
        <v>17</v>
      </c>
      <c r="F1251">
        <v>25.43</v>
      </c>
      <c r="G1251">
        <v>26.33</v>
      </c>
      <c r="H1251" t="s">
        <v>17</v>
      </c>
      <c r="I1251" t="str">
        <f>"060006105114"</f>
        <v>060006105114</v>
      </c>
    </row>
    <row r="1252" spans="1:9" x14ac:dyDescent="0.25">
      <c r="A1252" t="s">
        <v>1140</v>
      </c>
      <c r="B1252" t="s">
        <v>13</v>
      </c>
      <c r="C1252">
        <v>20.5</v>
      </c>
      <c r="D1252">
        <v>22.15</v>
      </c>
      <c r="E1252" t="s">
        <v>17</v>
      </c>
      <c r="F1252">
        <v>23.27</v>
      </c>
      <c r="G1252">
        <v>21.72</v>
      </c>
      <c r="H1252" t="s">
        <v>17</v>
      </c>
      <c r="I1252" t="str">
        <f>"062523012107"</f>
        <v>062523012107</v>
      </c>
    </row>
    <row r="1253" spans="1:9" x14ac:dyDescent="0.25">
      <c r="A1253" t="s">
        <v>1141</v>
      </c>
      <c r="B1253" t="s">
        <v>13</v>
      </c>
      <c r="C1253">
        <v>11.56</v>
      </c>
      <c r="D1253">
        <v>12.05</v>
      </c>
      <c r="E1253" t="s">
        <v>17</v>
      </c>
      <c r="F1253">
        <v>25.95</v>
      </c>
      <c r="G1253">
        <v>26.47</v>
      </c>
      <c r="H1253" t="s">
        <v>17</v>
      </c>
      <c r="I1253" t="str">
        <f>"062523002042"</f>
        <v>062523002042</v>
      </c>
    </row>
    <row r="1254" spans="1:9" x14ac:dyDescent="0.25">
      <c r="A1254" t="s">
        <v>1142</v>
      </c>
      <c r="B1254" t="s">
        <v>13</v>
      </c>
      <c r="C1254">
        <v>7.53</v>
      </c>
      <c r="D1254" t="s">
        <v>14</v>
      </c>
      <c r="E1254" t="s">
        <v>14</v>
      </c>
      <c r="F1254">
        <v>26.96</v>
      </c>
      <c r="G1254" t="s">
        <v>14</v>
      </c>
      <c r="H1254" t="s">
        <v>14</v>
      </c>
      <c r="I1254" t="str">
        <f>"063288013152"</f>
        <v>063288013152</v>
      </c>
    </row>
    <row r="1255" spans="1:9" x14ac:dyDescent="0.25">
      <c r="A1255" t="s">
        <v>1143</v>
      </c>
      <c r="B1255" t="s">
        <v>13</v>
      </c>
      <c r="C1255">
        <v>17</v>
      </c>
      <c r="D1255">
        <v>18</v>
      </c>
      <c r="E1255" t="s">
        <v>17</v>
      </c>
      <c r="F1255">
        <v>22.47</v>
      </c>
      <c r="G1255">
        <v>23.11</v>
      </c>
      <c r="H1255" t="s">
        <v>17</v>
      </c>
      <c r="I1255" t="str">
        <f>"061632502038"</f>
        <v>061632502038</v>
      </c>
    </row>
    <row r="1256" spans="1:9" x14ac:dyDescent="0.25">
      <c r="A1256" t="s">
        <v>1143</v>
      </c>
      <c r="B1256" t="s">
        <v>13</v>
      </c>
      <c r="C1256">
        <v>23</v>
      </c>
      <c r="D1256">
        <v>25</v>
      </c>
      <c r="E1256" t="s">
        <v>17</v>
      </c>
      <c r="F1256">
        <v>30.26</v>
      </c>
      <c r="G1256">
        <v>27.76</v>
      </c>
      <c r="H1256" t="s">
        <v>17</v>
      </c>
      <c r="I1256" t="str">
        <f>"062865004419"</f>
        <v>062865004419</v>
      </c>
    </row>
    <row r="1257" spans="1:9" x14ac:dyDescent="0.25">
      <c r="A1257" t="s">
        <v>1143</v>
      </c>
      <c r="B1257" t="s">
        <v>13</v>
      </c>
      <c r="C1257">
        <v>18.8</v>
      </c>
      <c r="D1257">
        <v>18</v>
      </c>
      <c r="E1257" t="s">
        <v>17</v>
      </c>
      <c r="F1257">
        <v>22.45</v>
      </c>
      <c r="G1257">
        <v>23.33</v>
      </c>
      <c r="H1257" t="s">
        <v>17</v>
      </c>
      <c r="I1257" t="str">
        <f>"062724004106"</f>
        <v>062724004106</v>
      </c>
    </row>
    <row r="1258" spans="1:9" x14ac:dyDescent="0.25">
      <c r="A1258" t="s">
        <v>1143</v>
      </c>
      <c r="B1258" t="s">
        <v>13</v>
      </c>
      <c r="C1258">
        <v>17.600000000000001</v>
      </c>
      <c r="D1258">
        <v>18</v>
      </c>
      <c r="E1258" t="s">
        <v>17</v>
      </c>
      <c r="F1258">
        <v>23.81</v>
      </c>
      <c r="G1258">
        <v>24.39</v>
      </c>
      <c r="H1258" t="s">
        <v>17</v>
      </c>
      <c r="I1258" t="str">
        <f>"064200006874"</f>
        <v>064200006874</v>
      </c>
    </row>
    <row r="1259" spans="1:9" x14ac:dyDescent="0.25">
      <c r="A1259" t="s">
        <v>1144</v>
      </c>
      <c r="B1259" t="s">
        <v>13</v>
      </c>
      <c r="C1259">
        <v>1.6</v>
      </c>
      <c r="D1259" t="s">
        <v>14</v>
      </c>
      <c r="E1259" t="s">
        <v>14</v>
      </c>
      <c r="F1259">
        <v>15</v>
      </c>
      <c r="G1259" t="s">
        <v>14</v>
      </c>
      <c r="H1259" t="s">
        <v>14</v>
      </c>
      <c r="I1259" t="str">
        <f>"069105212995"</f>
        <v>069105212995</v>
      </c>
    </row>
    <row r="1260" spans="1:9" x14ac:dyDescent="0.25">
      <c r="A1260" t="s">
        <v>1145</v>
      </c>
      <c r="B1260" t="s">
        <v>13</v>
      </c>
      <c r="C1260">
        <v>104.2</v>
      </c>
      <c r="D1260">
        <v>105.2</v>
      </c>
      <c r="E1260" t="s">
        <v>17</v>
      </c>
      <c r="F1260">
        <v>29.59</v>
      </c>
      <c r="G1260">
        <v>29.4</v>
      </c>
      <c r="H1260" t="s">
        <v>17</v>
      </c>
      <c r="I1260" t="str">
        <f>"064248006950"</f>
        <v>064248006950</v>
      </c>
    </row>
    <row r="1261" spans="1:9" x14ac:dyDescent="0.25">
      <c r="A1261" t="s">
        <v>1145</v>
      </c>
      <c r="B1261" t="s">
        <v>13</v>
      </c>
      <c r="C1261">
        <v>104.9</v>
      </c>
      <c r="D1261">
        <v>103.4</v>
      </c>
      <c r="E1261" t="s">
        <v>17</v>
      </c>
      <c r="F1261">
        <v>24.32</v>
      </c>
      <c r="G1261">
        <v>24.75</v>
      </c>
      <c r="H1261" t="s">
        <v>17</v>
      </c>
      <c r="I1261" t="str">
        <f>"063513005943"</f>
        <v>063513005943</v>
      </c>
    </row>
    <row r="1262" spans="1:9" x14ac:dyDescent="0.25">
      <c r="A1262" t="s">
        <v>1146</v>
      </c>
      <c r="B1262" t="s">
        <v>13</v>
      </c>
      <c r="C1262">
        <v>24.6</v>
      </c>
      <c r="D1262">
        <v>28.15</v>
      </c>
      <c r="E1262" t="s">
        <v>17</v>
      </c>
      <c r="F1262">
        <v>29.47</v>
      </c>
      <c r="G1262">
        <v>25.65</v>
      </c>
      <c r="H1262" t="s">
        <v>17</v>
      </c>
      <c r="I1262" t="str">
        <f>"063384005228"</f>
        <v>063384005228</v>
      </c>
    </row>
    <row r="1263" spans="1:9" x14ac:dyDescent="0.25">
      <c r="A1263" t="s">
        <v>1147</v>
      </c>
      <c r="B1263" t="s">
        <v>13</v>
      </c>
      <c r="C1263">
        <v>30.07</v>
      </c>
      <c r="D1263">
        <v>32.67</v>
      </c>
      <c r="E1263" t="s">
        <v>17</v>
      </c>
      <c r="F1263">
        <v>28.7</v>
      </c>
      <c r="G1263">
        <v>24.85</v>
      </c>
      <c r="H1263" t="s">
        <v>17</v>
      </c>
      <c r="I1263" t="str">
        <f>"063021011184"</f>
        <v>063021011184</v>
      </c>
    </row>
    <row r="1264" spans="1:9" x14ac:dyDescent="0.25">
      <c r="A1264" t="s">
        <v>1148</v>
      </c>
      <c r="B1264" t="s">
        <v>13</v>
      </c>
      <c r="C1264">
        <v>13</v>
      </c>
      <c r="D1264">
        <v>13.6</v>
      </c>
      <c r="E1264" t="s">
        <v>17</v>
      </c>
      <c r="F1264">
        <v>23.08</v>
      </c>
      <c r="G1264">
        <v>18.09</v>
      </c>
      <c r="H1264" t="s">
        <v>17</v>
      </c>
      <c r="I1264" t="str">
        <f>"063384011732"</f>
        <v>063384011732</v>
      </c>
    </row>
    <row r="1265" spans="1:9" x14ac:dyDescent="0.25">
      <c r="A1265" t="s">
        <v>1149</v>
      </c>
      <c r="B1265" t="s">
        <v>13</v>
      </c>
      <c r="C1265">
        <v>15</v>
      </c>
      <c r="D1265">
        <v>16</v>
      </c>
      <c r="E1265" t="s">
        <v>17</v>
      </c>
      <c r="F1265">
        <v>19.399999999999999</v>
      </c>
      <c r="G1265">
        <v>19</v>
      </c>
      <c r="H1265" t="s">
        <v>17</v>
      </c>
      <c r="I1265" t="str">
        <f>"061233011727"</f>
        <v>061233011727</v>
      </c>
    </row>
    <row r="1266" spans="1:9" x14ac:dyDescent="0.25">
      <c r="A1266" t="s">
        <v>1150</v>
      </c>
      <c r="B1266" t="s">
        <v>13</v>
      </c>
      <c r="C1266">
        <v>50.5</v>
      </c>
      <c r="D1266">
        <v>45</v>
      </c>
      <c r="E1266" t="s">
        <v>17</v>
      </c>
      <c r="F1266">
        <v>20.79</v>
      </c>
      <c r="G1266">
        <v>19.96</v>
      </c>
      <c r="H1266" t="s">
        <v>17</v>
      </c>
      <c r="I1266" t="str">
        <f>"063462011733"</f>
        <v>063462011733</v>
      </c>
    </row>
    <row r="1267" spans="1:9" x14ac:dyDescent="0.25">
      <c r="A1267" t="s">
        <v>1151</v>
      </c>
      <c r="B1267" t="s">
        <v>13</v>
      </c>
      <c r="C1267">
        <v>19.600000000000001</v>
      </c>
      <c r="D1267">
        <v>20.2</v>
      </c>
      <c r="E1267" t="s">
        <v>17</v>
      </c>
      <c r="F1267">
        <v>18.670000000000002</v>
      </c>
      <c r="G1267">
        <v>17.87</v>
      </c>
      <c r="H1267" t="s">
        <v>17</v>
      </c>
      <c r="I1267" t="str">
        <f>"060627011580"</f>
        <v>060627011580</v>
      </c>
    </row>
    <row r="1268" spans="1:9" x14ac:dyDescent="0.25">
      <c r="A1268" t="s">
        <v>1152</v>
      </c>
      <c r="B1268" t="s">
        <v>13</v>
      </c>
      <c r="C1268">
        <v>3.74</v>
      </c>
      <c r="D1268">
        <v>4.6100000000000003</v>
      </c>
      <c r="E1268" t="s">
        <v>17</v>
      </c>
      <c r="F1268">
        <v>33.96</v>
      </c>
      <c r="G1268">
        <v>24.95</v>
      </c>
      <c r="H1268" t="s">
        <v>17</v>
      </c>
      <c r="I1268" t="str">
        <f>"060004712453"</f>
        <v>060004712453</v>
      </c>
    </row>
    <row r="1269" spans="1:9" x14ac:dyDescent="0.25">
      <c r="A1269" t="s">
        <v>1153</v>
      </c>
      <c r="B1269" t="s">
        <v>13</v>
      </c>
      <c r="C1269">
        <v>1.07</v>
      </c>
      <c r="D1269">
        <v>2.67</v>
      </c>
      <c r="E1269" t="s">
        <v>17</v>
      </c>
      <c r="F1269">
        <v>31.78</v>
      </c>
      <c r="G1269">
        <v>22.47</v>
      </c>
      <c r="H1269" t="s">
        <v>17</v>
      </c>
      <c r="I1269" t="str">
        <f>"060969012489"</f>
        <v>060969012489</v>
      </c>
    </row>
    <row r="1270" spans="1:9" x14ac:dyDescent="0.25">
      <c r="A1270" t="s">
        <v>1154</v>
      </c>
      <c r="B1270" t="s">
        <v>13</v>
      </c>
      <c r="C1270">
        <v>8.84</v>
      </c>
      <c r="D1270">
        <v>11.51</v>
      </c>
      <c r="E1270" t="s">
        <v>14</v>
      </c>
      <c r="F1270">
        <v>32.24</v>
      </c>
      <c r="G1270">
        <v>27.54</v>
      </c>
      <c r="H1270" t="s">
        <v>14</v>
      </c>
      <c r="I1270" t="str">
        <f>"063633012850"</f>
        <v>063633012850</v>
      </c>
    </row>
    <row r="1271" spans="1:9" x14ac:dyDescent="0.25">
      <c r="A1271" t="s">
        <v>1155</v>
      </c>
      <c r="B1271" t="s">
        <v>13</v>
      </c>
      <c r="C1271">
        <v>6.29</v>
      </c>
      <c r="D1271">
        <v>8.64</v>
      </c>
      <c r="E1271" t="s">
        <v>17</v>
      </c>
      <c r="F1271">
        <v>33.86</v>
      </c>
      <c r="G1271">
        <v>27.78</v>
      </c>
      <c r="H1271" t="s">
        <v>17</v>
      </c>
      <c r="I1271" t="str">
        <f>"062610012418"</f>
        <v>062610012418</v>
      </c>
    </row>
    <row r="1272" spans="1:9" x14ac:dyDescent="0.25">
      <c r="A1272" t="s">
        <v>1156</v>
      </c>
      <c r="B1272" t="s">
        <v>13</v>
      </c>
      <c r="C1272" t="s">
        <v>14</v>
      </c>
      <c r="D1272">
        <v>2.89</v>
      </c>
      <c r="E1272" t="s">
        <v>17</v>
      </c>
      <c r="F1272" t="s">
        <v>17</v>
      </c>
      <c r="G1272">
        <v>22.15</v>
      </c>
      <c r="H1272" t="s">
        <v>17</v>
      </c>
      <c r="I1272" t="str">
        <f>"060420012480"</f>
        <v>060420012480</v>
      </c>
    </row>
    <row r="1273" spans="1:9" x14ac:dyDescent="0.25">
      <c r="A1273" t="s">
        <v>1157</v>
      </c>
      <c r="B1273" t="s">
        <v>13</v>
      </c>
      <c r="C1273">
        <v>4.95</v>
      </c>
      <c r="D1273" t="s">
        <v>14</v>
      </c>
      <c r="E1273" t="s">
        <v>14</v>
      </c>
      <c r="F1273">
        <v>19.8</v>
      </c>
      <c r="G1273" t="s">
        <v>14</v>
      </c>
      <c r="H1273" t="s">
        <v>14</v>
      </c>
      <c r="I1273" t="str">
        <f>"060744012894"</f>
        <v>060744012894</v>
      </c>
    </row>
    <row r="1274" spans="1:9" x14ac:dyDescent="0.25">
      <c r="A1274" t="s">
        <v>1158</v>
      </c>
      <c r="B1274" t="s">
        <v>13</v>
      </c>
      <c r="C1274" t="s">
        <v>17</v>
      </c>
      <c r="D1274" t="s">
        <v>17</v>
      </c>
      <c r="E1274" t="s">
        <v>17</v>
      </c>
      <c r="F1274" t="s">
        <v>17</v>
      </c>
      <c r="G1274" t="s">
        <v>17</v>
      </c>
      <c r="H1274" t="s">
        <v>17</v>
      </c>
      <c r="I1274" t="str">
        <f>"060000210346"</f>
        <v>060000210346</v>
      </c>
    </row>
    <row r="1275" spans="1:9" x14ac:dyDescent="0.25">
      <c r="A1275" t="s">
        <v>1159</v>
      </c>
      <c r="B1275" t="s">
        <v>13</v>
      </c>
      <c r="C1275">
        <v>78.91</v>
      </c>
      <c r="D1275">
        <v>82.5</v>
      </c>
      <c r="E1275" t="s">
        <v>17</v>
      </c>
      <c r="F1275">
        <v>5.16</v>
      </c>
      <c r="G1275">
        <v>5.09</v>
      </c>
      <c r="H1275" t="s">
        <v>17</v>
      </c>
      <c r="I1275" t="str">
        <f>"060000310347"</f>
        <v>060000310347</v>
      </c>
    </row>
    <row r="1276" spans="1:9" x14ac:dyDescent="0.25">
      <c r="A1276" t="s">
        <v>1160</v>
      </c>
      <c r="B1276" t="s">
        <v>13</v>
      </c>
      <c r="C1276">
        <v>70.709999999999994</v>
      </c>
      <c r="D1276">
        <v>76.33</v>
      </c>
      <c r="E1276" t="s">
        <v>17</v>
      </c>
      <c r="F1276">
        <v>5.44</v>
      </c>
      <c r="G1276">
        <v>5.04</v>
      </c>
      <c r="H1276" t="s">
        <v>17</v>
      </c>
      <c r="I1276" t="str">
        <f>"060000710348"</f>
        <v>060000710348</v>
      </c>
    </row>
    <row r="1277" spans="1:9" x14ac:dyDescent="0.25">
      <c r="A1277" t="s">
        <v>1161</v>
      </c>
      <c r="B1277" t="s">
        <v>13</v>
      </c>
      <c r="C1277">
        <v>21.07</v>
      </c>
      <c r="D1277" t="s">
        <v>14</v>
      </c>
      <c r="E1277" t="s">
        <v>14</v>
      </c>
      <c r="F1277">
        <v>30.23</v>
      </c>
      <c r="G1277" t="s">
        <v>14</v>
      </c>
      <c r="H1277" t="s">
        <v>14</v>
      </c>
      <c r="I1277" t="str">
        <f>"062853013125"</f>
        <v>062853013125</v>
      </c>
    </row>
    <row r="1278" spans="1:9" x14ac:dyDescent="0.25">
      <c r="A1278" t="s">
        <v>1162</v>
      </c>
      <c r="B1278" t="s">
        <v>13</v>
      </c>
      <c r="C1278">
        <v>6.23</v>
      </c>
      <c r="D1278">
        <v>29.91</v>
      </c>
      <c r="E1278" t="s">
        <v>17</v>
      </c>
      <c r="F1278">
        <v>26.97</v>
      </c>
      <c r="G1278">
        <v>9.83</v>
      </c>
      <c r="H1278" t="s">
        <v>17</v>
      </c>
      <c r="I1278" t="str">
        <f>"061869010705"</f>
        <v>061869010705</v>
      </c>
    </row>
    <row r="1279" spans="1:9" x14ac:dyDescent="0.25">
      <c r="A1279" t="s">
        <v>1163</v>
      </c>
      <c r="B1279" t="s">
        <v>13</v>
      </c>
      <c r="C1279" t="s">
        <v>14</v>
      </c>
      <c r="D1279">
        <v>23.78</v>
      </c>
      <c r="E1279" t="s">
        <v>17</v>
      </c>
      <c r="F1279" t="s">
        <v>17</v>
      </c>
      <c r="G1279">
        <v>25.23</v>
      </c>
      <c r="H1279" t="s">
        <v>17</v>
      </c>
      <c r="I1279" t="str">
        <f>"062382010505"</f>
        <v>062382010505</v>
      </c>
    </row>
    <row r="1280" spans="1:9" x14ac:dyDescent="0.25">
      <c r="A1280" t="s">
        <v>1164</v>
      </c>
      <c r="B1280" t="s">
        <v>13</v>
      </c>
      <c r="C1280">
        <v>16.25</v>
      </c>
      <c r="D1280">
        <v>27.98</v>
      </c>
      <c r="E1280" t="s">
        <v>17</v>
      </c>
      <c r="F1280">
        <v>36</v>
      </c>
      <c r="G1280">
        <v>31.17</v>
      </c>
      <c r="H1280" t="s">
        <v>17</v>
      </c>
      <c r="I1280" t="str">
        <f>"060318011996"</f>
        <v>060318011996</v>
      </c>
    </row>
    <row r="1281" spans="1:9" x14ac:dyDescent="0.25">
      <c r="A1281" t="s">
        <v>1165</v>
      </c>
      <c r="B1281" t="s">
        <v>13</v>
      </c>
      <c r="C1281">
        <v>144.69999999999999</v>
      </c>
      <c r="D1281">
        <v>150.01</v>
      </c>
      <c r="E1281" t="s">
        <v>17</v>
      </c>
      <c r="F1281">
        <v>26.77</v>
      </c>
      <c r="G1281">
        <v>32.64</v>
      </c>
      <c r="H1281" t="s">
        <v>17</v>
      </c>
      <c r="I1281" t="str">
        <f>"064200012034"</f>
        <v>064200012034</v>
      </c>
    </row>
    <row r="1282" spans="1:9" x14ac:dyDescent="0.25">
      <c r="A1282" t="s">
        <v>1166</v>
      </c>
      <c r="B1282" t="s">
        <v>13</v>
      </c>
      <c r="C1282">
        <v>3.85</v>
      </c>
      <c r="D1282">
        <v>6.05</v>
      </c>
      <c r="E1282" t="s">
        <v>14</v>
      </c>
      <c r="F1282">
        <v>38.700000000000003</v>
      </c>
      <c r="G1282">
        <v>2.81</v>
      </c>
      <c r="H1282" t="s">
        <v>14</v>
      </c>
      <c r="I1282" t="str">
        <f>"064200013027"</f>
        <v>064200013027</v>
      </c>
    </row>
    <row r="1283" spans="1:9" x14ac:dyDescent="0.25">
      <c r="A1283" t="s">
        <v>1167</v>
      </c>
      <c r="B1283" t="s">
        <v>13</v>
      </c>
      <c r="C1283">
        <v>45.48</v>
      </c>
      <c r="D1283" t="s">
        <v>14</v>
      </c>
      <c r="E1283" t="s">
        <v>14</v>
      </c>
      <c r="F1283">
        <v>31.51</v>
      </c>
      <c r="G1283" t="s">
        <v>14</v>
      </c>
      <c r="H1283" t="s">
        <v>14</v>
      </c>
      <c r="I1283" t="str">
        <f>"062382013132"</f>
        <v>062382013132</v>
      </c>
    </row>
    <row r="1284" spans="1:9" x14ac:dyDescent="0.25">
      <c r="A1284" t="s">
        <v>1168</v>
      </c>
      <c r="B1284" t="s">
        <v>13</v>
      </c>
      <c r="C1284">
        <v>88.53</v>
      </c>
      <c r="D1284">
        <v>81.099999999999994</v>
      </c>
      <c r="E1284" t="s">
        <v>17</v>
      </c>
      <c r="F1284">
        <v>34.78</v>
      </c>
      <c r="G1284">
        <v>34.450000000000003</v>
      </c>
      <c r="H1284" t="s">
        <v>17</v>
      </c>
      <c r="I1284" t="str">
        <f>"063768010641"</f>
        <v>063768010641</v>
      </c>
    </row>
    <row r="1285" spans="1:9" x14ac:dyDescent="0.25">
      <c r="A1285" t="s">
        <v>1169</v>
      </c>
      <c r="B1285" t="s">
        <v>13</v>
      </c>
      <c r="C1285" t="s">
        <v>14</v>
      </c>
      <c r="D1285">
        <v>19.02</v>
      </c>
      <c r="E1285" t="s">
        <v>17</v>
      </c>
      <c r="F1285" t="s">
        <v>17</v>
      </c>
      <c r="G1285">
        <v>29.39</v>
      </c>
      <c r="H1285" t="s">
        <v>17</v>
      </c>
      <c r="I1285" t="str">
        <f>"063801011966"</f>
        <v>063801011966</v>
      </c>
    </row>
    <row r="1286" spans="1:9" x14ac:dyDescent="0.25">
      <c r="A1286" t="s">
        <v>1169</v>
      </c>
      <c r="B1286" t="s">
        <v>13</v>
      </c>
      <c r="C1286">
        <v>43.39</v>
      </c>
      <c r="D1286" t="s">
        <v>14</v>
      </c>
      <c r="E1286" t="s">
        <v>14</v>
      </c>
      <c r="F1286">
        <v>34.85</v>
      </c>
      <c r="G1286" t="s">
        <v>14</v>
      </c>
      <c r="H1286" t="s">
        <v>14</v>
      </c>
      <c r="I1286" t="str">
        <f>"062703013191"</f>
        <v>062703013191</v>
      </c>
    </row>
    <row r="1287" spans="1:9" x14ac:dyDescent="0.25">
      <c r="A1287" t="s">
        <v>1170</v>
      </c>
      <c r="B1287" t="s">
        <v>13</v>
      </c>
      <c r="C1287">
        <v>25.76</v>
      </c>
      <c r="D1287">
        <v>40.090000000000003</v>
      </c>
      <c r="E1287" t="s">
        <v>17</v>
      </c>
      <c r="F1287">
        <v>30.75</v>
      </c>
      <c r="G1287">
        <v>31.08</v>
      </c>
      <c r="H1287" t="s">
        <v>17</v>
      </c>
      <c r="I1287" t="str">
        <f>"061887011787"</f>
        <v>061887011787</v>
      </c>
    </row>
    <row r="1288" spans="1:9" x14ac:dyDescent="0.25">
      <c r="A1288" t="s">
        <v>1171</v>
      </c>
      <c r="B1288" t="s">
        <v>13</v>
      </c>
      <c r="C1288">
        <v>25.62</v>
      </c>
      <c r="D1288">
        <v>36.26</v>
      </c>
      <c r="E1288" t="s">
        <v>17</v>
      </c>
      <c r="F1288">
        <v>33.68</v>
      </c>
      <c r="G1288">
        <v>31.96</v>
      </c>
      <c r="H1288" t="s">
        <v>17</v>
      </c>
      <c r="I1288" t="str">
        <f>"062154011478"</f>
        <v>062154011478</v>
      </c>
    </row>
    <row r="1289" spans="1:9" x14ac:dyDescent="0.25">
      <c r="A1289" t="s">
        <v>1172</v>
      </c>
      <c r="B1289" t="s">
        <v>13</v>
      </c>
      <c r="C1289">
        <v>23.51</v>
      </c>
      <c r="D1289">
        <v>23.69</v>
      </c>
      <c r="E1289" t="s">
        <v>17</v>
      </c>
      <c r="F1289">
        <v>31.26</v>
      </c>
      <c r="G1289">
        <v>29</v>
      </c>
      <c r="H1289" t="s">
        <v>17</v>
      </c>
      <c r="I1289" t="str">
        <f>"062775011817"</f>
        <v>062775011817</v>
      </c>
    </row>
    <row r="1290" spans="1:9" x14ac:dyDescent="0.25">
      <c r="A1290" t="s">
        <v>1173</v>
      </c>
      <c r="B1290" t="s">
        <v>13</v>
      </c>
      <c r="C1290">
        <v>20.11</v>
      </c>
      <c r="D1290" t="s">
        <v>14</v>
      </c>
      <c r="E1290" t="s">
        <v>14</v>
      </c>
      <c r="F1290">
        <v>30.63</v>
      </c>
      <c r="G1290" t="s">
        <v>14</v>
      </c>
      <c r="H1290" t="s">
        <v>14</v>
      </c>
      <c r="I1290" t="str">
        <f>"062382013167"</f>
        <v>062382013167</v>
      </c>
    </row>
    <row r="1291" spans="1:9" x14ac:dyDescent="0.25">
      <c r="A1291" t="s">
        <v>1174</v>
      </c>
      <c r="B1291" t="s">
        <v>13</v>
      </c>
      <c r="C1291">
        <v>20</v>
      </c>
      <c r="D1291">
        <v>26</v>
      </c>
      <c r="E1291" t="s">
        <v>17</v>
      </c>
      <c r="F1291">
        <v>25.75</v>
      </c>
      <c r="G1291">
        <v>22.62</v>
      </c>
      <c r="H1291" t="s">
        <v>17</v>
      </c>
      <c r="I1291" t="str">
        <f>"064356007042"</f>
        <v>064356007042</v>
      </c>
    </row>
    <row r="1292" spans="1:9" x14ac:dyDescent="0.25">
      <c r="A1292" t="s">
        <v>1175</v>
      </c>
      <c r="B1292" t="s">
        <v>13</v>
      </c>
      <c r="C1292">
        <v>19.2</v>
      </c>
      <c r="D1292">
        <v>19.600000000000001</v>
      </c>
      <c r="E1292" t="s">
        <v>17</v>
      </c>
      <c r="F1292">
        <v>18.02</v>
      </c>
      <c r="G1292">
        <v>17.190000000000001</v>
      </c>
      <c r="H1292" t="s">
        <v>17</v>
      </c>
      <c r="I1292" t="str">
        <f>"060699000643"</f>
        <v>060699000643</v>
      </c>
    </row>
    <row r="1293" spans="1:9" x14ac:dyDescent="0.25">
      <c r="A1293" t="s">
        <v>1176</v>
      </c>
      <c r="B1293" t="s">
        <v>13</v>
      </c>
      <c r="C1293">
        <v>22</v>
      </c>
      <c r="D1293">
        <v>20</v>
      </c>
      <c r="E1293" t="s">
        <v>17</v>
      </c>
      <c r="F1293">
        <v>20.32</v>
      </c>
      <c r="G1293">
        <v>22.55</v>
      </c>
      <c r="H1293" t="s">
        <v>17</v>
      </c>
      <c r="I1293" t="str">
        <f>"060702000646"</f>
        <v>060702000646</v>
      </c>
    </row>
    <row r="1294" spans="1:9" x14ac:dyDescent="0.25">
      <c r="A1294" t="s">
        <v>1177</v>
      </c>
      <c r="B1294" t="s">
        <v>13</v>
      </c>
      <c r="C1294">
        <v>21.86</v>
      </c>
      <c r="D1294">
        <v>20.5</v>
      </c>
      <c r="E1294" t="s">
        <v>17</v>
      </c>
      <c r="F1294">
        <v>16.059999999999999</v>
      </c>
      <c r="G1294">
        <v>17.899999999999999</v>
      </c>
      <c r="H1294" t="s">
        <v>17</v>
      </c>
      <c r="I1294" t="str">
        <f>"060702000647"</f>
        <v>060702000647</v>
      </c>
    </row>
    <row r="1295" spans="1:9" x14ac:dyDescent="0.25">
      <c r="A1295" t="s">
        <v>1178</v>
      </c>
      <c r="B1295" t="s">
        <v>13</v>
      </c>
      <c r="C1295">
        <v>11.5</v>
      </c>
      <c r="D1295">
        <v>11.93</v>
      </c>
      <c r="E1295" t="s">
        <v>17</v>
      </c>
      <c r="F1295">
        <v>20.170000000000002</v>
      </c>
      <c r="G1295">
        <v>18.27</v>
      </c>
      <c r="H1295" t="s">
        <v>17</v>
      </c>
      <c r="I1295" t="str">
        <f>"062361007775"</f>
        <v>062361007775</v>
      </c>
    </row>
    <row r="1296" spans="1:9" x14ac:dyDescent="0.25">
      <c r="A1296" t="s">
        <v>1179</v>
      </c>
      <c r="B1296" t="s">
        <v>13</v>
      </c>
      <c r="C1296">
        <v>30.17</v>
      </c>
      <c r="D1296">
        <v>30.02</v>
      </c>
      <c r="E1296" t="s">
        <v>17</v>
      </c>
      <c r="F1296">
        <v>26.15</v>
      </c>
      <c r="G1296">
        <v>27.18</v>
      </c>
      <c r="H1296" t="s">
        <v>17</v>
      </c>
      <c r="I1296" t="str">
        <f>"063942006553"</f>
        <v>063942006553</v>
      </c>
    </row>
    <row r="1297" spans="1:9" x14ac:dyDescent="0.25">
      <c r="A1297" t="s">
        <v>1180</v>
      </c>
      <c r="B1297" t="s">
        <v>13</v>
      </c>
      <c r="C1297">
        <v>24</v>
      </c>
      <c r="D1297">
        <v>24</v>
      </c>
      <c r="E1297" t="s">
        <v>17</v>
      </c>
      <c r="F1297">
        <v>27.04</v>
      </c>
      <c r="G1297">
        <v>26.92</v>
      </c>
      <c r="H1297" t="s">
        <v>17</v>
      </c>
      <c r="I1297" t="str">
        <f>"062454000997"</f>
        <v>062454000997</v>
      </c>
    </row>
    <row r="1298" spans="1:9" x14ac:dyDescent="0.25">
      <c r="A1298" t="s">
        <v>1181</v>
      </c>
      <c r="B1298" t="s">
        <v>13</v>
      </c>
      <c r="C1298">
        <v>23.1</v>
      </c>
      <c r="D1298">
        <v>19</v>
      </c>
      <c r="E1298" t="s">
        <v>17</v>
      </c>
      <c r="F1298">
        <v>19.09</v>
      </c>
      <c r="G1298">
        <v>24.16</v>
      </c>
      <c r="H1298" t="s">
        <v>17</v>
      </c>
      <c r="I1298" t="str">
        <f>"064030006655"</f>
        <v>064030006655</v>
      </c>
    </row>
    <row r="1299" spans="1:9" x14ac:dyDescent="0.25">
      <c r="A1299" t="s">
        <v>1182</v>
      </c>
      <c r="B1299" t="s">
        <v>13</v>
      </c>
      <c r="C1299">
        <v>17</v>
      </c>
      <c r="D1299">
        <v>18.510000000000002</v>
      </c>
      <c r="E1299" t="s">
        <v>17</v>
      </c>
      <c r="F1299">
        <v>21</v>
      </c>
      <c r="G1299">
        <v>22.47</v>
      </c>
      <c r="H1299" t="s">
        <v>17</v>
      </c>
      <c r="I1299" t="str">
        <f>"062271002886"</f>
        <v>062271002886</v>
      </c>
    </row>
    <row r="1300" spans="1:9" x14ac:dyDescent="0.25">
      <c r="A1300" t="s">
        <v>1183</v>
      </c>
      <c r="B1300" t="s">
        <v>13</v>
      </c>
      <c r="C1300">
        <v>11.6</v>
      </c>
      <c r="D1300">
        <v>10.6</v>
      </c>
      <c r="E1300" t="s">
        <v>17</v>
      </c>
      <c r="F1300">
        <v>20.95</v>
      </c>
      <c r="G1300">
        <v>23.77</v>
      </c>
      <c r="H1300" t="s">
        <v>17</v>
      </c>
      <c r="I1300" t="str">
        <f>"061233007701"</f>
        <v>061233007701</v>
      </c>
    </row>
    <row r="1301" spans="1:9" x14ac:dyDescent="0.25">
      <c r="A1301" t="s">
        <v>1184</v>
      </c>
      <c r="B1301" t="s">
        <v>13</v>
      </c>
      <c r="C1301">
        <v>34</v>
      </c>
      <c r="D1301">
        <v>32</v>
      </c>
      <c r="E1301" t="s">
        <v>17</v>
      </c>
      <c r="F1301">
        <v>19.38</v>
      </c>
      <c r="G1301">
        <v>21.44</v>
      </c>
      <c r="H1301" t="s">
        <v>17</v>
      </c>
      <c r="I1301" t="str">
        <f>"061455001713"</f>
        <v>061455001713</v>
      </c>
    </row>
    <row r="1302" spans="1:9" x14ac:dyDescent="0.25">
      <c r="A1302" t="s">
        <v>1185</v>
      </c>
      <c r="B1302" t="s">
        <v>13</v>
      </c>
      <c r="C1302" t="s">
        <v>17</v>
      </c>
      <c r="D1302" t="s">
        <v>14</v>
      </c>
      <c r="E1302" t="s">
        <v>14</v>
      </c>
      <c r="F1302" t="s">
        <v>17</v>
      </c>
      <c r="G1302" t="s">
        <v>14</v>
      </c>
      <c r="H1302" t="s">
        <v>14</v>
      </c>
      <c r="I1302" t="str">
        <f>"060861013096"</f>
        <v>060861013096</v>
      </c>
    </row>
    <row r="1303" spans="1:9" x14ac:dyDescent="0.25">
      <c r="A1303" t="s">
        <v>1186</v>
      </c>
      <c r="B1303" t="s">
        <v>13</v>
      </c>
      <c r="C1303">
        <v>23</v>
      </c>
      <c r="D1303">
        <v>22.4</v>
      </c>
      <c r="E1303" t="s">
        <v>17</v>
      </c>
      <c r="F1303">
        <v>24.52</v>
      </c>
      <c r="G1303">
        <v>25.67</v>
      </c>
      <c r="H1303" t="s">
        <v>17</v>
      </c>
      <c r="I1303" t="str">
        <f>"062927011873"</f>
        <v>062927011873</v>
      </c>
    </row>
    <row r="1304" spans="1:9" x14ac:dyDescent="0.25">
      <c r="A1304" t="s">
        <v>1187</v>
      </c>
      <c r="B1304" t="s">
        <v>13</v>
      </c>
      <c r="C1304">
        <v>16.850000000000001</v>
      </c>
      <c r="D1304">
        <v>17.14</v>
      </c>
      <c r="E1304" t="s">
        <v>17</v>
      </c>
      <c r="F1304">
        <v>21.54</v>
      </c>
      <c r="G1304">
        <v>21.35</v>
      </c>
      <c r="H1304" t="s">
        <v>17</v>
      </c>
      <c r="I1304" t="str">
        <f>"063099004796"</f>
        <v>063099004796</v>
      </c>
    </row>
    <row r="1305" spans="1:9" x14ac:dyDescent="0.25">
      <c r="A1305" t="s">
        <v>1188</v>
      </c>
      <c r="B1305" t="s">
        <v>13</v>
      </c>
      <c r="C1305">
        <v>1</v>
      </c>
      <c r="D1305">
        <v>1</v>
      </c>
      <c r="E1305" t="s">
        <v>17</v>
      </c>
      <c r="F1305">
        <v>1</v>
      </c>
      <c r="G1305">
        <v>11</v>
      </c>
      <c r="H1305" t="s">
        <v>17</v>
      </c>
      <c r="I1305" t="str">
        <f>"060004908623"</f>
        <v>060004908623</v>
      </c>
    </row>
    <row r="1306" spans="1:9" x14ac:dyDescent="0.25">
      <c r="A1306" t="s">
        <v>1189</v>
      </c>
      <c r="B1306" t="s">
        <v>13</v>
      </c>
      <c r="C1306">
        <v>17.7</v>
      </c>
      <c r="D1306">
        <v>17.899999999999999</v>
      </c>
      <c r="E1306" t="s">
        <v>17</v>
      </c>
      <c r="F1306">
        <v>18.93</v>
      </c>
      <c r="G1306">
        <v>18.440000000000001</v>
      </c>
      <c r="H1306" t="s">
        <v>17</v>
      </c>
      <c r="I1306" t="str">
        <f>"060004907415"</f>
        <v>060004907415</v>
      </c>
    </row>
    <row r="1307" spans="1:9" x14ac:dyDescent="0.25">
      <c r="A1307" t="s">
        <v>1190</v>
      </c>
      <c r="B1307" t="s">
        <v>13</v>
      </c>
      <c r="C1307">
        <v>17</v>
      </c>
      <c r="D1307">
        <v>16.41</v>
      </c>
      <c r="E1307" t="s">
        <v>17</v>
      </c>
      <c r="F1307">
        <v>26.18</v>
      </c>
      <c r="G1307">
        <v>27.18</v>
      </c>
      <c r="H1307" t="s">
        <v>17</v>
      </c>
      <c r="I1307" t="str">
        <f>"061455001986"</f>
        <v>061455001986</v>
      </c>
    </row>
    <row r="1308" spans="1:9" x14ac:dyDescent="0.25">
      <c r="A1308" t="s">
        <v>1191</v>
      </c>
      <c r="B1308" t="s">
        <v>13</v>
      </c>
      <c r="C1308">
        <v>19.5</v>
      </c>
      <c r="D1308">
        <v>20</v>
      </c>
      <c r="E1308" t="s">
        <v>17</v>
      </c>
      <c r="F1308">
        <v>27.79</v>
      </c>
      <c r="G1308">
        <v>27.85</v>
      </c>
      <c r="H1308" t="s">
        <v>17</v>
      </c>
      <c r="I1308" t="str">
        <f>"062865004420"</f>
        <v>062865004420</v>
      </c>
    </row>
    <row r="1309" spans="1:9" x14ac:dyDescent="0.25">
      <c r="A1309" t="s">
        <v>1191</v>
      </c>
      <c r="B1309" t="s">
        <v>13</v>
      </c>
      <c r="C1309">
        <v>40.700000000000003</v>
      </c>
      <c r="D1309">
        <v>39.97</v>
      </c>
      <c r="E1309" t="s">
        <v>17</v>
      </c>
      <c r="F1309">
        <v>16.98</v>
      </c>
      <c r="G1309">
        <v>17.14</v>
      </c>
      <c r="H1309" t="s">
        <v>17</v>
      </c>
      <c r="I1309" t="str">
        <f>"062637002932"</f>
        <v>062637002932</v>
      </c>
    </row>
    <row r="1310" spans="1:9" x14ac:dyDescent="0.25">
      <c r="A1310" t="s">
        <v>1191</v>
      </c>
      <c r="B1310" t="s">
        <v>13</v>
      </c>
      <c r="C1310">
        <v>23.5</v>
      </c>
      <c r="D1310">
        <v>23.2</v>
      </c>
      <c r="E1310" t="s">
        <v>17</v>
      </c>
      <c r="F1310">
        <v>25.74</v>
      </c>
      <c r="G1310">
        <v>25.39</v>
      </c>
      <c r="H1310" t="s">
        <v>17</v>
      </c>
      <c r="I1310" t="str">
        <f>"063963008998"</f>
        <v>063963008998</v>
      </c>
    </row>
    <row r="1311" spans="1:9" x14ac:dyDescent="0.25">
      <c r="A1311" t="s">
        <v>1192</v>
      </c>
      <c r="B1311" t="s">
        <v>13</v>
      </c>
      <c r="C1311">
        <v>11.52</v>
      </c>
      <c r="D1311">
        <v>14.75</v>
      </c>
      <c r="E1311" t="s">
        <v>17</v>
      </c>
      <c r="F1311">
        <v>31.34</v>
      </c>
      <c r="G1311">
        <v>24.34</v>
      </c>
      <c r="H1311" t="s">
        <v>17</v>
      </c>
      <c r="I1311" t="str">
        <f>"063462005757"</f>
        <v>063462005757</v>
      </c>
    </row>
    <row r="1312" spans="1:9" x14ac:dyDescent="0.25">
      <c r="A1312" t="s">
        <v>1193</v>
      </c>
      <c r="B1312" t="s">
        <v>13</v>
      </c>
      <c r="C1312">
        <v>3.3</v>
      </c>
      <c r="D1312">
        <v>3</v>
      </c>
      <c r="E1312" t="s">
        <v>17</v>
      </c>
      <c r="F1312">
        <v>11.82</v>
      </c>
      <c r="G1312">
        <v>15.33</v>
      </c>
      <c r="H1312" t="s">
        <v>17</v>
      </c>
      <c r="I1312" t="str">
        <f>"060912000935"</f>
        <v>060912000935</v>
      </c>
    </row>
    <row r="1313" spans="1:9" x14ac:dyDescent="0.25">
      <c r="A1313" t="s">
        <v>1194</v>
      </c>
      <c r="B1313" t="s">
        <v>13</v>
      </c>
      <c r="C1313">
        <v>3.8</v>
      </c>
      <c r="D1313">
        <v>3.9</v>
      </c>
      <c r="E1313" t="s">
        <v>17</v>
      </c>
      <c r="F1313">
        <v>12.63</v>
      </c>
      <c r="G1313">
        <v>9.74</v>
      </c>
      <c r="H1313" t="s">
        <v>17</v>
      </c>
      <c r="I1313" t="str">
        <f>"060723010663"</f>
        <v>060723010663</v>
      </c>
    </row>
    <row r="1314" spans="1:9" x14ac:dyDescent="0.25">
      <c r="A1314" t="s">
        <v>1195</v>
      </c>
      <c r="B1314" t="s">
        <v>13</v>
      </c>
      <c r="C1314">
        <v>32</v>
      </c>
      <c r="D1314">
        <v>32</v>
      </c>
      <c r="E1314" t="s">
        <v>17</v>
      </c>
      <c r="F1314">
        <v>23.63</v>
      </c>
      <c r="G1314">
        <v>25.22</v>
      </c>
      <c r="H1314" t="s">
        <v>17</v>
      </c>
      <c r="I1314" t="str">
        <f>"062271002887"</f>
        <v>062271002887</v>
      </c>
    </row>
    <row r="1315" spans="1:9" x14ac:dyDescent="0.25">
      <c r="A1315" t="s">
        <v>1196</v>
      </c>
      <c r="B1315" t="s">
        <v>13</v>
      </c>
      <c r="C1315">
        <v>16</v>
      </c>
      <c r="D1315">
        <v>18</v>
      </c>
      <c r="E1315" t="s">
        <v>17</v>
      </c>
      <c r="F1315">
        <v>30</v>
      </c>
      <c r="G1315">
        <v>27</v>
      </c>
      <c r="H1315" t="s">
        <v>17</v>
      </c>
      <c r="I1315" t="str">
        <f>"063384005229"</f>
        <v>063384005229</v>
      </c>
    </row>
    <row r="1316" spans="1:9" x14ac:dyDescent="0.25">
      <c r="A1316" t="s">
        <v>1197</v>
      </c>
      <c r="B1316" t="s">
        <v>13</v>
      </c>
      <c r="C1316">
        <v>28.47</v>
      </c>
      <c r="D1316">
        <v>27.83</v>
      </c>
      <c r="E1316" t="s">
        <v>17</v>
      </c>
      <c r="F1316">
        <v>21.57</v>
      </c>
      <c r="G1316">
        <v>21.63</v>
      </c>
      <c r="H1316" t="s">
        <v>17</v>
      </c>
      <c r="I1316" t="str">
        <f>"060627000549"</f>
        <v>060627000549</v>
      </c>
    </row>
    <row r="1317" spans="1:9" x14ac:dyDescent="0.25">
      <c r="A1317" t="s">
        <v>1198</v>
      </c>
      <c r="B1317" t="s">
        <v>13</v>
      </c>
      <c r="C1317" t="s">
        <v>17</v>
      </c>
      <c r="D1317" t="s">
        <v>17</v>
      </c>
      <c r="E1317" t="s">
        <v>14</v>
      </c>
      <c r="F1317" t="s">
        <v>17</v>
      </c>
      <c r="G1317" t="s">
        <v>17</v>
      </c>
      <c r="H1317" t="s">
        <v>14</v>
      </c>
      <c r="I1317" t="str">
        <f>"063255012839"</f>
        <v>063255012839</v>
      </c>
    </row>
    <row r="1318" spans="1:9" x14ac:dyDescent="0.25">
      <c r="A1318" t="s">
        <v>1199</v>
      </c>
      <c r="B1318" t="s">
        <v>13</v>
      </c>
      <c r="C1318">
        <v>23.5</v>
      </c>
      <c r="D1318">
        <v>24.15</v>
      </c>
      <c r="E1318" t="s">
        <v>17</v>
      </c>
      <c r="F1318">
        <v>21.57</v>
      </c>
      <c r="G1318">
        <v>21.66</v>
      </c>
      <c r="H1318" t="s">
        <v>17</v>
      </c>
      <c r="I1318" t="str">
        <f>"060402000357"</f>
        <v>060402000357</v>
      </c>
    </row>
    <row r="1319" spans="1:9" x14ac:dyDescent="0.25">
      <c r="A1319" t="s">
        <v>1199</v>
      </c>
      <c r="B1319" t="s">
        <v>13</v>
      </c>
      <c r="C1319">
        <v>23.85</v>
      </c>
      <c r="D1319">
        <v>23.6</v>
      </c>
      <c r="E1319" t="s">
        <v>17</v>
      </c>
      <c r="F1319">
        <v>21.13</v>
      </c>
      <c r="G1319">
        <v>21.44</v>
      </c>
      <c r="H1319" t="s">
        <v>17</v>
      </c>
      <c r="I1319" t="str">
        <f>"064200006875"</f>
        <v>064200006875</v>
      </c>
    </row>
    <row r="1320" spans="1:9" x14ac:dyDescent="0.25">
      <c r="A1320" t="s">
        <v>1200</v>
      </c>
      <c r="B1320" t="s">
        <v>13</v>
      </c>
      <c r="C1320">
        <v>15.03</v>
      </c>
      <c r="D1320">
        <v>19.5</v>
      </c>
      <c r="E1320" t="s">
        <v>17</v>
      </c>
      <c r="F1320">
        <v>28.54</v>
      </c>
      <c r="G1320">
        <v>21.38</v>
      </c>
      <c r="H1320" t="s">
        <v>17</v>
      </c>
      <c r="I1320" t="str">
        <f>"063462005758"</f>
        <v>063462005758</v>
      </c>
    </row>
    <row r="1321" spans="1:9" x14ac:dyDescent="0.25">
      <c r="A1321" t="s">
        <v>1201</v>
      </c>
      <c r="B1321" t="s">
        <v>13</v>
      </c>
      <c r="C1321">
        <v>21.76</v>
      </c>
      <c r="D1321">
        <v>21.5</v>
      </c>
      <c r="E1321" t="s">
        <v>17</v>
      </c>
      <c r="F1321">
        <v>19.39</v>
      </c>
      <c r="G1321">
        <v>18.84</v>
      </c>
      <c r="H1321" t="s">
        <v>17</v>
      </c>
      <c r="I1321" t="str">
        <f>"060717000656"</f>
        <v>060717000656</v>
      </c>
    </row>
    <row r="1322" spans="1:9" x14ac:dyDescent="0.25">
      <c r="A1322" t="s">
        <v>1202</v>
      </c>
      <c r="B1322" t="s">
        <v>13</v>
      </c>
      <c r="C1322">
        <v>24</v>
      </c>
      <c r="D1322">
        <v>26</v>
      </c>
      <c r="E1322" t="s">
        <v>17</v>
      </c>
      <c r="F1322">
        <v>27.25</v>
      </c>
      <c r="G1322">
        <v>25.96</v>
      </c>
      <c r="H1322" t="s">
        <v>17</v>
      </c>
      <c r="I1322" t="str">
        <f>"060297000226"</f>
        <v>060297000226</v>
      </c>
    </row>
    <row r="1323" spans="1:9" x14ac:dyDescent="0.25">
      <c r="A1323" t="s">
        <v>1203</v>
      </c>
      <c r="B1323" t="s">
        <v>13</v>
      </c>
      <c r="C1323">
        <v>22</v>
      </c>
      <c r="D1323">
        <v>20</v>
      </c>
      <c r="E1323" t="s">
        <v>17</v>
      </c>
      <c r="F1323">
        <v>23.09</v>
      </c>
      <c r="G1323">
        <v>25.9</v>
      </c>
      <c r="H1323" t="s">
        <v>17</v>
      </c>
      <c r="I1323" t="str">
        <f>"062271012738"</f>
        <v>062271012738</v>
      </c>
    </row>
    <row r="1324" spans="1:9" x14ac:dyDescent="0.25">
      <c r="A1324" t="s">
        <v>1204</v>
      </c>
      <c r="B1324" t="s">
        <v>13</v>
      </c>
      <c r="C1324">
        <v>22.5</v>
      </c>
      <c r="D1324">
        <v>13</v>
      </c>
      <c r="E1324" t="s">
        <v>17</v>
      </c>
      <c r="F1324">
        <v>25.02</v>
      </c>
      <c r="G1324">
        <v>43.62</v>
      </c>
      <c r="H1324" t="s">
        <v>17</v>
      </c>
      <c r="I1324" t="str">
        <f>"062271008508"</f>
        <v>062271008508</v>
      </c>
    </row>
    <row r="1325" spans="1:9" x14ac:dyDescent="0.25">
      <c r="A1325" t="s">
        <v>1205</v>
      </c>
      <c r="B1325" t="s">
        <v>13</v>
      </c>
      <c r="C1325">
        <v>24</v>
      </c>
      <c r="D1325">
        <v>24.2</v>
      </c>
      <c r="E1325" t="s">
        <v>14</v>
      </c>
      <c r="F1325">
        <v>26.75</v>
      </c>
      <c r="G1325">
        <v>21.94</v>
      </c>
      <c r="H1325" t="s">
        <v>14</v>
      </c>
      <c r="I1325" t="str">
        <f>"062271012915"</f>
        <v>062271012915</v>
      </c>
    </row>
    <row r="1326" spans="1:9" x14ac:dyDescent="0.25">
      <c r="A1326" t="s">
        <v>1206</v>
      </c>
      <c r="B1326" t="s">
        <v>13</v>
      </c>
      <c r="C1326">
        <v>18</v>
      </c>
      <c r="D1326">
        <v>20.5</v>
      </c>
      <c r="E1326" t="s">
        <v>17</v>
      </c>
      <c r="F1326">
        <v>26.83</v>
      </c>
      <c r="G1326">
        <v>22.73</v>
      </c>
      <c r="H1326" t="s">
        <v>17</v>
      </c>
      <c r="I1326" t="str">
        <f>"062271010847"</f>
        <v>062271010847</v>
      </c>
    </row>
    <row r="1327" spans="1:9" x14ac:dyDescent="0.25">
      <c r="A1327" t="s">
        <v>1207</v>
      </c>
      <c r="B1327" t="s">
        <v>13</v>
      </c>
      <c r="C1327">
        <v>27</v>
      </c>
      <c r="D1327">
        <v>21</v>
      </c>
      <c r="E1327" t="s">
        <v>17</v>
      </c>
      <c r="F1327">
        <v>25.07</v>
      </c>
      <c r="G1327">
        <v>28.19</v>
      </c>
      <c r="H1327" t="s">
        <v>17</v>
      </c>
      <c r="I1327" t="str">
        <f>"062271012805"</f>
        <v>062271012805</v>
      </c>
    </row>
    <row r="1328" spans="1:9" x14ac:dyDescent="0.25">
      <c r="A1328" t="s">
        <v>1208</v>
      </c>
      <c r="B1328" t="s">
        <v>13</v>
      </c>
      <c r="C1328" t="s">
        <v>17</v>
      </c>
      <c r="D1328" t="s">
        <v>14</v>
      </c>
      <c r="E1328" t="s">
        <v>14</v>
      </c>
      <c r="F1328" t="s">
        <v>17</v>
      </c>
      <c r="G1328" t="s">
        <v>14</v>
      </c>
      <c r="H1328" t="s">
        <v>14</v>
      </c>
      <c r="I1328" t="str">
        <f>"062271013537"</f>
        <v>062271013537</v>
      </c>
    </row>
    <row r="1329" spans="1:9" x14ac:dyDescent="0.25">
      <c r="A1329" t="s">
        <v>1209</v>
      </c>
      <c r="B1329" t="s">
        <v>13</v>
      </c>
      <c r="C1329">
        <v>18</v>
      </c>
      <c r="D1329">
        <v>18</v>
      </c>
      <c r="E1329" t="s">
        <v>17</v>
      </c>
      <c r="F1329">
        <v>24.67</v>
      </c>
      <c r="G1329">
        <v>23</v>
      </c>
      <c r="H1329" t="s">
        <v>17</v>
      </c>
      <c r="I1329" t="str">
        <f>"062574003849"</f>
        <v>062574003849</v>
      </c>
    </row>
    <row r="1330" spans="1:9" x14ac:dyDescent="0.25">
      <c r="A1330" t="s">
        <v>1210</v>
      </c>
      <c r="B1330" t="s">
        <v>13</v>
      </c>
      <c r="C1330">
        <v>31.5</v>
      </c>
      <c r="D1330">
        <v>31.5</v>
      </c>
      <c r="E1330" t="s">
        <v>17</v>
      </c>
      <c r="F1330">
        <v>24.44</v>
      </c>
      <c r="G1330">
        <v>24.44</v>
      </c>
      <c r="H1330" t="s">
        <v>17</v>
      </c>
      <c r="I1330" t="str">
        <f>"061926009380"</f>
        <v>061926009380</v>
      </c>
    </row>
    <row r="1331" spans="1:9" x14ac:dyDescent="0.25">
      <c r="A1331" t="s">
        <v>1211</v>
      </c>
      <c r="B1331" t="s">
        <v>13</v>
      </c>
      <c r="C1331">
        <v>4</v>
      </c>
      <c r="D1331">
        <v>2.8</v>
      </c>
      <c r="E1331" t="s">
        <v>14</v>
      </c>
      <c r="F1331">
        <v>22.75</v>
      </c>
      <c r="G1331">
        <v>24.29</v>
      </c>
      <c r="H1331" t="s">
        <v>14</v>
      </c>
      <c r="I1331" t="str">
        <f>"060717012702"</f>
        <v>060717012702</v>
      </c>
    </row>
    <row r="1332" spans="1:9" x14ac:dyDescent="0.25">
      <c r="A1332" t="s">
        <v>1212</v>
      </c>
      <c r="B1332" t="s">
        <v>13</v>
      </c>
      <c r="C1332">
        <v>1.4</v>
      </c>
      <c r="D1332">
        <v>2</v>
      </c>
      <c r="E1332" t="s">
        <v>17</v>
      </c>
      <c r="F1332">
        <v>12.86</v>
      </c>
      <c r="G1332">
        <v>12</v>
      </c>
      <c r="H1332" t="s">
        <v>17</v>
      </c>
      <c r="I1332" t="str">
        <f>"069103312025"</f>
        <v>069103312025</v>
      </c>
    </row>
    <row r="1333" spans="1:9" x14ac:dyDescent="0.25">
      <c r="A1333" t="s">
        <v>1213</v>
      </c>
      <c r="B1333" t="s">
        <v>13</v>
      </c>
      <c r="C1333">
        <v>1.17</v>
      </c>
      <c r="D1333">
        <v>1.17</v>
      </c>
      <c r="E1333" t="s">
        <v>17</v>
      </c>
      <c r="F1333">
        <v>5.98</v>
      </c>
      <c r="G1333">
        <v>5.98</v>
      </c>
      <c r="H1333" t="s">
        <v>17</v>
      </c>
      <c r="I1333" t="str">
        <f>"060016012129"</f>
        <v>060016012129</v>
      </c>
    </row>
    <row r="1334" spans="1:9" x14ac:dyDescent="0.25">
      <c r="A1334" t="s">
        <v>1214</v>
      </c>
      <c r="B1334" t="s">
        <v>13</v>
      </c>
      <c r="C1334">
        <v>29.92</v>
      </c>
      <c r="D1334">
        <v>32.82</v>
      </c>
      <c r="E1334" t="s">
        <v>17</v>
      </c>
      <c r="F1334">
        <v>21.79</v>
      </c>
      <c r="G1334">
        <v>22.7</v>
      </c>
      <c r="H1334" t="s">
        <v>17</v>
      </c>
      <c r="I1334" t="str">
        <f>"060720000662"</f>
        <v>060720000662</v>
      </c>
    </row>
    <row r="1335" spans="1:9" x14ac:dyDescent="0.25">
      <c r="A1335" t="s">
        <v>1215</v>
      </c>
      <c r="B1335" t="s">
        <v>13</v>
      </c>
      <c r="C1335">
        <v>19.5</v>
      </c>
      <c r="D1335">
        <v>19</v>
      </c>
      <c r="E1335" t="s">
        <v>17</v>
      </c>
      <c r="F1335">
        <v>21.74</v>
      </c>
      <c r="G1335">
        <v>22.11</v>
      </c>
      <c r="H1335" t="s">
        <v>17</v>
      </c>
      <c r="I1335" t="str">
        <f>"062610003900"</f>
        <v>062610003900</v>
      </c>
    </row>
    <row r="1336" spans="1:9" x14ac:dyDescent="0.25">
      <c r="A1336" t="s">
        <v>1216</v>
      </c>
      <c r="B1336" t="s">
        <v>13</v>
      </c>
      <c r="C1336">
        <v>1.25</v>
      </c>
      <c r="D1336">
        <v>2</v>
      </c>
      <c r="E1336" t="s">
        <v>17</v>
      </c>
      <c r="F1336">
        <v>22.4</v>
      </c>
      <c r="G1336">
        <v>16.5</v>
      </c>
      <c r="H1336" t="s">
        <v>17</v>
      </c>
      <c r="I1336" t="str">
        <f>"062610002661"</f>
        <v>062610002661</v>
      </c>
    </row>
    <row r="1337" spans="1:9" x14ac:dyDescent="0.25">
      <c r="A1337" t="s">
        <v>1217</v>
      </c>
      <c r="B1337" t="s">
        <v>13</v>
      </c>
      <c r="C1337">
        <v>59.2</v>
      </c>
      <c r="D1337">
        <v>61.4</v>
      </c>
      <c r="E1337" t="s">
        <v>17</v>
      </c>
      <c r="F1337">
        <v>21.28</v>
      </c>
      <c r="G1337">
        <v>20.93</v>
      </c>
      <c r="H1337" t="s">
        <v>17</v>
      </c>
      <c r="I1337" t="str">
        <f>"060165000033"</f>
        <v>060165000033</v>
      </c>
    </row>
    <row r="1338" spans="1:9" x14ac:dyDescent="0.25">
      <c r="A1338" t="s">
        <v>1218</v>
      </c>
      <c r="B1338" t="s">
        <v>13</v>
      </c>
      <c r="C1338">
        <v>16.82</v>
      </c>
      <c r="D1338">
        <v>16.149999999999999</v>
      </c>
      <c r="E1338" t="s">
        <v>17</v>
      </c>
      <c r="F1338">
        <v>22.35</v>
      </c>
      <c r="G1338">
        <v>22.17</v>
      </c>
      <c r="H1338" t="s">
        <v>17</v>
      </c>
      <c r="I1338" t="str">
        <f>"060726008436"</f>
        <v>060726008436</v>
      </c>
    </row>
    <row r="1339" spans="1:9" x14ac:dyDescent="0.25">
      <c r="A1339" t="s">
        <v>1219</v>
      </c>
      <c r="B1339" t="s">
        <v>13</v>
      </c>
      <c r="C1339">
        <v>3.4</v>
      </c>
      <c r="D1339">
        <v>4.4000000000000004</v>
      </c>
      <c r="E1339" t="s">
        <v>17</v>
      </c>
      <c r="F1339">
        <v>14.41</v>
      </c>
      <c r="G1339">
        <v>10.45</v>
      </c>
      <c r="H1339" t="s">
        <v>17</v>
      </c>
      <c r="I1339" t="str">
        <f>"060726000678"</f>
        <v>060726000678</v>
      </c>
    </row>
    <row r="1340" spans="1:9" x14ac:dyDescent="0.25">
      <c r="A1340" t="s">
        <v>1220</v>
      </c>
      <c r="B1340" t="s">
        <v>13</v>
      </c>
      <c r="C1340">
        <v>26.55</v>
      </c>
      <c r="D1340">
        <v>20.100000000000001</v>
      </c>
      <c r="E1340" t="s">
        <v>17</v>
      </c>
      <c r="F1340">
        <v>22.94</v>
      </c>
      <c r="G1340">
        <v>25.77</v>
      </c>
      <c r="H1340" t="s">
        <v>17</v>
      </c>
      <c r="I1340" t="str">
        <f>"062569009157"</f>
        <v>062569009157</v>
      </c>
    </row>
    <row r="1341" spans="1:9" x14ac:dyDescent="0.25">
      <c r="A1341" t="s">
        <v>1221</v>
      </c>
      <c r="B1341" t="s">
        <v>13</v>
      </c>
      <c r="C1341">
        <v>24</v>
      </c>
      <c r="D1341">
        <v>24</v>
      </c>
      <c r="E1341" t="s">
        <v>17</v>
      </c>
      <c r="F1341">
        <v>23.17</v>
      </c>
      <c r="G1341">
        <v>21.13</v>
      </c>
      <c r="H1341" t="s">
        <v>17</v>
      </c>
      <c r="I1341" t="str">
        <f>"062217002637"</f>
        <v>062217002637</v>
      </c>
    </row>
    <row r="1342" spans="1:9" x14ac:dyDescent="0.25">
      <c r="A1342" t="s">
        <v>1222</v>
      </c>
      <c r="B1342" t="s">
        <v>13</v>
      </c>
      <c r="C1342">
        <v>20.5</v>
      </c>
      <c r="D1342">
        <v>22</v>
      </c>
      <c r="E1342" t="s">
        <v>17</v>
      </c>
      <c r="F1342">
        <v>24.2</v>
      </c>
      <c r="G1342">
        <v>23.14</v>
      </c>
      <c r="H1342" t="s">
        <v>17</v>
      </c>
      <c r="I1342" t="str">
        <f>"060756000725"</f>
        <v>060756000725</v>
      </c>
    </row>
    <row r="1343" spans="1:9" x14ac:dyDescent="0.25">
      <c r="A1343" t="s">
        <v>1223</v>
      </c>
      <c r="B1343" t="s">
        <v>13</v>
      </c>
      <c r="C1343">
        <v>18</v>
      </c>
      <c r="D1343">
        <v>18</v>
      </c>
      <c r="E1343" t="s">
        <v>17</v>
      </c>
      <c r="F1343">
        <v>23.44</v>
      </c>
      <c r="G1343">
        <v>23.11</v>
      </c>
      <c r="H1343" t="s">
        <v>17</v>
      </c>
      <c r="I1343" t="str">
        <f>"062271002888"</f>
        <v>062271002888</v>
      </c>
    </row>
    <row r="1344" spans="1:9" x14ac:dyDescent="0.25">
      <c r="A1344" t="s">
        <v>1224</v>
      </c>
      <c r="B1344" t="s">
        <v>13</v>
      </c>
      <c r="C1344">
        <v>21.75</v>
      </c>
      <c r="D1344">
        <v>23.4</v>
      </c>
      <c r="E1344" t="s">
        <v>17</v>
      </c>
      <c r="F1344">
        <v>19.72</v>
      </c>
      <c r="G1344">
        <v>20.73</v>
      </c>
      <c r="H1344" t="s">
        <v>17</v>
      </c>
      <c r="I1344" t="str">
        <f>"063459008634"</f>
        <v>063459008634</v>
      </c>
    </row>
    <row r="1345" spans="1:9" x14ac:dyDescent="0.25">
      <c r="A1345" t="s">
        <v>1225</v>
      </c>
      <c r="B1345" t="s">
        <v>13</v>
      </c>
      <c r="C1345">
        <v>35</v>
      </c>
      <c r="D1345">
        <v>33.5</v>
      </c>
      <c r="E1345" t="s">
        <v>17</v>
      </c>
      <c r="F1345">
        <v>24.66</v>
      </c>
      <c r="G1345">
        <v>25.73</v>
      </c>
      <c r="H1345" t="s">
        <v>17</v>
      </c>
      <c r="I1345" t="str">
        <f>"062271002889"</f>
        <v>062271002889</v>
      </c>
    </row>
    <row r="1346" spans="1:9" x14ac:dyDescent="0.25">
      <c r="A1346" t="s">
        <v>1226</v>
      </c>
      <c r="B1346" t="s">
        <v>13</v>
      </c>
      <c r="C1346">
        <v>69.760000000000005</v>
      </c>
      <c r="D1346">
        <v>77.08</v>
      </c>
      <c r="E1346" t="s">
        <v>17</v>
      </c>
      <c r="F1346">
        <v>25.27</v>
      </c>
      <c r="G1346">
        <v>22.46</v>
      </c>
      <c r="H1346" t="s">
        <v>17</v>
      </c>
      <c r="I1346" t="str">
        <f>"062271002890"</f>
        <v>062271002890</v>
      </c>
    </row>
    <row r="1347" spans="1:9" x14ac:dyDescent="0.25">
      <c r="A1347" t="s">
        <v>1227</v>
      </c>
      <c r="B1347" t="s">
        <v>13</v>
      </c>
      <c r="C1347">
        <v>25</v>
      </c>
      <c r="D1347">
        <v>26</v>
      </c>
      <c r="E1347" t="s">
        <v>17</v>
      </c>
      <c r="F1347">
        <v>23.36</v>
      </c>
      <c r="G1347">
        <v>22.85</v>
      </c>
      <c r="H1347" t="s">
        <v>17</v>
      </c>
      <c r="I1347" t="str">
        <f>"062271002891"</f>
        <v>062271002891</v>
      </c>
    </row>
    <row r="1348" spans="1:9" x14ac:dyDescent="0.25">
      <c r="A1348" t="s">
        <v>1228</v>
      </c>
      <c r="B1348" t="s">
        <v>13</v>
      </c>
      <c r="C1348">
        <v>45</v>
      </c>
      <c r="D1348">
        <v>46</v>
      </c>
      <c r="E1348" t="s">
        <v>17</v>
      </c>
      <c r="F1348">
        <v>24.4</v>
      </c>
      <c r="G1348">
        <v>24.07</v>
      </c>
      <c r="H1348" t="s">
        <v>17</v>
      </c>
      <c r="I1348" t="str">
        <f>"062271002892"</f>
        <v>062271002892</v>
      </c>
    </row>
    <row r="1349" spans="1:9" x14ac:dyDescent="0.25">
      <c r="A1349" t="s">
        <v>1229</v>
      </c>
      <c r="B1349" t="s">
        <v>13</v>
      </c>
      <c r="C1349">
        <v>8</v>
      </c>
      <c r="D1349">
        <v>8</v>
      </c>
      <c r="E1349" t="s">
        <v>17</v>
      </c>
      <c r="F1349">
        <v>25.88</v>
      </c>
      <c r="G1349">
        <v>26.5</v>
      </c>
      <c r="H1349" t="s">
        <v>17</v>
      </c>
      <c r="I1349" t="str">
        <f>"069113410215"</f>
        <v>069113410215</v>
      </c>
    </row>
    <row r="1350" spans="1:9" x14ac:dyDescent="0.25">
      <c r="A1350" t="s">
        <v>1230</v>
      </c>
      <c r="B1350" t="s">
        <v>13</v>
      </c>
      <c r="C1350">
        <v>70.19</v>
      </c>
      <c r="D1350">
        <v>73.709999999999994</v>
      </c>
      <c r="E1350" t="s">
        <v>17</v>
      </c>
      <c r="F1350">
        <v>26.56</v>
      </c>
      <c r="G1350">
        <v>24.95</v>
      </c>
      <c r="H1350" t="s">
        <v>17</v>
      </c>
      <c r="I1350" t="str">
        <f>"063438011396"</f>
        <v>063438011396</v>
      </c>
    </row>
    <row r="1351" spans="1:9" x14ac:dyDescent="0.25">
      <c r="A1351" t="s">
        <v>1231</v>
      </c>
      <c r="B1351" t="s">
        <v>13</v>
      </c>
      <c r="C1351">
        <v>21.59</v>
      </c>
      <c r="D1351">
        <v>22.58</v>
      </c>
      <c r="E1351" t="s">
        <v>17</v>
      </c>
      <c r="F1351">
        <v>27.56</v>
      </c>
      <c r="G1351">
        <v>26.84</v>
      </c>
      <c r="H1351" t="s">
        <v>17</v>
      </c>
      <c r="I1351" t="str">
        <f>"061392001123"</f>
        <v>061392001123</v>
      </c>
    </row>
    <row r="1352" spans="1:9" x14ac:dyDescent="0.25">
      <c r="A1352" t="s">
        <v>1232</v>
      </c>
      <c r="B1352" t="s">
        <v>13</v>
      </c>
      <c r="C1352" t="s">
        <v>17</v>
      </c>
      <c r="D1352" t="s">
        <v>14</v>
      </c>
      <c r="E1352" t="s">
        <v>14</v>
      </c>
      <c r="F1352" t="s">
        <v>17</v>
      </c>
      <c r="G1352" t="s">
        <v>14</v>
      </c>
      <c r="H1352" t="s">
        <v>14</v>
      </c>
      <c r="I1352" t="str">
        <f>"062532013522"</f>
        <v>062532013522</v>
      </c>
    </row>
    <row r="1353" spans="1:9" x14ac:dyDescent="0.25">
      <c r="A1353" t="s">
        <v>1233</v>
      </c>
      <c r="B1353" t="s">
        <v>13</v>
      </c>
      <c r="C1353">
        <v>4.5999999999999996</v>
      </c>
      <c r="D1353">
        <v>4.4000000000000004</v>
      </c>
      <c r="E1353" t="s">
        <v>17</v>
      </c>
      <c r="F1353">
        <v>15.87</v>
      </c>
      <c r="G1353">
        <v>15.91</v>
      </c>
      <c r="H1353" t="s">
        <v>17</v>
      </c>
      <c r="I1353" t="str">
        <f>"060735000680"</f>
        <v>060735000680</v>
      </c>
    </row>
    <row r="1354" spans="1:9" x14ac:dyDescent="0.25">
      <c r="A1354" t="s">
        <v>1233</v>
      </c>
      <c r="B1354" t="s">
        <v>13</v>
      </c>
      <c r="C1354">
        <v>15.5</v>
      </c>
      <c r="D1354">
        <v>15.01</v>
      </c>
      <c r="E1354" t="s">
        <v>17</v>
      </c>
      <c r="F1354">
        <v>25.42</v>
      </c>
      <c r="G1354">
        <v>27.12</v>
      </c>
      <c r="H1354" t="s">
        <v>17</v>
      </c>
      <c r="I1354" t="str">
        <f>"062271002894"</f>
        <v>062271002894</v>
      </c>
    </row>
    <row r="1355" spans="1:9" x14ac:dyDescent="0.25">
      <c r="A1355" t="s">
        <v>1234</v>
      </c>
      <c r="B1355" t="s">
        <v>13</v>
      </c>
      <c r="C1355">
        <v>85.21</v>
      </c>
      <c r="D1355">
        <v>83.67</v>
      </c>
      <c r="E1355" t="s">
        <v>17</v>
      </c>
      <c r="F1355">
        <v>27.71</v>
      </c>
      <c r="G1355">
        <v>29.1</v>
      </c>
      <c r="H1355" t="s">
        <v>17</v>
      </c>
      <c r="I1355" t="str">
        <f>"062865004421"</f>
        <v>062865004421</v>
      </c>
    </row>
    <row r="1356" spans="1:9" x14ac:dyDescent="0.25">
      <c r="A1356" t="s">
        <v>1234</v>
      </c>
      <c r="B1356" t="s">
        <v>13</v>
      </c>
      <c r="C1356">
        <v>91.44</v>
      </c>
      <c r="D1356">
        <v>91.7</v>
      </c>
      <c r="E1356" t="s">
        <v>17</v>
      </c>
      <c r="F1356">
        <v>27.17</v>
      </c>
      <c r="G1356">
        <v>26.72</v>
      </c>
      <c r="H1356" t="s">
        <v>17</v>
      </c>
      <c r="I1356" t="str">
        <f>"064251006958"</f>
        <v>064251006958</v>
      </c>
    </row>
    <row r="1357" spans="1:9" x14ac:dyDescent="0.25">
      <c r="A1357" t="s">
        <v>1235</v>
      </c>
      <c r="B1357" t="s">
        <v>13</v>
      </c>
      <c r="C1357">
        <v>12.05</v>
      </c>
      <c r="D1357">
        <v>11</v>
      </c>
      <c r="E1357" t="s">
        <v>17</v>
      </c>
      <c r="F1357">
        <v>12.2</v>
      </c>
      <c r="G1357">
        <v>12.73</v>
      </c>
      <c r="H1357" t="s">
        <v>17</v>
      </c>
      <c r="I1357" t="str">
        <f>"062865004422"</f>
        <v>062865004422</v>
      </c>
    </row>
    <row r="1358" spans="1:9" x14ac:dyDescent="0.25">
      <c r="A1358" t="s">
        <v>1236</v>
      </c>
      <c r="B1358" t="s">
        <v>13</v>
      </c>
      <c r="C1358">
        <v>39.479999999999997</v>
      </c>
      <c r="D1358">
        <v>38.6</v>
      </c>
      <c r="E1358" t="s">
        <v>17</v>
      </c>
      <c r="F1358">
        <v>26.55</v>
      </c>
      <c r="G1358">
        <v>27.93</v>
      </c>
      <c r="H1358" t="s">
        <v>17</v>
      </c>
      <c r="I1358" t="str">
        <f>"060846010299"</f>
        <v>060846010299</v>
      </c>
    </row>
    <row r="1359" spans="1:9" x14ac:dyDescent="0.25">
      <c r="A1359" t="s">
        <v>1237</v>
      </c>
      <c r="B1359" t="s">
        <v>13</v>
      </c>
      <c r="C1359">
        <v>43.1</v>
      </c>
      <c r="D1359">
        <v>42.1</v>
      </c>
      <c r="E1359" t="s">
        <v>17</v>
      </c>
      <c r="F1359">
        <v>27.26</v>
      </c>
      <c r="G1359">
        <v>28.95</v>
      </c>
      <c r="H1359" t="s">
        <v>17</v>
      </c>
      <c r="I1359" t="str">
        <f>"060002710588"</f>
        <v>060002710588</v>
      </c>
    </row>
    <row r="1360" spans="1:9" x14ac:dyDescent="0.25">
      <c r="A1360" t="s">
        <v>1238</v>
      </c>
      <c r="B1360" t="s">
        <v>13</v>
      </c>
      <c r="C1360">
        <v>57.56</v>
      </c>
      <c r="D1360">
        <v>58.91</v>
      </c>
      <c r="E1360" t="s">
        <v>17</v>
      </c>
      <c r="F1360">
        <v>23.78</v>
      </c>
      <c r="G1360">
        <v>23.56</v>
      </c>
      <c r="H1360" t="s">
        <v>17</v>
      </c>
      <c r="I1360" t="str">
        <f>"060780000740"</f>
        <v>060780000740</v>
      </c>
    </row>
    <row r="1361" spans="1:9" x14ac:dyDescent="0.25">
      <c r="A1361" t="s">
        <v>1239</v>
      </c>
      <c r="B1361" t="s">
        <v>13</v>
      </c>
      <c r="C1361">
        <v>26.6</v>
      </c>
      <c r="D1361">
        <v>22.6</v>
      </c>
      <c r="E1361" t="s">
        <v>17</v>
      </c>
      <c r="F1361">
        <v>27.71</v>
      </c>
      <c r="G1361">
        <v>29.34</v>
      </c>
      <c r="H1361" t="s">
        <v>17</v>
      </c>
      <c r="I1361" t="str">
        <f>"062664010976"</f>
        <v>062664010976</v>
      </c>
    </row>
    <row r="1362" spans="1:9" x14ac:dyDescent="0.25">
      <c r="A1362" t="s">
        <v>1240</v>
      </c>
      <c r="B1362" t="s">
        <v>13</v>
      </c>
      <c r="C1362">
        <v>6.16</v>
      </c>
      <c r="D1362">
        <v>5.44</v>
      </c>
      <c r="E1362" t="s">
        <v>17</v>
      </c>
      <c r="F1362">
        <v>19.16</v>
      </c>
      <c r="G1362">
        <v>27.02</v>
      </c>
      <c r="H1362" t="s">
        <v>17</v>
      </c>
      <c r="I1362" t="str">
        <f>"062532003776"</f>
        <v>062532003776</v>
      </c>
    </row>
    <row r="1363" spans="1:9" x14ac:dyDescent="0.25">
      <c r="A1363" t="s">
        <v>1241</v>
      </c>
      <c r="B1363" t="s">
        <v>13</v>
      </c>
      <c r="C1363">
        <v>2</v>
      </c>
      <c r="D1363">
        <v>2</v>
      </c>
      <c r="E1363" t="s">
        <v>17</v>
      </c>
      <c r="F1363">
        <v>5</v>
      </c>
      <c r="G1363">
        <v>3.5</v>
      </c>
      <c r="H1363" t="s">
        <v>17</v>
      </c>
      <c r="I1363" t="str">
        <f>"069103312367"</f>
        <v>069103312367</v>
      </c>
    </row>
    <row r="1364" spans="1:9" x14ac:dyDescent="0.25">
      <c r="A1364" t="s">
        <v>1242</v>
      </c>
      <c r="B1364" t="s">
        <v>13</v>
      </c>
      <c r="C1364">
        <v>11</v>
      </c>
      <c r="D1364">
        <v>11</v>
      </c>
      <c r="E1364" t="s">
        <v>17</v>
      </c>
      <c r="F1364">
        <v>22.91</v>
      </c>
      <c r="G1364">
        <v>21</v>
      </c>
      <c r="H1364" t="s">
        <v>17</v>
      </c>
      <c r="I1364" t="str">
        <f>"060001412100"</f>
        <v>060001412100</v>
      </c>
    </row>
    <row r="1365" spans="1:9" x14ac:dyDescent="0.25">
      <c r="A1365" t="s">
        <v>1243</v>
      </c>
      <c r="B1365" t="s">
        <v>13</v>
      </c>
      <c r="C1365">
        <v>26</v>
      </c>
      <c r="D1365">
        <v>26.49</v>
      </c>
      <c r="E1365" t="s">
        <v>17</v>
      </c>
      <c r="F1365">
        <v>27.38</v>
      </c>
      <c r="G1365">
        <v>26.5</v>
      </c>
      <c r="H1365" t="s">
        <v>17</v>
      </c>
      <c r="I1365" t="str">
        <f>"062865007196"</f>
        <v>062865007196</v>
      </c>
    </row>
    <row r="1366" spans="1:9" x14ac:dyDescent="0.25">
      <c r="A1366" t="s">
        <v>1244</v>
      </c>
      <c r="B1366" t="s">
        <v>13</v>
      </c>
      <c r="C1366">
        <v>24</v>
      </c>
      <c r="D1366">
        <v>25</v>
      </c>
      <c r="E1366" t="s">
        <v>17</v>
      </c>
      <c r="F1366">
        <v>21.63</v>
      </c>
      <c r="G1366">
        <v>22.48</v>
      </c>
      <c r="H1366" t="s">
        <v>17</v>
      </c>
      <c r="I1366" t="str">
        <f>"063822010249"</f>
        <v>063822010249</v>
      </c>
    </row>
    <row r="1367" spans="1:9" x14ac:dyDescent="0.25">
      <c r="A1367" t="s">
        <v>1245</v>
      </c>
      <c r="B1367" t="s">
        <v>13</v>
      </c>
      <c r="C1367">
        <v>104.25</v>
      </c>
      <c r="D1367">
        <v>105.42</v>
      </c>
      <c r="E1367" t="s">
        <v>17</v>
      </c>
      <c r="F1367">
        <v>24.2</v>
      </c>
      <c r="G1367">
        <v>24.84</v>
      </c>
      <c r="H1367" t="s">
        <v>17</v>
      </c>
      <c r="I1367" t="str">
        <f>"062580008906"</f>
        <v>062580008906</v>
      </c>
    </row>
    <row r="1368" spans="1:9" x14ac:dyDescent="0.25">
      <c r="A1368" t="s">
        <v>1246</v>
      </c>
      <c r="B1368" t="s">
        <v>13</v>
      </c>
      <c r="C1368">
        <v>20</v>
      </c>
      <c r="D1368">
        <v>19</v>
      </c>
      <c r="E1368" t="s">
        <v>17</v>
      </c>
      <c r="F1368">
        <v>25.2</v>
      </c>
      <c r="G1368">
        <v>26.79</v>
      </c>
      <c r="H1368" t="s">
        <v>17</v>
      </c>
      <c r="I1368" t="str">
        <f>"063153009180"</f>
        <v>063153009180</v>
      </c>
    </row>
    <row r="1369" spans="1:9" x14ac:dyDescent="0.25">
      <c r="A1369" t="s">
        <v>1246</v>
      </c>
      <c r="B1369" t="s">
        <v>13</v>
      </c>
      <c r="C1369">
        <v>29</v>
      </c>
      <c r="D1369">
        <v>29</v>
      </c>
      <c r="E1369" t="s">
        <v>17</v>
      </c>
      <c r="F1369">
        <v>26.45</v>
      </c>
      <c r="G1369">
        <v>26.38</v>
      </c>
      <c r="H1369" t="s">
        <v>17</v>
      </c>
      <c r="I1369" t="str">
        <f>"068450007598"</f>
        <v>068450007598</v>
      </c>
    </row>
    <row r="1370" spans="1:9" x14ac:dyDescent="0.25">
      <c r="A1370" t="s">
        <v>1247</v>
      </c>
      <c r="B1370" t="s">
        <v>13</v>
      </c>
      <c r="C1370">
        <v>24.57</v>
      </c>
      <c r="D1370">
        <v>25.85</v>
      </c>
      <c r="E1370" t="s">
        <v>17</v>
      </c>
      <c r="F1370">
        <v>29.87</v>
      </c>
      <c r="G1370">
        <v>29.59</v>
      </c>
      <c r="H1370" t="s">
        <v>17</v>
      </c>
      <c r="I1370" t="str">
        <f>"060744011268"</f>
        <v>060744011268</v>
      </c>
    </row>
    <row r="1371" spans="1:9" x14ac:dyDescent="0.25">
      <c r="A1371" t="s">
        <v>1248</v>
      </c>
      <c r="B1371" t="s">
        <v>13</v>
      </c>
      <c r="C1371">
        <v>9</v>
      </c>
      <c r="D1371">
        <v>9</v>
      </c>
      <c r="E1371" t="s">
        <v>17</v>
      </c>
      <c r="F1371">
        <v>22.11</v>
      </c>
      <c r="G1371">
        <v>22.89</v>
      </c>
      <c r="H1371" t="s">
        <v>17</v>
      </c>
      <c r="I1371" t="str">
        <f>"060741000682"</f>
        <v>060741000682</v>
      </c>
    </row>
    <row r="1372" spans="1:9" x14ac:dyDescent="0.25">
      <c r="A1372" t="s">
        <v>1249</v>
      </c>
      <c r="B1372" t="s">
        <v>13</v>
      </c>
      <c r="C1372">
        <v>19.5</v>
      </c>
      <c r="D1372">
        <v>18.02</v>
      </c>
      <c r="E1372" t="s">
        <v>17</v>
      </c>
      <c r="F1372">
        <v>20.46</v>
      </c>
      <c r="G1372">
        <v>21.48</v>
      </c>
      <c r="H1372" t="s">
        <v>17</v>
      </c>
      <c r="I1372" t="str">
        <f>"062271002895"</f>
        <v>062271002895</v>
      </c>
    </row>
    <row r="1373" spans="1:9" x14ac:dyDescent="0.25">
      <c r="A1373" t="s">
        <v>1250</v>
      </c>
      <c r="B1373" t="s">
        <v>13</v>
      </c>
      <c r="C1373">
        <v>65.2</v>
      </c>
      <c r="D1373">
        <v>54.8</v>
      </c>
      <c r="E1373" t="s">
        <v>17</v>
      </c>
      <c r="F1373">
        <v>28.27</v>
      </c>
      <c r="G1373">
        <v>29.07</v>
      </c>
      <c r="H1373" t="s">
        <v>17</v>
      </c>
      <c r="I1373" t="str">
        <f>"060744010983"</f>
        <v>060744010983</v>
      </c>
    </row>
    <row r="1374" spans="1:9" x14ac:dyDescent="0.25">
      <c r="A1374" t="s">
        <v>1251</v>
      </c>
      <c r="B1374" t="s">
        <v>13</v>
      </c>
      <c r="C1374">
        <v>18.63</v>
      </c>
      <c r="D1374">
        <v>20</v>
      </c>
      <c r="E1374" t="s">
        <v>17</v>
      </c>
      <c r="F1374">
        <v>25.28</v>
      </c>
      <c r="G1374">
        <v>24.6</v>
      </c>
      <c r="H1374" t="s">
        <v>17</v>
      </c>
      <c r="I1374" t="str">
        <f>"061269001429"</f>
        <v>061269001429</v>
      </c>
    </row>
    <row r="1375" spans="1:9" x14ac:dyDescent="0.25">
      <c r="A1375" t="s">
        <v>1252</v>
      </c>
      <c r="B1375" t="s">
        <v>13</v>
      </c>
      <c r="C1375">
        <v>91.6</v>
      </c>
      <c r="D1375">
        <v>97.11</v>
      </c>
      <c r="E1375" t="s">
        <v>17</v>
      </c>
      <c r="F1375">
        <v>28.22</v>
      </c>
      <c r="G1375">
        <v>27.93</v>
      </c>
      <c r="H1375" t="s">
        <v>17</v>
      </c>
      <c r="I1375" t="str">
        <f>"060744000685"</f>
        <v>060744000685</v>
      </c>
    </row>
    <row r="1376" spans="1:9" x14ac:dyDescent="0.25">
      <c r="A1376" t="s">
        <v>1253</v>
      </c>
      <c r="B1376" t="s">
        <v>13</v>
      </c>
      <c r="C1376">
        <v>2.4</v>
      </c>
      <c r="D1376">
        <v>1.6</v>
      </c>
      <c r="E1376" t="s">
        <v>17</v>
      </c>
      <c r="F1376">
        <v>56.67</v>
      </c>
      <c r="G1376">
        <v>45.63</v>
      </c>
      <c r="H1376" t="s">
        <v>17</v>
      </c>
      <c r="I1376" t="str">
        <f>"060744011903"</f>
        <v>060744011903</v>
      </c>
    </row>
    <row r="1377" spans="1:9" x14ac:dyDescent="0.25">
      <c r="A1377" t="s">
        <v>1254</v>
      </c>
      <c r="B1377" t="s">
        <v>13</v>
      </c>
      <c r="C1377">
        <v>26.1</v>
      </c>
      <c r="D1377">
        <v>25.54</v>
      </c>
      <c r="E1377" t="s">
        <v>17</v>
      </c>
      <c r="F1377">
        <v>28.43</v>
      </c>
      <c r="G1377">
        <v>31.25</v>
      </c>
      <c r="H1377" t="s">
        <v>17</v>
      </c>
      <c r="I1377" t="str">
        <f>"063384006327"</f>
        <v>063384006327</v>
      </c>
    </row>
    <row r="1378" spans="1:9" x14ac:dyDescent="0.25">
      <c r="A1378" t="s">
        <v>1255</v>
      </c>
      <c r="B1378" t="s">
        <v>13</v>
      </c>
      <c r="C1378">
        <v>6</v>
      </c>
      <c r="D1378">
        <v>5</v>
      </c>
      <c r="E1378" t="s">
        <v>14</v>
      </c>
      <c r="F1378">
        <v>19</v>
      </c>
      <c r="G1378">
        <v>11.8</v>
      </c>
      <c r="H1378" t="s">
        <v>14</v>
      </c>
      <c r="I1378" t="str">
        <f>"063384012810"</f>
        <v>063384012810</v>
      </c>
    </row>
    <row r="1379" spans="1:9" x14ac:dyDescent="0.25">
      <c r="A1379" t="s">
        <v>1256</v>
      </c>
      <c r="B1379" t="s">
        <v>13</v>
      </c>
      <c r="C1379">
        <v>11.1</v>
      </c>
      <c r="D1379">
        <v>10</v>
      </c>
      <c r="E1379" t="s">
        <v>17</v>
      </c>
      <c r="F1379">
        <v>22.34</v>
      </c>
      <c r="G1379">
        <v>24.4</v>
      </c>
      <c r="H1379" t="s">
        <v>17</v>
      </c>
      <c r="I1379" t="str">
        <f>"063501011786"</f>
        <v>063501011786</v>
      </c>
    </row>
    <row r="1380" spans="1:9" x14ac:dyDescent="0.25">
      <c r="A1380" t="s">
        <v>1257</v>
      </c>
      <c r="B1380" t="s">
        <v>13</v>
      </c>
      <c r="C1380">
        <v>32</v>
      </c>
      <c r="D1380">
        <v>29.5</v>
      </c>
      <c r="E1380" t="s">
        <v>17</v>
      </c>
      <c r="F1380">
        <v>23.72</v>
      </c>
      <c r="G1380">
        <v>23.97</v>
      </c>
      <c r="H1380" t="s">
        <v>17</v>
      </c>
      <c r="I1380" t="str">
        <f>"060720000663"</f>
        <v>060720000663</v>
      </c>
    </row>
    <row r="1381" spans="1:9" x14ac:dyDescent="0.25">
      <c r="A1381" t="s">
        <v>1257</v>
      </c>
      <c r="B1381" t="s">
        <v>13</v>
      </c>
      <c r="C1381">
        <v>29.6</v>
      </c>
      <c r="D1381">
        <v>31.2</v>
      </c>
      <c r="E1381" t="s">
        <v>17</v>
      </c>
      <c r="F1381">
        <v>22.36</v>
      </c>
      <c r="G1381">
        <v>21.28</v>
      </c>
      <c r="H1381" t="s">
        <v>17</v>
      </c>
      <c r="I1381" t="str">
        <f>"061275001433"</f>
        <v>061275001433</v>
      </c>
    </row>
    <row r="1382" spans="1:9" x14ac:dyDescent="0.25">
      <c r="A1382" t="s">
        <v>1258</v>
      </c>
      <c r="B1382" t="s">
        <v>13</v>
      </c>
      <c r="C1382">
        <v>2.5</v>
      </c>
      <c r="D1382">
        <v>2.5</v>
      </c>
      <c r="E1382" t="s">
        <v>17</v>
      </c>
      <c r="F1382">
        <v>22</v>
      </c>
      <c r="G1382">
        <v>20.8</v>
      </c>
      <c r="H1382" t="s">
        <v>17</v>
      </c>
      <c r="I1382" t="str">
        <f>"060753000716"</f>
        <v>060753000716</v>
      </c>
    </row>
    <row r="1383" spans="1:9" x14ac:dyDescent="0.25">
      <c r="A1383" t="s">
        <v>1259</v>
      </c>
      <c r="B1383" t="s">
        <v>13</v>
      </c>
      <c r="C1383">
        <v>28</v>
      </c>
      <c r="D1383">
        <v>25.5</v>
      </c>
      <c r="E1383" t="s">
        <v>17</v>
      </c>
      <c r="F1383">
        <v>24.75</v>
      </c>
      <c r="G1383">
        <v>26.51</v>
      </c>
      <c r="H1383" t="s">
        <v>17</v>
      </c>
      <c r="I1383" t="str">
        <f>"061437001646"</f>
        <v>061437001646</v>
      </c>
    </row>
    <row r="1384" spans="1:9" x14ac:dyDescent="0.25">
      <c r="A1384" t="s">
        <v>1260</v>
      </c>
      <c r="B1384" t="s">
        <v>13</v>
      </c>
      <c r="C1384">
        <v>2.0299999999999998</v>
      </c>
      <c r="D1384">
        <v>2.2000000000000002</v>
      </c>
      <c r="E1384" t="s">
        <v>17</v>
      </c>
      <c r="F1384">
        <v>16.75</v>
      </c>
      <c r="G1384">
        <v>17.73</v>
      </c>
      <c r="H1384" t="s">
        <v>17</v>
      </c>
      <c r="I1384" t="str">
        <f>"061995002388"</f>
        <v>061995002388</v>
      </c>
    </row>
    <row r="1385" spans="1:9" x14ac:dyDescent="0.25">
      <c r="A1385" t="s">
        <v>1261</v>
      </c>
      <c r="B1385" t="s">
        <v>13</v>
      </c>
      <c r="C1385">
        <v>30</v>
      </c>
      <c r="D1385">
        <v>20</v>
      </c>
      <c r="E1385" t="s">
        <v>17</v>
      </c>
      <c r="F1385">
        <v>21.67</v>
      </c>
      <c r="G1385">
        <v>20.3</v>
      </c>
      <c r="H1385" t="s">
        <v>17</v>
      </c>
      <c r="I1385" t="str">
        <f>"063417005350"</f>
        <v>063417005350</v>
      </c>
    </row>
    <row r="1386" spans="1:9" x14ac:dyDescent="0.25">
      <c r="A1386" t="s">
        <v>1261</v>
      </c>
      <c r="B1386" t="s">
        <v>13</v>
      </c>
      <c r="C1386" t="s">
        <v>14</v>
      </c>
      <c r="D1386" t="s">
        <v>14</v>
      </c>
      <c r="E1386" t="s">
        <v>14</v>
      </c>
      <c r="F1386" t="s">
        <v>17</v>
      </c>
      <c r="G1386" t="s">
        <v>14</v>
      </c>
      <c r="H1386" t="s">
        <v>14</v>
      </c>
      <c r="I1386" t="str">
        <f>"063417013010"</f>
        <v>063417013010</v>
      </c>
    </row>
    <row r="1387" spans="1:9" x14ac:dyDescent="0.25">
      <c r="A1387" t="s">
        <v>1262</v>
      </c>
      <c r="B1387" t="s">
        <v>13</v>
      </c>
      <c r="C1387">
        <v>22</v>
      </c>
      <c r="D1387">
        <v>24</v>
      </c>
      <c r="E1387" t="s">
        <v>17</v>
      </c>
      <c r="F1387">
        <v>27.32</v>
      </c>
      <c r="G1387">
        <v>26</v>
      </c>
      <c r="H1387" t="s">
        <v>17</v>
      </c>
      <c r="I1387" t="str">
        <f>"062985004645"</f>
        <v>062985004645</v>
      </c>
    </row>
    <row r="1388" spans="1:9" x14ac:dyDescent="0.25">
      <c r="A1388" t="s">
        <v>1263</v>
      </c>
      <c r="B1388" t="s">
        <v>13</v>
      </c>
      <c r="C1388">
        <v>57.54</v>
      </c>
      <c r="D1388">
        <v>58.25</v>
      </c>
      <c r="E1388" t="s">
        <v>17</v>
      </c>
      <c r="F1388">
        <v>19.190000000000001</v>
      </c>
      <c r="G1388">
        <v>19.350000000000001</v>
      </c>
      <c r="H1388" t="s">
        <v>17</v>
      </c>
      <c r="I1388" t="str">
        <f>"063498005921"</f>
        <v>063498005921</v>
      </c>
    </row>
    <row r="1389" spans="1:9" x14ac:dyDescent="0.25">
      <c r="A1389" t="s">
        <v>1264</v>
      </c>
      <c r="B1389" t="s">
        <v>13</v>
      </c>
      <c r="C1389">
        <v>20</v>
      </c>
      <c r="D1389">
        <v>20</v>
      </c>
      <c r="E1389" t="s">
        <v>17</v>
      </c>
      <c r="F1389">
        <v>19.75</v>
      </c>
      <c r="G1389">
        <v>19.2</v>
      </c>
      <c r="H1389" t="s">
        <v>17</v>
      </c>
      <c r="I1389" t="str">
        <f>"060747000707"</f>
        <v>060747000707</v>
      </c>
    </row>
    <row r="1390" spans="1:9" x14ac:dyDescent="0.25">
      <c r="A1390" t="s">
        <v>1265</v>
      </c>
      <c r="B1390" t="s">
        <v>13</v>
      </c>
      <c r="C1390">
        <v>24.4</v>
      </c>
      <c r="D1390">
        <v>25.5</v>
      </c>
      <c r="E1390" t="s">
        <v>17</v>
      </c>
      <c r="F1390">
        <v>20.49</v>
      </c>
      <c r="G1390">
        <v>20.239999999999998</v>
      </c>
      <c r="H1390" t="s">
        <v>17</v>
      </c>
      <c r="I1390" t="str">
        <f>"060006105115"</f>
        <v>060006105115</v>
      </c>
    </row>
    <row r="1391" spans="1:9" x14ac:dyDescent="0.25">
      <c r="A1391" t="s">
        <v>1266</v>
      </c>
      <c r="B1391" t="s">
        <v>13</v>
      </c>
      <c r="C1391">
        <v>12</v>
      </c>
      <c r="D1391">
        <v>12.01</v>
      </c>
      <c r="E1391" t="s">
        <v>17</v>
      </c>
      <c r="F1391">
        <v>26.75</v>
      </c>
      <c r="G1391">
        <v>28.64</v>
      </c>
      <c r="H1391" t="s">
        <v>17</v>
      </c>
      <c r="I1391" t="str">
        <f>"062805004246"</f>
        <v>062805004246</v>
      </c>
    </row>
    <row r="1392" spans="1:9" x14ac:dyDescent="0.25">
      <c r="A1392" t="s">
        <v>1267</v>
      </c>
      <c r="B1392" t="s">
        <v>13</v>
      </c>
      <c r="C1392">
        <v>26.13</v>
      </c>
      <c r="D1392">
        <v>28</v>
      </c>
      <c r="E1392" t="s">
        <v>17</v>
      </c>
      <c r="F1392">
        <v>28.28</v>
      </c>
      <c r="G1392">
        <v>27.36</v>
      </c>
      <c r="H1392" t="s">
        <v>17</v>
      </c>
      <c r="I1392" t="str">
        <f>"060636000556"</f>
        <v>060636000556</v>
      </c>
    </row>
    <row r="1393" spans="1:9" x14ac:dyDescent="0.25">
      <c r="A1393" t="s">
        <v>1268</v>
      </c>
      <c r="B1393" t="s">
        <v>13</v>
      </c>
      <c r="C1393">
        <v>14.6</v>
      </c>
      <c r="D1393">
        <v>14.6</v>
      </c>
      <c r="E1393" t="s">
        <v>17</v>
      </c>
      <c r="F1393">
        <v>25.82</v>
      </c>
      <c r="G1393">
        <v>26.71</v>
      </c>
      <c r="H1393" t="s">
        <v>17</v>
      </c>
      <c r="I1393" t="str">
        <f>"061389009135"</f>
        <v>061389009135</v>
      </c>
    </row>
    <row r="1394" spans="1:9" x14ac:dyDescent="0.25">
      <c r="A1394" t="s">
        <v>1269</v>
      </c>
      <c r="B1394" t="s">
        <v>13</v>
      </c>
      <c r="C1394">
        <v>14.43</v>
      </c>
      <c r="D1394">
        <v>15.01</v>
      </c>
      <c r="E1394" t="s">
        <v>17</v>
      </c>
      <c r="F1394">
        <v>28.41</v>
      </c>
      <c r="G1394">
        <v>27.85</v>
      </c>
      <c r="H1394" t="s">
        <v>17</v>
      </c>
      <c r="I1394" t="str">
        <f>"060744000691"</f>
        <v>060744000691</v>
      </c>
    </row>
    <row r="1395" spans="1:9" x14ac:dyDescent="0.25">
      <c r="A1395" t="s">
        <v>1270</v>
      </c>
      <c r="B1395" t="s">
        <v>13</v>
      </c>
      <c r="C1395">
        <v>12</v>
      </c>
      <c r="D1395">
        <v>12.22</v>
      </c>
      <c r="E1395" t="s">
        <v>17</v>
      </c>
      <c r="F1395">
        <v>23.83</v>
      </c>
      <c r="G1395">
        <v>23.16</v>
      </c>
      <c r="H1395" t="s">
        <v>17</v>
      </c>
      <c r="I1395" t="str">
        <f>"060744012093"</f>
        <v>060744012093</v>
      </c>
    </row>
    <row r="1396" spans="1:9" x14ac:dyDescent="0.25">
      <c r="A1396" t="s">
        <v>1271</v>
      </c>
      <c r="B1396" t="s">
        <v>13</v>
      </c>
      <c r="C1396">
        <v>16</v>
      </c>
      <c r="D1396">
        <v>19</v>
      </c>
      <c r="E1396" t="s">
        <v>17</v>
      </c>
      <c r="F1396">
        <v>28.81</v>
      </c>
      <c r="G1396">
        <v>23.42</v>
      </c>
      <c r="H1396" t="s">
        <v>17</v>
      </c>
      <c r="I1396" t="str">
        <f>"063531005988"</f>
        <v>063531005988</v>
      </c>
    </row>
    <row r="1397" spans="1:9" x14ac:dyDescent="0.25">
      <c r="A1397" t="s">
        <v>1272</v>
      </c>
      <c r="B1397" t="s">
        <v>13</v>
      </c>
      <c r="C1397">
        <v>11.5</v>
      </c>
      <c r="D1397">
        <v>11.5</v>
      </c>
      <c r="E1397" t="s">
        <v>17</v>
      </c>
      <c r="F1397">
        <v>25.48</v>
      </c>
      <c r="G1397">
        <v>22.96</v>
      </c>
      <c r="H1397" t="s">
        <v>17</v>
      </c>
      <c r="I1397" t="str">
        <f>"063906004200"</f>
        <v>063906004200</v>
      </c>
    </row>
    <row r="1398" spans="1:9" x14ac:dyDescent="0.25">
      <c r="A1398" t="s">
        <v>1273</v>
      </c>
      <c r="B1398" t="s">
        <v>13</v>
      </c>
      <c r="C1398">
        <v>5</v>
      </c>
      <c r="D1398">
        <v>5</v>
      </c>
      <c r="E1398" t="s">
        <v>17</v>
      </c>
      <c r="F1398">
        <v>17.8</v>
      </c>
      <c r="G1398">
        <v>21.2</v>
      </c>
      <c r="H1398" t="s">
        <v>17</v>
      </c>
      <c r="I1398" t="str">
        <f>"062007002399"</f>
        <v>062007002399</v>
      </c>
    </row>
    <row r="1399" spans="1:9" x14ac:dyDescent="0.25">
      <c r="A1399" t="s">
        <v>1274</v>
      </c>
      <c r="B1399" t="s">
        <v>13</v>
      </c>
      <c r="C1399">
        <v>23</v>
      </c>
      <c r="D1399">
        <v>23</v>
      </c>
      <c r="E1399" t="s">
        <v>17</v>
      </c>
      <c r="F1399">
        <v>25.57</v>
      </c>
      <c r="G1399">
        <v>26.43</v>
      </c>
      <c r="H1399" t="s">
        <v>17</v>
      </c>
      <c r="I1399" t="str">
        <f>"061296003826"</f>
        <v>061296003826</v>
      </c>
    </row>
    <row r="1400" spans="1:9" x14ac:dyDescent="0.25">
      <c r="A1400" t="s">
        <v>1275</v>
      </c>
      <c r="B1400" t="s">
        <v>13</v>
      </c>
      <c r="C1400">
        <v>17.899999999999999</v>
      </c>
      <c r="D1400">
        <v>20</v>
      </c>
      <c r="E1400" t="s">
        <v>17</v>
      </c>
      <c r="F1400">
        <v>23.18</v>
      </c>
      <c r="G1400">
        <v>21.1</v>
      </c>
      <c r="H1400" t="s">
        <v>17</v>
      </c>
      <c r="I1400" t="str">
        <f>"064214006894"</f>
        <v>064214006894</v>
      </c>
    </row>
    <row r="1401" spans="1:9" x14ac:dyDescent="0.25">
      <c r="A1401" t="s">
        <v>1276</v>
      </c>
      <c r="B1401" t="s">
        <v>13</v>
      </c>
      <c r="C1401">
        <v>98.18</v>
      </c>
      <c r="D1401">
        <v>92.26</v>
      </c>
      <c r="E1401" t="s">
        <v>17</v>
      </c>
      <c r="F1401">
        <v>21.88</v>
      </c>
      <c r="G1401">
        <v>22.91</v>
      </c>
      <c r="H1401" t="s">
        <v>17</v>
      </c>
      <c r="I1401" t="str">
        <f>"063639006194"</f>
        <v>063639006194</v>
      </c>
    </row>
    <row r="1402" spans="1:9" x14ac:dyDescent="0.25">
      <c r="A1402" t="s">
        <v>1277</v>
      </c>
      <c r="B1402" t="s">
        <v>13</v>
      </c>
      <c r="C1402">
        <v>23</v>
      </c>
      <c r="D1402">
        <v>23</v>
      </c>
      <c r="E1402" t="s">
        <v>17</v>
      </c>
      <c r="F1402">
        <v>26.09</v>
      </c>
      <c r="G1402">
        <v>24.7</v>
      </c>
      <c r="H1402" t="s">
        <v>17</v>
      </c>
      <c r="I1402" t="str">
        <f>"062271012692"</f>
        <v>062271012692</v>
      </c>
    </row>
    <row r="1403" spans="1:9" x14ac:dyDescent="0.25">
      <c r="A1403" t="s">
        <v>1278</v>
      </c>
      <c r="B1403" t="s">
        <v>13</v>
      </c>
      <c r="C1403">
        <v>111.9</v>
      </c>
      <c r="D1403">
        <v>123.4</v>
      </c>
      <c r="E1403" t="s">
        <v>17</v>
      </c>
      <c r="F1403">
        <v>28.16</v>
      </c>
      <c r="G1403">
        <v>24.71</v>
      </c>
      <c r="H1403" t="s">
        <v>17</v>
      </c>
      <c r="I1403" t="str">
        <f>"060750000709"</f>
        <v>060750000709</v>
      </c>
    </row>
    <row r="1404" spans="1:9" x14ac:dyDescent="0.25">
      <c r="A1404" t="s">
        <v>1279</v>
      </c>
      <c r="B1404" t="s">
        <v>13</v>
      </c>
      <c r="C1404">
        <v>2.1</v>
      </c>
      <c r="D1404">
        <v>4</v>
      </c>
      <c r="E1404" t="s">
        <v>17</v>
      </c>
      <c r="F1404">
        <v>23.81</v>
      </c>
      <c r="G1404">
        <v>15</v>
      </c>
      <c r="H1404" t="s">
        <v>17</v>
      </c>
      <c r="I1404" t="str">
        <f>"060750008311"</f>
        <v>060750008311</v>
      </c>
    </row>
    <row r="1405" spans="1:9" x14ac:dyDescent="0.25">
      <c r="A1405" t="s">
        <v>1280</v>
      </c>
      <c r="B1405" t="s">
        <v>13</v>
      </c>
      <c r="C1405">
        <v>4.5</v>
      </c>
      <c r="D1405">
        <v>7.8</v>
      </c>
      <c r="E1405" t="s">
        <v>17</v>
      </c>
      <c r="F1405">
        <v>21.33</v>
      </c>
      <c r="G1405">
        <v>16.28</v>
      </c>
      <c r="H1405" t="s">
        <v>17</v>
      </c>
      <c r="I1405" t="str">
        <f>"060750000712"</f>
        <v>060750000712</v>
      </c>
    </row>
    <row r="1406" spans="1:9" x14ac:dyDescent="0.25">
      <c r="A1406" t="s">
        <v>1281</v>
      </c>
      <c r="B1406" t="s">
        <v>13</v>
      </c>
      <c r="C1406">
        <v>24.1</v>
      </c>
      <c r="D1406">
        <v>23.1</v>
      </c>
      <c r="E1406" t="s">
        <v>17</v>
      </c>
      <c r="F1406">
        <v>26.47</v>
      </c>
      <c r="G1406">
        <v>25.63</v>
      </c>
      <c r="H1406" t="s">
        <v>17</v>
      </c>
      <c r="I1406" t="str">
        <f>"064032006669"</f>
        <v>064032006669</v>
      </c>
    </row>
    <row r="1407" spans="1:9" x14ac:dyDescent="0.25">
      <c r="A1407" t="s">
        <v>1282</v>
      </c>
      <c r="B1407" t="s">
        <v>13</v>
      </c>
      <c r="C1407">
        <v>24</v>
      </c>
      <c r="D1407">
        <v>23</v>
      </c>
      <c r="E1407" t="s">
        <v>17</v>
      </c>
      <c r="F1407">
        <v>21.83</v>
      </c>
      <c r="G1407">
        <v>22.39</v>
      </c>
      <c r="H1407" t="s">
        <v>17</v>
      </c>
      <c r="I1407" t="str">
        <f>"063588006138"</f>
        <v>063588006138</v>
      </c>
    </row>
    <row r="1408" spans="1:9" x14ac:dyDescent="0.25">
      <c r="A1408" t="s">
        <v>1283</v>
      </c>
      <c r="B1408" t="s">
        <v>13</v>
      </c>
      <c r="C1408">
        <v>39.5</v>
      </c>
      <c r="D1408">
        <v>39.5</v>
      </c>
      <c r="E1408" t="s">
        <v>17</v>
      </c>
      <c r="F1408">
        <v>21.47</v>
      </c>
      <c r="G1408">
        <v>22.33</v>
      </c>
      <c r="H1408" t="s">
        <v>17</v>
      </c>
      <c r="I1408" t="str">
        <f>"063588006139"</f>
        <v>063588006139</v>
      </c>
    </row>
    <row r="1409" spans="1:9" x14ac:dyDescent="0.25">
      <c r="A1409" t="s">
        <v>1284</v>
      </c>
      <c r="B1409" t="s">
        <v>13</v>
      </c>
      <c r="C1409">
        <v>6</v>
      </c>
      <c r="D1409">
        <v>6</v>
      </c>
      <c r="E1409" t="s">
        <v>17</v>
      </c>
      <c r="F1409">
        <v>10.5</v>
      </c>
      <c r="G1409">
        <v>11.67</v>
      </c>
      <c r="H1409" t="s">
        <v>17</v>
      </c>
      <c r="I1409" t="str">
        <f>"063417007343"</f>
        <v>063417007343</v>
      </c>
    </row>
    <row r="1410" spans="1:9" x14ac:dyDescent="0.25">
      <c r="A1410" t="s">
        <v>1285</v>
      </c>
      <c r="B1410" t="s">
        <v>13</v>
      </c>
      <c r="C1410" t="s">
        <v>17</v>
      </c>
      <c r="D1410" t="s">
        <v>14</v>
      </c>
      <c r="E1410" t="s">
        <v>14</v>
      </c>
      <c r="F1410" t="s">
        <v>17</v>
      </c>
      <c r="G1410" t="s">
        <v>14</v>
      </c>
      <c r="H1410" t="s">
        <v>14</v>
      </c>
      <c r="I1410" t="str">
        <f>"060753013242"</f>
        <v>060753013242</v>
      </c>
    </row>
    <row r="1411" spans="1:9" x14ac:dyDescent="0.25">
      <c r="A1411" t="s">
        <v>1286</v>
      </c>
      <c r="B1411" t="s">
        <v>13</v>
      </c>
      <c r="C1411">
        <v>27.6</v>
      </c>
      <c r="D1411">
        <v>32.869999999999997</v>
      </c>
      <c r="E1411" t="s">
        <v>17</v>
      </c>
      <c r="F1411">
        <v>19.89</v>
      </c>
      <c r="G1411">
        <v>16.489999999999998</v>
      </c>
      <c r="H1411" t="s">
        <v>17</v>
      </c>
      <c r="I1411" t="str">
        <f>"063699003955"</f>
        <v>063699003955</v>
      </c>
    </row>
    <row r="1412" spans="1:9" x14ac:dyDescent="0.25">
      <c r="A1412" t="s">
        <v>1287</v>
      </c>
      <c r="B1412" t="s">
        <v>13</v>
      </c>
      <c r="C1412">
        <v>29.7</v>
      </c>
      <c r="D1412">
        <v>29</v>
      </c>
      <c r="E1412" t="s">
        <v>17</v>
      </c>
      <c r="F1412">
        <v>17.78</v>
      </c>
      <c r="G1412">
        <v>17.66</v>
      </c>
      <c r="H1412" t="s">
        <v>17</v>
      </c>
      <c r="I1412" t="str">
        <f>"061074001171"</f>
        <v>061074001171</v>
      </c>
    </row>
    <row r="1413" spans="1:9" x14ac:dyDescent="0.25">
      <c r="A1413" t="s">
        <v>1288</v>
      </c>
      <c r="B1413" t="s">
        <v>13</v>
      </c>
      <c r="C1413">
        <v>24</v>
      </c>
      <c r="D1413">
        <v>24</v>
      </c>
      <c r="E1413" t="s">
        <v>17</v>
      </c>
      <c r="F1413">
        <v>29</v>
      </c>
      <c r="G1413">
        <v>28.83</v>
      </c>
      <c r="H1413" t="s">
        <v>17</v>
      </c>
      <c r="I1413" t="str">
        <f>"060001409477"</f>
        <v>060001409477</v>
      </c>
    </row>
    <row r="1414" spans="1:9" x14ac:dyDescent="0.25">
      <c r="A1414" t="s">
        <v>1289</v>
      </c>
      <c r="B1414" t="s">
        <v>13</v>
      </c>
      <c r="C1414">
        <v>47.3</v>
      </c>
      <c r="D1414">
        <v>47.6</v>
      </c>
      <c r="E1414" t="s">
        <v>17</v>
      </c>
      <c r="F1414">
        <v>16.79</v>
      </c>
      <c r="G1414">
        <v>16.68</v>
      </c>
      <c r="H1414" t="s">
        <v>17</v>
      </c>
      <c r="I1414" t="str">
        <f>"060753000718"</f>
        <v>060753000718</v>
      </c>
    </row>
    <row r="1415" spans="1:9" x14ac:dyDescent="0.25">
      <c r="A1415" t="s">
        <v>1290</v>
      </c>
      <c r="B1415" t="s">
        <v>13</v>
      </c>
      <c r="C1415">
        <v>36.1</v>
      </c>
      <c r="D1415">
        <v>34.9</v>
      </c>
      <c r="E1415" t="s">
        <v>17</v>
      </c>
      <c r="F1415">
        <v>16.18</v>
      </c>
      <c r="G1415">
        <v>16.91</v>
      </c>
      <c r="H1415" t="s">
        <v>17</v>
      </c>
      <c r="I1415" t="str">
        <f>"060753000719"</f>
        <v>060753000719</v>
      </c>
    </row>
    <row r="1416" spans="1:9" x14ac:dyDescent="0.25">
      <c r="A1416" t="s">
        <v>1291</v>
      </c>
      <c r="B1416" t="s">
        <v>13</v>
      </c>
      <c r="C1416">
        <v>23</v>
      </c>
      <c r="D1416">
        <v>23</v>
      </c>
      <c r="E1416" t="s">
        <v>17</v>
      </c>
      <c r="F1416">
        <v>20.57</v>
      </c>
      <c r="G1416">
        <v>22.09</v>
      </c>
      <c r="H1416" t="s">
        <v>17</v>
      </c>
      <c r="I1416" t="str">
        <f>"060753000720"</f>
        <v>060753000720</v>
      </c>
    </row>
    <row r="1417" spans="1:9" x14ac:dyDescent="0.25">
      <c r="A1417" t="s">
        <v>1292</v>
      </c>
      <c r="B1417" t="s">
        <v>13</v>
      </c>
      <c r="C1417">
        <v>2.8</v>
      </c>
      <c r="D1417">
        <v>3</v>
      </c>
      <c r="E1417" t="s">
        <v>17</v>
      </c>
      <c r="F1417">
        <v>7.5</v>
      </c>
      <c r="G1417">
        <v>9</v>
      </c>
      <c r="H1417" t="s">
        <v>17</v>
      </c>
      <c r="I1417" t="str">
        <f>"060753000717"</f>
        <v>060753000717</v>
      </c>
    </row>
    <row r="1418" spans="1:9" x14ac:dyDescent="0.25">
      <c r="A1418" t="s">
        <v>1293</v>
      </c>
      <c r="B1418" t="s">
        <v>13</v>
      </c>
      <c r="C1418">
        <v>55.8</v>
      </c>
      <c r="D1418">
        <v>53.6</v>
      </c>
      <c r="E1418" t="s">
        <v>17</v>
      </c>
      <c r="F1418">
        <v>26.85</v>
      </c>
      <c r="G1418">
        <v>27.44</v>
      </c>
      <c r="H1418" t="s">
        <v>17</v>
      </c>
      <c r="I1418" t="str">
        <f>"063438008307"</f>
        <v>063438008307</v>
      </c>
    </row>
    <row r="1419" spans="1:9" x14ac:dyDescent="0.25">
      <c r="A1419" t="s">
        <v>1294</v>
      </c>
      <c r="B1419" t="s">
        <v>13</v>
      </c>
      <c r="C1419">
        <v>18</v>
      </c>
      <c r="D1419">
        <v>18</v>
      </c>
      <c r="E1419" t="s">
        <v>17</v>
      </c>
      <c r="F1419">
        <v>29.72</v>
      </c>
      <c r="G1419">
        <v>32.06</v>
      </c>
      <c r="H1419" t="s">
        <v>17</v>
      </c>
      <c r="I1419" t="str">
        <f>"063756007143"</f>
        <v>063756007143</v>
      </c>
    </row>
    <row r="1420" spans="1:9" x14ac:dyDescent="0.25">
      <c r="A1420" t="s">
        <v>1295</v>
      </c>
      <c r="B1420" t="s">
        <v>13</v>
      </c>
      <c r="C1420">
        <v>17.5</v>
      </c>
      <c r="D1420">
        <v>20.399999999999999</v>
      </c>
      <c r="E1420" t="s">
        <v>17</v>
      </c>
      <c r="F1420">
        <v>28.69</v>
      </c>
      <c r="G1420">
        <v>24.02</v>
      </c>
      <c r="H1420" t="s">
        <v>17</v>
      </c>
      <c r="I1420" t="str">
        <f>"060285010752"</f>
        <v>060285010752</v>
      </c>
    </row>
    <row r="1421" spans="1:9" x14ac:dyDescent="0.25">
      <c r="A1421" t="s">
        <v>1296</v>
      </c>
      <c r="B1421" t="s">
        <v>13</v>
      </c>
      <c r="C1421">
        <v>25.5</v>
      </c>
      <c r="D1421">
        <v>26.6</v>
      </c>
      <c r="E1421" t="s">
        <v>17</v>
      </c>
      <c r="F1421">
        <v>27.18</v>
      </c>
      <c r="G1421">
        <v>26.05</v>
      </c>
      <c r="H1421" t="s">
        <v>17</v>
      </c>
      <c r="I1421" t="str">
        <f>"060162000007"</f>
        <v>060162000007</v>
      </c>
    </row>
    <row r="1422" spans="1:9" x14ac:dyDescent="0.25">
      <c r="A1422" t="s">
        <v>1297</v>
      </c>
      <c r="B1422" t="s">
        <v>13</v>
      </c>
      <c r="C1422">
        <v>31</v>
      </c>
      <c r="D1422">
        <v>30.25</v>
      </c>
      <c r="E1422" t="s">
        <v>17</v>
      </c>
      <c r="F1422">
        <v>20.9</v>
      </c>
      <c r="G1422">
        <v>22.21</v>
      </c>
      <c r="H1422" t="s">
        <v>17</v>
      </c>
      <c r="I1422" t="str">
        <f>"063441005590"</f>
        <v>063441005590</v>
      </c>
    </row>
    <row r="1423" spans="1:9" x14ac:dyDescent="0.25">
      <c r="A1423" t="s">
        <v>1298</v>
      </c>
      <c r="B1423" t="s">
        <v>13</v>
      </c>
      <c r="C1423">
        <v>15.02</v>
      </c>
      <c r="D1423">
        <v>17.5</v>
      </c>
      <c r="E1423" t="s">
        <v>17</v>
      </c>
      <c r="F1423">
        <v>26.43</v>
      </c>
      <c r="G1423">
        <v>22.97</v>
      </c>
      <c r="H1423" t="s">
        <v>17</v>
      </c>
      <c r="I1423" t="str">
        <f>"063462005759"</f>
        <v>063462005759</v>
      </c>
    </row>
    <row r="1424" spans="1:9" x14ac:dyDescent="0.25">
      <c r="A1424" t="s">
        <v>1299</v>
      </c>
      <c r="B1424" t="s">
        <v>13</v>
      </c>
      <c r="C1424">
        <v>16</v>
      </c>
      <c r="D1424">
        <v>18</v>
      </c>
      <c r="E1424" t="s">
        <v>17</v>
      </c>
      <c r="F1424">
        <v>28.38</v>
      </c>
      <c r="G1424">
        <v>25.89</v>
      </c>
      <c r="H1424" t="s">
        <v>17</v>
      </c>
      <c r="I1424" t="str">
        <f>"060216000095"</f>
        <v>060216000095</v>
      </c>
    </row>
    <row r="1425" spans="1:9" x14ac:dyDescent="0.25">
      <c r="A1425" t="s">
        <v>1300</v>
      </c>
      <c r="B1425" t="s">
        <v>13</v>
      </c>
      <c r="C1425">
        <v>41</v>
      </c>
      <c r="D1425">
        <v>40</v>
      </c>
      <c r="E1425" t="s">
        <v>17</v>
      </c>
      <c r="F1425">
        <v>23.63</v>
      </c>
      <c r="G1425">
        <v>25.03</v>
      </c>
      <c r="H1425" t="s">
        <v>17</v>
      </c>
      <c r="I1425" t="str">
        <f>"062271002897"</f>
        <v>062271002897</v>
      </c>
    </row>
    <row r="1426" spans="1:9" x14ac:dyDescent="0.25">
      <c r="A1426" t="s">
        <v>1301</v>
      </c>
      <c r="B1426" t="s">
        <v>13</v>
      </c>
      <c r="C1426">
        <v>26.2</v>
      </c>
      <c r="D1426">
        <v>23.2</v>
      </c>
      <c r="E1426" t="s">
        <v>17</v>
      </c>
      <c r="F1426">
        <v>18.7</v>
      </c>
      <c r="G1426">
        <v>19.57</v>
      </c>
      <c r="H1426" t="s">
        <v>17</v>
      </c>
      <c r="I1426" t="str">
        <f>"060363000303"</f>
        <v>060363000303</v>
      </c>
    </row>
    <row r="1427" spans="1:9" x14ac:dyDescent="0.25">
      <c r="A1427" t="s">
        <v>1302</v>
      </c>
      <c r="B1427" t="s">
        <v>13</v>
      </c>
      <c r="C1427">
        <v>15</v>
      </c>
      <c r="D1427">
        <v>18.399999999999999</v>
      </c>
      <c r="E1427" t="s">
        <v>17</v>
      </c>
      <c r="F1427">
        <v>25.33</v>
      </c>
      <c r="G1427">
        <v>24.29</v>
      </c>
      <c r="H1427" t="s">
        <v>17</v>
      </c>
      <c r="I1427" t="str">
        <f>"063384005230"</f>
        <v>063384005230</v>
      </c>
    </row>
    <row r="1428" spans="1:9" x14ac:dyDescent="0.25">
      <c r="A1428" t="s">
        <v>1303</v>
      </c>
      <c r="B1428" t="s">
        <v>13</v>
      </c>
      <c r="C1428">
        <v>31</v>
      </c>
      <c r="D1428">
        <v>31.71</v>
      </c>
      <c r="E1428" t="s">
        <v>17</v>
      </c>
      <c r="F1428">
        <v>26.39</v>
      </c>
      <c r="G1428">
        <v>25.39</v>
      </c>
      <c r="H1428" t="s">
        <v>17</v>
      </c>
      <c r="I1428" t="str">
        <f>"061314011451"</f>
        <v>061314011451</v>
      </c>
    </row>
    <row r="1429" spans="1:9" x14ac:dyDescent="0.25">
      <c r="A1429" t="s">
        <v>1304</v>
      </c>
      <c r="B1429" t="s">
        <v>13</v>
      </c>
      <c r="C1429">
        <v>2</v>
      </c>
      <c r="D1429">
        <v>2</v>
      </c>
      <c r="E1429" t="s">
        <v>17</v>
      </c>
      <c r="F1429">
        <v>13</v>
      </c>
      <c r="G1429">
        <v>11.5</v>
      </c>
      <c r="H1429" t="s">
        <v>17</v>
      </c>
      <c r="I1429" t="str">
        <f>"063025001786"</f>
        <v>063025001786</v>
      </c>
    </row>
    <row r="1430" spans="1:9" x14ac:dyDescent="0.25">
      <c r="A1430" t="s">
        <v>1305</v>
      </c>
      <c r="B1430" t="s">
        <v>13</v>
      </c>
      <c r="C1430">
        <v>39</v>
      </c>
      <c r="D1430">
        <v>37</v>
      </c>
      <c r="E1430" t="s">
        <v>17</v>
      </c>
      <c r="F1430">
        <v>25.38</v>
      </c>
      <c r="G1430">
        <v>24.49</v>
      </c>
      <c r="H1430" t="s">
        <v>17</v>
      </c>
      <c r="I1430" t="str">
        <f>"062271002898"</f>
        <v>062271002898</v>
      </c>
    </row>
    <row r="1431" spans="1:9" x14ac:dyDescent="0.25">
      <c r="A1431" t="s">
        <v>1306</v>
      </c>
      <c r="B1431" t="s">
        <v>13</v>
      </c>
      <c r="C1431">
        <v>18</v>
      </c>
      <c r="D1431">
        <v>19.399999999999999</v>
      </c>
      <c r="E1431" t="s">
        <v>17</v>
      </c>
      <c r="F1431">
        <v>31.39</v>
      </c>
      <c r="G1431">
        <v>29.12</v>
      </c>
      <c r="H1431" t="s">
        <v>17</v>
      </c>
      <c r="I1431" t="str">
        <f>"061146001261"</f>
        <v>061146001261</v>
      </c>
    </row>
    <row r="1432" spans="1:9" x14ac:dyDescent="0.25">
      <c r="A1432" t="s">
        <v>1307</v>
      </c>
      <c r="B1432" t="s">
        <v>13</v>
      </c>
      <c r="C1432">
        <v>3</v>
      </c>
      <c r="D1432">
        <v>3</v>
      </c>
      <c r="E1432" t="s">
        <v>17</v>
      </c>
      <c r="F1432">
        <v>25</v>
      </c>
      <c r="G1432">
        <v>26</v>
      </c>
      <c r="H1432" t="s">
        <v>17</v>
      </c>
      <c r="I1432" t="str">
        <f>"060756011345"</f>
        <v>060756011345</v>
      </c>
    </row>
    <row r="1433" spans="1:9" x14ac:dyDescent="0.25">
      <c r="A1433" t="s">
        <v>1308</v>
      </c>
      <c r="B1433" t="s">
        <v>13</v>
      </c>
      <c r="C1433">
        <v>23.05</v>
      </c>
      <c r="D1433">
        <v>24.8</v>
      </c>
      <c r="E1433" t="s">
        <v>17</v>
      </c>
      <c r="F1433">
        <v>21.21</v>
      </c>
      <c r="G1433">
        <v>20.12</v>
      </c>
      <c r="H1433" t="s">
        <v>17</v>
      </c>
      <c r="I1433" t="str">
        <f>"060756000726"</f>
        <v>060756000726</v>
      </c>
    </row>
    <row r="1434" spans="1:9" x14ac:dyDescent="0.25">
      <c r="A1434" t="s">
        <v>1309</v>
      </c>
      <c r="B1434" t="s">
        <v>13</v>
      </c>
      <c r="C1434">
        <v>31.75</v>
      </c>
      <c r="D1434">
        <v>32</v>
      </c>
      <c r="E1434" t="s">
        <v>17</v>
      </c>
      <c r="F1434">
        <v>21.29</v>
      </c>
      <c r="G1434">
        <v>21.81</v>
      </c>
      <c r="H1434" t="s">
        <v>17</v>
      </c>
      <c r="I1434" t="str">
        <f>"060756000727"</f>
        <v>060756000727</v>
      </c>
    </row>
    <row r="1435" spans="1:9" x14ac:dyDescent="0.25">
      <c r="A1435" t="s">
        <v>1310</v>
      </c>
      <c r="B1435" t="s">
        <v>13</v>
      </c>
      <c r="C1435">
        <v>17</v>
      </c>
      <c r="D1435">
        <v>16.8</v>
      </c>
      <c r="E1435" t="s">
        <v>17</v>
      </c>
      <c r="F1435">
        <v>21.29</v>
      </c>
      <c r="G1435">
        <v>23.15</v>
      </c>
      <c r="H1435" t="s">
        <v>17</v>
      </c>
      <c r="I1435" t="str">
        <f>"061899002299"</f>
        <v>061899002299</v>
      </c>
    </row>
    <row r="1436" spans="1:9" x14ac:dyDescent="0.25">
      <c r="A1436" t="s">
        <v>1311</v>
      </c>
      <c r="B1436" t="s">
        <v>13</v>
      </c>
      <c r="C1436">
        <v>2.0099999999999998</v>
      </c>
      <c r="D1436">
        <v>2</v>
      </c>
      <c r="E1436" t="s">
        <v>17</v>
      </c>
      <c r="F1436">
        <v>12.94</v>
      </c>
      <c r="G1436">
        <v>13</v>
      </c>
      <c r="H1436" t="s">
        <v>17</v>
      </c>
      <c r="I1436" t="str">
        <f>"063398010561"</f>
        <v>063398010561</v>
      </c>
    </row>
    <row r="1437" spans="1:9" x14ac:dyDescent="0.25">
      <c r="A1437" t="s">
        <v>1312</v>
      </c>
      <c r="B1437" t="s">
        <v>13</v>
      </c>
      <c r="C1437">
        <v>17.03</v>
      </c>
      <c r="D1437">
        <v>18</v>
      </c>
      <c r="E1437" t="s">
        <v>17</v>
      </c>
      <c r="F1437">
        <v>26.89</v>
      </c>
      <c r="G1437">
        <v>27.67</v>
      </c>
      <c r="H1437" t="s">
        <v>17</v>
      </c>
      <c r="I1437" t="str">
        <f>"063462008971"</f>
        <v>063462008971</v>
      </c>
    </row>
    <row r="1438" spans="1:9" x14ac:dyDescent="0.25">
      <c r="A1438" t="s">
        <v>1313</v>
      </c>
      <c r="B1438" t="s">
        <v>13</v>
      </c>
      <c r="C1438">
        <v>36</v>
      </c>
      <c r="D1438">
        <v>33.5</v>
      </c>
      <c r="E1438" t="s">
        <v>17</v>
      </c>
      <c r="F1438">
        <v>28.58</v>
      </c>
      <c r="G1438">
        <v>29.28</v>
      </c>
      <c r="H1438" t="s">
        <v>17</v>
      </c>
      <c r="I1438" t="str">
        <f>"063488008314"</f>
        <v>063488008314</v>
      </c>
    </row>
    <row r="1439" spans="1:9" x14ac:dyDescent="0.25">
      <c r="A1439" t="s">
        <v>1314</v>
      </c>
      <c r="B1439" t="s">
        <v>13</v>
      </c>
      <c r="C1439">
        <v>30</v>
      </c>
      <c r="D1439">
        <v>27.8</v>
      </c>
      <c r="E1439" t="s">
        <v>17</v>
      </c>
      <c r="F1439">
        <v>25.23</v>
      </c>
      <c r="G1439">
        <v>25.43</v>
      </c>
      <c r="H1439" t="s">
        <v>17</v>
      </c>
      <c r="I1439" t="str">
        <f>"061111011017"</f>
        <v>061111011017</v>
      </c>
    </row>
    <row r="1440" spans="1:9" x14ac:dyDescent="0.25">
      <c r="A1440" t="s">
        <v>1315</v>
      </c>
      <c r="B1440" t="s">
        <v>13</v>
      </c>
      <c r="C1440">
        <v>2.2400000000000002</v>
      </c>
      <c r="D1440">
        <v>2.34</v>
      </c>
      <c r="E1440" t="s">
        <v>17</v>
      </c>
      <c r="F1440">
        <v>17.86</v>
      </c>
      <c r="G1440">
        <v>15.38</v>
      </c>
      <c r="H1440" t="s">
        <v>17</v>
      </c>
      <c r="I1440" t="str">
        <f>"060330000249"</f>
        <v>060330000249</v>
      </c>
    </row>
    <row r="1441" spans="1:9" x14ac:dyDescent="0.25">
      <c r="A1441" t="s">
        <v>1316</v>
      </c>
      <c r="B1441" t="s">
        <v>13</v>
      </c>
      <c r="C1441">
        <v>46.5</v>
      </c>
      <c r="D1441">
        <v>46.5</v>
      </c>
      <c r="E1441" t="s">
        <v>17</v>
      </c>
      <c r="F1441">
        <v>25.14</v>
      </c>
      <c r="G1441">
        <v>24.67</v>
      </c>
      <c r="H1441" t="s">
        <v>17</v>
      </c>
      <c r="I1441" t="str">
        <f>"061233011726"</f>
        <v>061233011726</v>
      </c>
    </row>
    <row r="1442" spans="1:9" x14ac:dyDescent="0.25">
      <c r="A1442" t="s">
        <v>1317</v>
      </c>
      <c r="B1442" t="s">
        <v>13</v>
      </c>
      <c r="C1442">
        <v>25</v>
      </c>
      <c r="D1442">
        <v>24.5</v>
      </c>
      <c r="E1442" t="s">
        <v>17</v>
      </c>
      <c r="F1442">
        <v>25.08</v>
      </c>
      <c r="G1442">
        <v>24.9</v>
      </c>
      <c r="H1442" t="s">
        <v>17</v>
      </c>
      <c r="I1442" t="str">
        <f>"060813000783"</f>
        <v>060813000783</v>
      </c>
    </row>
    <row r="1443" spans="1:9" x14ac:dyDescent="0.25">
      <c r="A1443" t="s">
        <v>1318</v>
      </c>
      <c r="B1443" t="s">
        <v>13</v>
      </c>
      <c r="C1443">
        <v>29.4</v>
      </c>
      <c r="D1443">
        <v>29.6</v>
      </c>
      <c r="E1443" t="s">
        <v>17</v>
      </c>
      <c r="F1443">
        <v>17.82</v>
      </c>
      <c r="G1443">
        <v>17.91</v>
      </c>
      <c r="H1443" t="s">
        <v>17</v>
      </c>
      <c r="I1443" t="str">
        <f>"063432005429"</f>
        <v>063432005429</v>
      </c>
    </row>
    <row r="1444" spans="1:9" x14ac:dyDescent="0.25">
      <c r="A1444" t="s">
        <v>1319</v>
      </c>
      <c r="B1444" t="s">
        <v>13</v>
      </c>
      <c r="C1444">
        <v>57.67</v>
      </c>
      <c r="D1444">
        <v>111.89</v>
      </c>
      <c r="E1444" t="s">
        <v>17</v>
      </c>
      <c r="F1444">
        <v>27.24</v>
      </c>
      <c r="G1444">
        <v>25.21</v>
      </c>
      <c r="H1444" t="s">
        <v>17</v>
      </c>
      <c r="I1444" t="str">
        <f>"062271002899"</f>
        <v>062271002899</v>
      </c>
    </row>
    <row r="1445" spans="1:9" x14ac:dyDescent="0.25">
      <c r="A1445" t="s">
        <v>1320</v>
      </c>
      <c r="B1445" t="s">
        <v>13</v>
      </c>
      <c r="C1445">
        <v>28</v>
      </c>
      <c r="D1445">
        <v>29</v>
      </c>
      <c r="E1445" t="s">
        <v>17</v>
      </c>
      <c r="F1445">
        <v>23.32</v>
      </c>
      <c r="G1445">
        <v>23</v>
      </c>
      <c r="H1445" t="s">
        <v>17</v>
      </c>
      <c r="I1445" t="str">
        <f>"062271002900"</f>
        <v>062271002900</v>
      </c>
    </row>
    <row r="1446" spans="1:9" x14ac:dyDescent="0.25">
      <c r="A1446" t="s">
        <v>1321</v>
      </c>
      <c r="B1446" t="s">
        <v>13</v>
      </c>
      <c r="C1446">
        <v>28</v>
      </c>
      <c r="D1446">
        <v>27</v>
      </c>
      <c r="E1446" t="s">
        <v>17</v>
      </c>
      <c r="F1446">
        <v>23.29</v>
      </c>
      <c r="G1446">
        <v>23.52</v>
      </c>
      <c r="H1446" t="s">
        <v>17</v>
      </c>
      <c r="I1446" t="str">
        <f>"062271012721"</f>
        <v>062271012721</v>
      </c>
    </row>
    <row r="1447" spans="1:9" x14ac:dyDescent="0.25">
      <c r="A1447" t="s">
        <v>1322</v>
      </c>
      <c r="B1447" t="s">
        <v>13</v>
      </c>
      <c r="C1447">
        <v>12.2</v>
      </c>
      <c r="D1447">
        <v>15.2</v>
      </c>
      <c r="E1447" t="s">
        <v>17</v>
      </c>
      <c r="F1447">
        <v>28.28</v>
      </c>
      <c r="G1447">
        <v>26.71</v>
      </c>
      <c r="H1447" t="s">
        <v>17</v>
      </c>
      <c r="I1447" t="str">
        <f>"061455008697"</f>
        <v>061455008697</v>
      </c>
    </row>
    <row r="1448" spans="1:9" x14ac:dyDescent="0.25">
      <c r="A1448" t="s">
        <v>1323</v>
      </c>
      <c r="B1448" t="s">
        <v>13</v>
      </c>
      <c r="C1448">
        <v>13</v>
      </c>
      <c r="D1448">
        <v>14</v>
      </c>
      <c r="E1448" t="s">
        <v>17</v>
      </c>
      <c r="F1448">
        <v>25.31</v>
      </c>
      <c r="G1448">
        <v>27</v>
      </c>
      <c r="H1448" t="s">
        <v>17</v>
      </c>
      <c r="I1448" t="str">
        <f>"062271002901"</f>
        <v>062271002901</v>
      </c>
    </row>
    <row r="1449" spans="1:9" x14ac:dyDescent="0.25">
      <c r="A1449" t="s">
        <v>1324</v>
      </c>
      <c r="B1449" t="s">
        <v>13</v>
      </c>
      <c r="C1449">
        <v>41.2</v>
      </c>
      <c r="D1449">
        <v>43.5</v>
      </c>
      <c r="E1449" t="s">
        <v>17</v>
      </c>
      <c r="F1449">
        <v>18.79</v>
      </c>
      <c r="G1449">
        <v>18.05</v>
      </c>
      <c r="H1449" t="s">
        <v>17</v>
      </c>
      <c r="I1449" t="str">
        <f>"060006700730"</f>
        <v>060006700730</v>
      </c>
    </row>
    <row r="1450" spans="1:9" x14ac:dyDescent="0.25">
      <c r="A1450" t="s">
        <v>1325</v>
      </c>
      <c r="B1450" t="s">
        <v>13</v>
      </c>
      <c r="C1450">
        <v>25.5</v>
      </c>
      <c r="D1450">
        <v>23.5</v>
      </c>
      <c r="E1450" t="s">
        <v>17</v>
      </c>
      <c r="F1450">
        <v>22.12</v>
      </c>
      <c r="G1450">
        <v>22.64</v>
      </c>
      <c r="H1450" t="s">
        <v>17</v>
      </c>
      <c r="I1450" t="str">
        <f>"060006700731"</f>
        <v>060006700731</v>
      </c>
    </row>
    <row r="1451" spans="1:9" x14ac:dyDescent="0.25">
      <c r="A1451" t="s">
        <v>1326</v>
      </c>
      <c r="B1451" t="s">
        <v>13</v>
      </c>
      <c r="C1451">
        <v>22.8</v>
      </c>
      <c r="D1451">
        <v>22.5</v>
      </c>
      <c r="E1451" t="s">
        <v>17</v>
      </c>
      <c r="F1451">
        <v>25.96</v>
      </c>
      <c r="G1451">
        <v>26.4</v>
      </c>
      <c r="H1451" t="s">
        <v>17</v>
      </c>
      <c r="I1451" t="str">
        <f>"060162000008"</f>
        <v>060162000008</v>
      </c>
    </row>
    <row r="1452" spans="1:9" x14ac:dyDescent="0.25">
      <c r="A1452" t="s">
        <v>1327</v>
      </c>
      <c r="B1452" t="s">
        <v>13</v>
      </c>
      <c r="C1452">
        <v>14</v>
      </c>
      <c r="D1452">
        <v>14.2</v>
      </c>
      <c r="E1452" t="s">
        <v>17</v>
      </c>
      <c r="F1452">
        <v>17.29</v>
      </c>
      <c r="G1452">
        <v>17.54</v>
      </c>
      <c r="H1452" t="s">
        <v>17</v>
      </c>
      <c r="I1452" t="str">
        <f>"063441005616"</f>
        <v>063441005616</v>
      </c>
    </row>
    <row r="1453" spans="1:9" x14ac:dyDescent="0.25">
      <c r="A1453" t="s">
        <v>1328</v>
      </c>
      <c r="B1453" t="s">
        <v>13</v>
      </c>
      <c r="C1453">
        <v>6.01</v>
      </c>
      <c r="D1453">
        <v>6</v>
      </c>
      <c r="E1453" t="s">
        <v>17</v>
      </c>
      <c r="F1453">
        <v>22.46</v>
      </c>
      <c r="G1453">
        <v>20</v>
      </c>
      <c r="H1453" t="s">
        <v>17</v>
      </c>
      <c r="I1453" t="str">
        <f>"061455001714"</f>
        <v>061455001714</v>
      </c>
    </row>
    <row r="1454" spans="1:9" x14ac:dyDescent="0.25">
      <c r="A1454" t="s">
        <v>1329</v>
      </c>
      <c r="B1454" t="s">
        <v>13</v>
      </c>
      <c r="C1454">
        <v>17</v>
      </c>
      <c r="D1454">
        <v>17.5</v>
      </c>
      <c r="E1454" t="s">
        <v>17</v>
      </c>
      <c r="F1454">
        <v>26.24</v>
      </c>
      <c r="G1454">
        <v>25.2</v>
      </c>
      <c r="H1454" t="s">
        <v>17</v>
      </c>
      <c r="I1454" t="str">
        <f>"062250002706"</f>
        <v>062250002706</v>
      </c>
    </row>
    <row r="1455" spans="1:9" x14ac:dyDescent="0.25">
      <c r="A1455" t="s">
        <v>1329</v>
      </c>
      <c r="B1455" t="s">
        <v>13</v>
      </c>
      <c r="C1455">
        <v>17.5</v>
      </c>
      <c r="D1455">
        <v>18.5</v>
      </c>
      <c r="E1455" t="s">
        <v>17</v>
      </c>
      <c r="F1455">
        <v>19.940000000000001</v>
      </c>
      <c r="G1455">
        <v>19.14</v>
      </c>
      <c r="H1455" t="s">
        <v>17</v>
      </c>
      <c r="I1455" t="str">
        <f>"060962000974"</f>
        <v>060962000974</v>
      </c>
    </row>
    <row r="1456" spans="1:9" x14ac:dyDescent="0.25">
      <c r="A1456" t="s">
        <v>1329</v>
      </c>
      <c r="B1456" t="s">
        <v>13</v>
      </c>
      <c r="C1456">
        <v>28.5</v>
      </c>
      <c r="D1456">
        <v>26</v>
      </c>
      <c r="E1456" t="s">
        <v>17</v>
      </c>
      <c r="F1456">
        <v>21.68</v>
      </c>
      <c r="G1456">
        <v>23.15</v>
      </c>
      <c r="H1456" t="s">
        <v>17</v>
      </c>
      <c r="I1456" t="str">
        <f>"063486005884"</f>
        <v>063486005884</v>
      </c>
    </row>
    <row r="1457" spans="1:9" x14ac:dyDescent="0.25">
      <c r="A1457" t="s">
        <v>1329</v>
      </c>
      <c r="B1457" t="s">
        <v>13</v>
      </c>
      <c r="C1457">
        <v>16.75</v>
      </c>
      <c r="D1457">
        <v>19</v>
      </c>
      <c r="E1457" t="s">
        <v>17</v>
      </c>
      <c r="F1457">
        <v>13.79</v>
      </c>
      <c r="G1457">
        <v>13.37</v>
      </c>
      <c r="H1457" t="s">
        <v>17</v>
      </c>
      <c r="I1457" t="str">
        <f>"063432005430"</f>
        <v>063432005430</v>
      </c>
    </row>
    <row r="1458" spans="1:9" x14ac:dyDescent="0.25">
      <c r="A1458" t="s">
        <v>1330</v>
      </c>
      <c r="B1458" t="s">
        <v>13</v>
      </c>
      <c r="C1458">
        <v>18</v>
      </c>
      <c r="D1458">
        <v>16</v>
      </c>
      <c r="E1458" t="s">
        <v>17</v>
      </c>
      <c r="F1458">
        <v>27.94</v>
      </c>
      <c r="G1458">
        <v>26.69</v>
      </c>
      <c r="H1458" t="s">
        <v>17</v>
      </c>
      <c r="I1458" t="str">
        <f>"061296009365"</f>
        <v>061296009365</v>
      </c>
    </row>
    <row r="1459" spans="1:9" x14ac:dyDescent="0.25">
      <c r="A1459" t="s">
        <v>1331</v>
      </c>
      <c r="B1459" t="s">
        <v>13</v>
      </c>
      <c r="C1459">
        <v>14.2</v>
      </c>
      <c r="D1459">
        <v>14</v>
      </c>
      <c r="E1459" t="s">
        <v>17</v>
      </c>
      <c r="F1459">
        <v>25.85</v>
      </c>
      <c r="G1459">
        <v>27.86</v>
      </c>
      <c r="H1459" t="s">
        <v>17</v>
      </c>
      <c r="I1459" t="str">
        <f>"062025002427"</f>
        <v>062025002427</v>
      </c>
    </row>
    <row r="1460" spans="1:9" x14ac:dyDescent="0.25">
      <c r="A1460" t="s">
        <v>1332</v>
      </c>
      <c r="B1460" t="s">
        <v>13</v>
      </c>
      <c r="C1460">
        <v>75.7</v>
      </c>
      <c r="D1460">
        <v>77.7</v>
      </c>
      <c r="E1460" t="s">
        <v>17</v>
      </c>
      <c r="F1460">
        <v>22.96</v>
      </c>
      <c r="G1460">
        <v>22.47</v>
      </c>
      <c r="H1460" t="s">
        <v>17</v>
      </c>
      <c r="I1460" t="str">
        <f>"063025004715"</f>
        <v>063025004715</v>
      </c>
    </row>
    <row r="1461" spans="1:9" x14ac:dyDescent="0.25">
      <c r="A1461" t="s">
        <v>1333</v>
      </c>
      <c r="B1461" t="s">
        <v>13</v>
      </c>
      <c r="C1461">
        <v>39.299999999999997</v>
      </c>
      <c r="D1461">
        <v>40.71</v>
      </c>
      <c r="E1461" t="s">
        <v>17</v>
      </c>
      <c r="F1461">
        <v>21.53</v>
      </c>
      <c r="G1461">
        <v>21.2</v>
      </c>
      <c r="H1461" t="s">
        <v>17</v>
      </c>
      <c r="I1461" t="str">
        <f>"060363000290"</f>
        <v>060363000290</v>
      </c>
    </row>
    <row r="1462" spans="1:9" x14ac:dyDescent="0.25">
      <c r="A1462" t="s">
        <v>1334</v>
      </c>
      <c r="B1462" t="s">
        <v>13</v>
      </c>
      <c r="C1462">
        <v>25</v>
      </c>
      <c r="D1462">
        <v>22</v>
      </c>
      <c r="E1462" t="s">
        <v>17</v>
      </c>
      <c r="F1462">
        <v>17.68</v>
      </c>
      <c r="G1462">
        <v>15.55</v>
      </c>
      <c r="H1462" t="s">
        <v>17</v>
      </c>
      <c r="I1462" t="str">
        <f>"063417011985"</f>
        <v>063417011985</v>
      </c>
    </row>
    <row r="1463" spans="1:9" x14ac:dyDescent="0.25">
      <c r="A1463" t="s">
        <v>1335</v>
      </c>
      <c r="B1463" t="s">
        <v>13</v>
      </c>
      <c r="C1463">
        <v>55.79</v>
      </c>
      <c r="D1463">
        <v>61.84</v>
      </c>
      <c r="E1463" t="s">
        <v>17</v>
      </c>
      <c r="F1463">
        <v>25.54</v>
      </c>
      <c r="G1463">
        <v>24.37</v>
      </c>
      <c r="H1463" t="s">
        <v>17</v>
      </c>
      <c r="I1463" t="str">
        <f>"063462005761"</f>
        <v>063462005761</v>
      </c>
    </row>
    <row r="1464" spans="1:9" x14ac:dyDescent="0.25">
      <c r="A1464" t="s">
        <v>1336</v>
      </c>
      <c r="B1464" t="s">
        <v>13</v>
      </c>
      <c r="C1464">
        <v>1</v>
      </c>
      <c r="D1464">
        <v>1</v>
      </c>
      <c r="E1464" t="s">
        <v>17</v>
      </c>
      <c r="F1464">
        <v>10</v>
      </c>
      <c r="G1464">
        <v>9</v>
      </c>
      <c r="H1464" t="s">
        <v>17</v>
      </c>
      <c r="I1464" t="str">
        <f>"060768007441"</f>
        <v>060768007441</v>
      </c>
    </row>
    <row r="1465" spans="1:9" x14ac:dyDescent="0.25">
      <c r="A1465" t="s">
        <v>1337</v>
      </c>
      <c r="B1465" t="s">
        <v>13</v>
      </c>
      <c r="C1465">
        <v>1.1399999999999999</v>
      </c>
      <c r="D1465">
        <v>1.28</v>
      </c>
      <c r="E1465" t="s">
        <v>17</v>
      </c>
      <c r="F1465">
        <v>5.26</v>
      </c>
      <c r="G1465">
        <v>3.13</v>
      </c>
      <c r="H1465" t="s">
        <v>17</v>
      </c>
      <c r="I1465" t="str">
        <f>"060658002824"</f>
        <v>060658002824</v>
      </c>
    </row>
    <row r="1466" spans="1:9" x14ac:dyDescent="0.25">
      <c r="A1466" t="s">
        <v>1338</v>
      </c>
      <c r="B1466" t="s">
        <v>13</v>
      </c>
      <c r="C1466">
        <v>31.05</v>
      </c>
      <c r="D1466">
        <v>30</v>
      </c>
      <c r="E1466" t="s">
        <v>17</v>
      </c>
      <c r="F1466">
        <v>28.02</v>
      </c>
      <c r="G1466">
        <v>28.13</v>
      </c>
      <c r="H1466" t="s">
        <v>17</v>
      </c>
      <c r="I1466" t="str">
        <f>"063237004988"</f>
        <v>063237004988</v>
      </c>
    </row>
    <row r="1467" spans="1:9" x14ac:dyDescent="0.25">
      <c r="A1467" t="s">
        <v>1339</v>
      </c>
      <c r="B1467" t="s">
        <v>13</v>
      </c>
      <c r="C1467">
        <v>29</v>
      </c>
      <c r="D1467">
        <v>29</v>
      </c>
      <c r="E1467" t="s">
        <v>17</v>
      </c>
      <c r="F1467">
        <v>19.86</v>
      </c>
      <c r="G1467">
        <v>20.59</v>
      </c>
      <c r="H1467" t="s">
        <v>17</v>
      </c>
      <c r="I1467" t="str">
        <f>"060861007646"</f>
        <v>060861007646</v>
      </c>
    </row>
    <row r="1468" spans="1:9" x14ac:dyDescent="0.25">
      <c r="A1468" t="s">
        <v>1340</v>
      </c>
      <c r="B1468" t="s">
        <v>13</v>
      </c>
      <c r="C1468">
        <v>22.21</v>
      </c>
      <c r="D1468">
        <v>21.84</v>
      </c>
      <c r="E1468" t="s">
        <v>17</v>
      </c>
      <c r="F1468">
        <v>30.26</v>
      </c>
      <c r="G1468">
        <v>30.27</v>
      </c>
      <c r="H1468" t="s">
        <v>17</v>
      </c>
      <c r="I1468" t="str">
        <f>"063942006555"</f>
        <v>063942006555</v>
      </c>
    </row>
    <row r="1469" spans="1:9" x14ac:dyDescent="0.25">
      <c r="A1469" t="s">
        <v>1341</v>
      </c>
      <c r="B1469" t="s">
        <v>13</v>
      </c>
      <c r="C1469">
        <v>23</v>
      </c>
      <c r="D1469">
        <v>23</v>
      </c>
      <c r="E1469" t="s">
        <v>17</v>
      </c>
      <c r="F1469">
        <v>26.39</v>
      </c>
      <c r="G1469">
        <v>26.39</v>
      </c>
      <c r="H1469" t="s">
        <v>17</v>
      </c>
      <c r="I1469" t="str">
        <f>"064119006816"</f>
        <v>064119006816</v>
      </c>
    </row>
    <row r="1470" spans="1:9" x14ac:dyDescent="0.25">
      <c r="A1470" t="s">
        <v>1342</v>
      </c>
      <c r="B1470" t="s">
        <v>13</v>
      </c>
      <c r="C1470">
        <v>29.2</v>
      </c>
      <c r="D1470">
        <v>29.4</v>
      </c>
      <c r="E1470" t="s">
        <v>17</v>
      </c>
      <c r="F1470">
        <v>20</v>
      </c>
      <c r="G1470">
        <v>19.66</v>
      </c>
      <c r="H1470" t="s">
        <v>17</v>
      </c>
      <c r="I1470" t="str">
        <f>"060774000738"</f>
        <v>060774000738</v>
      </c>
    </row>
    <row r="1471" spans="1:9" x14ac:dyDescent="0.25">
      <c r="A1471" t="s">
        <v>1343</v>
      </c>
      <c r="B1471" t="s">
        <v>13</v>
      </c>
      <c r="C1471">
        <v>38.6</v>
      </c>
      <c r="D1471">
        <v>41.1</v>
      </c>
      <c r="E1471" t="s">
        <v>17</v>
      </c>
      <c r="F1471">
        <v>26.58</v>
      </c>
      <c r="G1471">
        <v>26.25</v>
      </c>
      <c r="H1471" t="s">
        <v>17</v>
      </c>
      <c r="I1471" t="str">
        <f>"060774009121"</f>
        <v>060774009121</v>
      </c>
    </row>
    <row r="1472" spans="1:9" x14ac:dyDescent="0.25">
      <c r="A1472" t="s">
        <v>1344</v>
      </c>
      <c r="B1472" t="s">
        <v>13</v>
      </c>
      <c r="C1472">
        <v>26</v>
      </c>
      <c r="D1472">
        <v>26</v>
      </c>
      <c r="E1472" t="s">
        <v>17</v>
      </c>
      <c r="F1472">
        <v>24.54</v>
      </c>
      <c r="G1472">
        <v>24.46</v>
      </c>
      <c r="H1472" t="s">
        <v>17</v>
      </c>
      <c r="I1472" t="str">
        <f>"062271002903"</f>
        <v>062271002903</v>
      </c>
    </row>
    <row r="1473" spans="1:9" x14ac:dyDescent="0.25">
      <c r="A1473" t="s">
        <v>1345</v>
      </c>
      <c r="B1473" t="s">
        <v>13</v>
      </c>
      <c r="C1473">
        <v>2</v>
      </c>
      <c r="D1473">
        <v>2</v>
      </c>
      <c r="E1473" t="s">
        <v>17</v>
      </c>
      <c r="F1473">
        <v>21.5</v>
      </c>
      <c r="G1473">
        <v>18.5</v>
      </c>
      <c r="H1473" t="s">
        <v>17</v>
      </c>
      <c r="I1473" t="str">
        <f>"063759006365"</f>
        <v>063759006365</v>
      </c>
    </row>
    <row r="1474" spans="1:9" x14ac:dyDescent="0.25">
      <c r="A1474" t="s">
        <v>1346</v>
      </c>
      <c r="B1474" t="s">
        <v>13</v>
      </c>
      <c r="C1474">
        <v>22.19</v>
      </c>
      <c r="D1474">
        <v>21.8</v>
      </c>
      <c r="E1474" t="s">
        <v>17</v>
      </c>
      <c r="F1474">
        <v>29.34</v>
      </c>
      <c r="G1474">
        <v>27.89</v>
      </c>
      <c r="H1474" t="s">
        <v>17</v>
      </c>
      <c r="I1474" t="str">
        <f>"060744000686"</f>
        <v>060744000686</v>
      </c>
    </row>
    <row r="1475" spans="1:9" x14ac:dyDescent="0.25">
      <c r="A1475" t="s">
        <v>1347</v>
      </c>
      <c r="B1475" t="s">
        <v>13</v>
      </c>
      <c r="C1475">
        <v>57.98</v>
      </c>
      <c r="D1475">
        <v>60</v>
      </c>
      <c r="E1475" t="s">
        <v>17</v>
      </c>
      <c r="F1475">
        <v>21.51</v>
      </c>
      <c r="G1475">
        <v>21.07</v>
      </c>
      <c r="H1475" t="s">
        <v>17</v>
      </c>
      <c r="I1475" t="str">
        <f>"063459005707"</f>
        <v>063459005707</v>
      </c>
    </row>
    <row r="1476" spans="1:9" x14ac:dyDescent="0.25">
      <c r="A1476" t="s">
        <v>1348</v>
      </c>
      <c r="B1476" t="s">
        <v>13</v>
      </c>
      <c r="C1476">
        <v>23</v>
      </c>
      <c r="D1476">
        <v>23</v>
      </c>
      <c r="E1476" t="s">
        <v>17</v>
      </c>
      <c r="F1476">
        <v>24.91</v>
      </c>
      <c r="G1476">
        <v>24.96</v>
      </c>
      <c r="H1476" t="s">
        <v>17</v>
      </c>
      <c r="I1476" t="str">
        <f>"062271002904"</f>
        <v>062271002904</v>
      </c>
    </row>
    <row r="1477" spans="1:9" x14ac:dyDescent="0.25">
      <c r="A1477" t="s">
        <v>1349</v>
      </c>
      <c r="B1477" t="s">
        <v>13</v>
      </c>
      <c r="C1477">
        <v>23</v>
      </c>
      <c r="D1477">
        <v>20</v>
      </c>
      <c r="E1477" t="s">
        <v>17</v>
      </c>
      <c r="F1477">
        <v>19.52</v>
      </c>
      <c r="G1477">
        <v>20.05</v>
      </c>
      <c r="H1477" t="s">
        <v>17</v>
      </c>
      <c r="I1477" t="str">
        <f>"060861000856"</f>
        <v>060861000856</v>
      </c>
    </row>
    <row r="1478" spans="1:9" x14ac:dyDescent="0.25">
      <c r="A1478" t="s">
        <v>1350</v>
      </c>
      <c r="B1478" t="s">
        <v>13</v>
      </c>
      <c r="C1478">
        <v>32</v>
      </c>
      <c r="D1478">
        <v>40.46</v>
      </c>
      <c r="E1478" t="s">
        <v>17</v>
      </c>
      <c r="F1478">
        <v>26.03</v>
      </c>
      <c r="G1478">
        <v>25.28</v>
      </c>
      <c r="H1478" t="s">
        <v>17</v>
      </c>
      <c r="I1478" t="str">
        <f>"063864006476"</f>
        <v>063864006476</v>
      </c>
    </row>
    <row r="1479" spans="1:9" x14ac:dyDescent="0.25">
      <c r="A1479" t="s">
        <v>1351</v>
      </c>
      <c r="B1479" t="s">
        <v>13</v>
      </c>
      <c r="C1479">
        <v>68.05</v>
      </c>
      <c r="D1479">
        <v>64.16</v>
      </c>
      <c r="E1479" t="s">
        <v>17</v>
      </c>
      <c r="F1479">
        <v>25.53</v>
      </c>
      <c r="G1479">
        <v>25.83</v>
      </c>
      <c r="H1479" t="s">
        <v>17</v>
      </c>
      <c r="I1479" t="str">
        <f>"063864006477"</f>
        <v>063864006477</v>
      </c>
    </row>
    <row r="1480" spans="1:9" x14ac:dyDescent="0.25">
      <c r="A1480" t="s">
        <v>1352</v>
      </c>
      <c r="B1480" t="s">
        <v>13</v>
      </c>
      <c r="C1480">
        <v>14.67</v>
      </c>
      <c r="D1480">
        <v>15.88</v>
      </c>
      <c r="E1480" t="s">
        <v>17</v>
      </c>
      <c r="F1480">
        <v>22.63</v>
      </c>
      <c r="G1480">
        <v>21.16</v>
      </c>
      <c r="H1480" t="s">
        <v>17</v>
      </c>
      <c r="I1480" t="str">
        <f>"069106308694"</f>
        <v>069106308694</v>
      </c>
    </row>
    <row r="1481" spans="1:9" x14ac:dyDescent="0.25">
      <c r="A1481" t="s">
        <v>1353</v>
      </c>
      <c r="B1481" t="s">
        <v>13</v>
      </c>
      <c r="C1481">
        <v>21.15</v>
      </c>
      <c r="D1481">
        <v>21.06</v>
      </c>
      <c r="E1481" t="s">
        <v>17</v>
      </c>
      <c r="F1481">
        <v>27.23</v>
      </c>
      <c r="G1481">
        <v>25.31</v>
      </c>
      <c r="H1481" t="s">
        <v>17</v>
      </c>
      <c r="I1481" t="str">
        <f>"064128006833"</f>
        <v>064128006833</v>
      </c>
    </row>
    <row r="1482" spans="1:9" x14ac:dyDescent="0.25">
      <c r="A1482" t="s">
        <v>1353</v>
      </c>
      <c r="B1482" t="s">
        <v>13</v>
      </c>
      <c r="C1482">
        <v>3.8</v>
      </c>
      <c r="D1482">
        <v>4</v>
      </c>
      <c r="E1482" t="s">
        <v>17</v>
      </c>
      <c r="F1482">
        <v>20</v>
      </c>
      <c r="G1482">
        <v>17</v>
      </c>
      <c r="H1482" t="s">
        <v>17</v>
      </c>
      <c r="I1482" t="str">
        <f>"060777000739"</f>
        <v>060777000739</v>
      </c>
    </row>
    <row r="1483" spans="1:9" x14ac:dyDescent="0.25">
      <c r="A1483" t="s">
        <v>1353</v>
      </c>
      <c r="B1483" t="s">
        <v>13</v>
      </c>
      <c r="C1483" t="s">
        <v>14</v>
      </c>
      <c r="D1483">
        <v>23</v>
      </c>
      <c r="E1483" t="s">
        <v>17</v>
      </c>
      <c r="F1483" t="s">
        <v>14</v>
      </c>
      <c r="G1483">
        <v>20.43</v>
      </c>
      <c r="H1483" t="s">
        <v>17</v>
      </c>
      <c r="I1483" t="str">
        <f>"064302009659"</f>
        <v>064302009659</v>
      </c>
    </row>
    <row r="1484" spans="1:9" x14ac:dyDescent="0.25">
      <c r="A1484" t="s">
        <v>1353</v>
      </c>
      <c r="B1484" t="s">
        <v>13</v>
      </c>
      <c r="C1484" t="s">
        <v>17</v>
      </c>
      <c r="D1484" t="s">
        <v>14</v>
      </c>
      <c r="E1484" t="s">
        <v>14</v>
      </c>
      <c r="F1484" t="s">
        <v>17</v>
      </c>
      <c r="G1484" t="s">
        <v>14</v>
      </c>
      <c r="H1484" t="s">
        <v>14</v>
      </c>
      <c r="I1484" t="str">
        <f>"060141809659"</f>
        <v>060141809659</v>
      </c>
    </row>
    <row r="1485" spans="1:9" x14ac:dyDescent="0.25">
      <c r="A1485" t="s">
        <v>1354</v>
      </c>
      <c r="B1485" t="s">
        <v>13</v>
      </c>
      <c r="C1485">
        <v>23.49</v>
      </c>
      <c r="D1485">
        <v>22.67</v>
      </c>
      <c r="E1485" t="s">
        <v>17</v>
      </c>
      <c r="F1485">
        <v>26.39</v>
      </c>
      <c r="G1485">
        <v>24.92</v>
      </c>
      <c r="H1485" t="s">
        <v>17</v>
      </c>
      <c r="I1485" t="str">
        <f>"063315005133"</f>
        <v>063315005133</v>
      </c>
    </row>
    <row r="1486" spans="1:9" x14ac:dyDescent="0.25">
      <c r="A1486" t="s">
        <v>1355</v>
      </c>
      <c r="B1486" t="s">
        <v>13</v>
      </c>
      <c r="C1486">
        <v>27.5</v>
      </c>
      <c r="D1486">
        <v>29.5</v>
      </c>
      <c r="E1486" t="s">
        <v>17</v>
      </c>
      <c r="F1486">
        <v>25.67</v>
      </c>
      <c r="G1486">
        <v>27.25</v>
      </c>
      <c r="H1486" t="s">
        <v>17</v>
      </c>
      <c r="I1486" t="str">
        <f>"062271002905"</f>
        <v>062271002905</v>
      </c>
    </row>
    <row r="1487" spans="1:9" x14ac:dyDescent="0.25">
      <c r="A1487" t="s">
        <v>1356</v>
      </c>
      <c r="B1487" t="s">
        <v>13</v>
      </c>
      <c r="C1487">
        <v>30.5</v>
      </c>
      <c r="D1487">
        <v>33.5</v>
      </c>
      <c r="E1487" t="s">
        <v>17</v>
      </c>
      <c r="F1487">
        <v>23.84</v>
      </c>
      <c r="G1487">
        <v>22.33</v>
      </c>
      <c r="H1487" t="s">
        <v>17</v>
      </c>
      <c r="I1487" t="str">
        <f>"060720000664"</f>
        <v>060720000664</v>
      </c>
    </row>
    <row r="1488" spans="1:9" x14ac:dyDescent="0.25">
      <c r="A1488" t="s">
        <v>1357</v>
      </c>
      <c r="B1488" t="s">
        <v>13</v>
      </c>
      <c r="C1488">
        <v>37.630000000000003</v>
      </c>
      <c r="D1488">
        <v>7.68</v>
      </c>
      <c r="E1488" t="s">
        <v>14</v>
      </c>
      <c r="F1488">
        <v>17.03</v>
      </c>
      <c r="G1488">
        <v>17.579999999999998</v>
      </c>
      <c r="H1488" t="s">
        <v>14</v>
      </c>
      <c r="I1488" t="str">
        <f>"062805012992"</f>
        <v>062805012992</v>
      </c>
    </row>
    <row r="1489" spans="1:9" x14ac:dyDescent="0.25">
      <c r="A1489" t="s">
        <v>1358</v>
      </c>
      <c r="B1489" t="s">
        <v>13</v>
      </c>
      <c r="C1489">
        <v>21.24</v>
      </c>
      <c r="D1489">
        <v>19.97</v>
      </c>
      <c r="E1489" t="s">
        <v>17</v>
      </c>
      <c r="F1489">
        <v>23.31</v>
      </c>
      <c r="G1489">
        <v>21.68</v>
      </c>
      <c r="H1489" t="s">
        <v>17</v>
      </c>
      <c r="I1489" t="str">
        <f>"060780000741"</f>
        <v>060780000741</v>
      </c>
    </row>
    <row r="1490" spans="1:9" x14ac:dyDescent="0.25">
      <c r="A1490" t="s">
        <v>1359</v>
      </c>
      <c r="B1490" t="s">
        <v>13</v>
      </c>
      <c r="C1490">
        <v>117.74</v>
      </c>
      <c r="D1490">
        <v>119.06</v>
      </c>
      <c r="E1490" t="s">
        <v>17</v>
      </c>
      <c r="F1490">
        <v>25.27</v>
      </c>
      <c r="G1490">
        <v>24.56</v>
      </c>
      <c r="H1490" t="s">
        <v>17</v>
      </c>
      <c r="I1490" t="str">
        <f>"060780000742"</f>
        <v>060780000742</v>
      </c>
    </row>
    <row r="1491" spans="1:9" x14ac:dyDescent="0.25">
      <c r="A1491" t="s">
        <v>1360</v>
      </c>
      <c r="B1491" t="s">
        <v>13</v>
      </c>
      <c r="C1491">
        <v>21</v>
      </c>
      <c r="D1491">
        <v>21</v>
      </c>
      <c r="E1491" t="s">
        <v>17</v>
      </c>
      <c r="F1491">
        <v>28.86</v>
      </c>
      <c r="G1491">
        <v>28.62</v>
      </c>
      <c r="H1491" t="s">
        <v>17</v>
      </c>
      <c r="I1491" t="str">
        <f>"062759004140"</f>
        <v>062759004140</v>
      </c>
    </row>
    <row r="1492" spans="1:9" x14ac:dyDescent="0.25">
      <c r="A1492" t="s">
        <v>1361</v>
      </c>
      <c r="B1492" t="s">
        <v>13</v>
      </c>
      <c r="C1492">
        <v>19</v>
      </c>
      <c r="D1492">
        <v>21</v>
      </c>
      <c r="E1492" t="s">
        <v>17</v>
      </c>
      <c r="F1492">
        <v>26.53</v>
      </c>
      <c r="G1492">
        <v>25.14</v>
      </c>
      <c r="H1492" t="s">
        <v>17</v>
      </c>
      <c r="I1492" t="str">
        <f>"060813000784"</f>
        <v>060813000784</v>
      </c>
    </row>
    <row r="1493" spans="1:9" x14ac:dyDescent="0.25">
      <c r="A1493" t="s">
        <v>1362</v>
      </c>
      <c r="B1493" t="s">
        <v>13</v>
      </c>
      <c r="C1493" t="s">
        <v>17</v>
      </c>
      <c r="D1493" t="s">
        <v>17</v>
      </c>
      <c r="E1493" t="s">
        <v>17</v>
      </c>
      <c r="F1493" t="s">
        <v>17</v>
      </c>
      <c r="G1493" t="s">
        <v>17</v>
      </c>
      <c r="H1493" t="s">
        <v>17</v>
      </c>
      <c r="I1493" t="str">
        <f>"060813012599"</f>
        <v>060813012599</v>
      </c>
    </row>
    <row r="1494" spans="1:9" x14ac:dyDescent="0.25">
      <c r="A1494" t="s">
        <v>1363</v>
      </c>
      <c r="B1494" t="s">
        <v>13</v>
      </c>
      <c r="C1494">
        <v>30</v>
      </c>
      <c r="D1494">
        <v>29</v>
      </c>
      <c r="E1494" t="s">
        <v>17</v>
      </c>
      <c r="F1494">
        <v>26.83</v>
      </c>
      <c r="G1494">
        <v>27.97</v>
      </c>
      <c r="H1494" t="s">
        <v>17</v>
      </c>
      <c r="I1494" t="str">
        <f>"062955004561"</f>
        <v>062955004561</v>
      </c>
    </row>
    <row r="1495" spans="1:9" x14ac:dyDescent="0.25">
      <c r="A1495" t="s">
        <v>1364</v>
      </c>
      <c r="B1495" t="s">
        <v>13</v>
      </c>
      <c r="C1495">
        <v>105.1</v>
      </c>
      <c r="D1495">
        <v>105.3</v>
      </c>
      <c r="E1495" t="s">
        <v>17</v>
      </c>
      <c r="F1495">
        <v>26.24</v>
      </c>
      <c r="G1495">
        <v>25.66</v>
      </c>
      <c r="H1495" t="s">
        <v>17</v>
      </c>
      <c r="I1495" t="str">
        <f>"062955010279"</f>
        <v>062955010279</v>
      </c>
    </row>
    <row r="1496" spans="1:9" x14ac:dyDescent="0.25">
      <c r="A1496" t="s">
        <v>1365</v>
      </c>
      <c r="B1496" t="s">
        <v>13</v>
      </c>
      <c r="C1496">
        <v>15</v>
      </c>
      <c r="D1496">
        <v>19</v>
      </c>
      <c r="E1496" t="s">
        <v>17</v>
      </c>
      <c r="F1496">
        <v>24.8</v>
      </c>
      <c r="G1496">
        <v>20.89</v>
      </c>
      <c r="H1496" t="s">
        <v>17</v>
      </c>
      <c r="I1496" t="str">
        <f>"062513003731"</f>
        <v>062513003731</v>
      </c>
    </row>
    <row r="1497" spans="1:9" x14ac:dyDescent="0.25">
      <c r="A1497" t="s">
        <v>1366</v>
      </c>
      <c r="B1497" t="s">
        <v>13</v>
      </c>
      <c r="C1497">
        <v>26.8</v>
      </c>
      <c r="D1497">
        <v>30.2</v>
      </c>
      <c r="E1497" t="s">
        <v>17</v>
      </c>
      <c r="F1497">
        <v>21.16</v>
      </c>
      <c r="G1497">
        <v>20.63</v>
      </c>
      <c r="H1497" t="s">
        <v>17</v>
      </c>
      <c r="I1497" t="str">
        <f>"060005201476"</f>
        <v>060005201476</v>
      </c>
    </row>
    <row r="1498" spans="1:9" x14ac:dyDescent="0.25">
      <c r="A1498" t="s">
        <v>1367</v>
      </c>
      <c r="B1498" t="s">
        <v>13</v>
      </c>
      <c r="C1498">
        <v>21</v>
      </c>
      <c r="D1498">
        <v>24.4</v>
      </c>
      <c r="E1498" t="s">
        <v>17</v>
      </c>
      <c r="F1498">
        <v>27.81</v>
      </c>
      <c r="G1498">
        <v>22.95</v>
      </c>
      <c r="H1498" t="s">
        <v>17</v>
      </c>
      <c r="I1498" t="str">
        <f>"063360008255"</f>
        <v>063360008255</v>
      </c>
    </row>
    <row r="1499" spans="1:9" x14ac:dyDescent="0.25">
      <c r="A1499" t="s">
        <v>1368</v>
      </c>
      <c r="B1499" t="s">
        <v>13</v>
      </c>
      <c r="C1499" t="s">
        <v>14</v>
      </c>
      <c r="D1499" t="s">
        <v>14</v>
      </c>
      <c r="E1499" t="s">
        <v>17</v>
      </c>
      <c r="F1499" t="s">
        <v>14</v>
      </c>
      <c r="G1499" t="s">
        <v>14</v>
      </c>
      <c r="H1499" t="s">
        <v>17</v>
      </c>
      <c r="I1499" t="str">
        <f>"062394003598"</f>
        <v>062394003598</v>
      </c>
    </row>
    <row r="1500" spans="1:9" x14ac:dyDescent="0.25">
      <c r="A1500" t="s">
        <v>1369</v>
      </c>
      <c r="B1500" t="s">
        <v>13</v>
      </c>
      <c r="C1500">
        <v>26</v>
      </c>
      <c r="D1500">
        <v>25.51</v>
      </c>
      <c r="E1500" t="s">
        <v>17</v>
      </c>
      <c r="F1500">
        <v>24.38</v>
      </c>
      <c r="G1500">
        <v>25.25</v>
      </c>
      <c r="H1500" t="s">
        <v>17</v>
      </c>
      <c r="I1500" t="str">
        <f>"062271002906"</f>
        <v>062271002906</v>
      </c>
    </row>
    <row r="1501" spans="1:9" x14ac:dyDescent="0.25">
      <c r="A1501" t="s">
        <v>1370</v>
      </c>
      <c r="B1501" t="s">
        <v>13</v>
      </c>
      <c r="C1501">
        <v>6</v>
      </c>
      <c r="D1501">
        <v>4</v>
      </c>
      <c r="E1501" t="s">
        <v>17</v>
      </c>
      <c r="F1501">
        <v>27.83</v>
      </c>
      <c r="G1501">
        <v>27</v>
      </c>
      <c r="H1501" t="s">
        <v>17</v>
      </c>
      <c r="I1501" t="str">
        <f>"064074006722"</f>
        <v>064074006722</v>
      </c>
    </row>
    <row r="1502" spans="1:9" x14ac:dyDescent="0.25">
      <c r="A1502" t="s">
        <v>1371</v>
      </c>
      <c r="B1502" t="s">
        <v>13</v>
      </c>
      <c r="C1502">
        <v>34.1</v>
      </c>
      <c r="D1502">
        <v>33.700000000000003</v>
      </c>
      <c r="E1502" t="s">
        <v>17</v>
      </c>
      <c r="F1502">
        <v>24.05</v>
      </c>
      <c r="G1502">
        <v>25.55</v>
      </c>
      <c r="H1502" t="s">
        <v>17</v>
      </c>
      <c r="I1502" t="str">
        <f>"061692011018"</f>
        <v>061692011018</v>
      </c>
    </row>
    <row r="1503" spans="1:9" x14ac:dyDescent="0.25">
      <c r="A1503" t="s">
        <v>1372</v>
      </c>
      <c r="B1503" t="s">
        <v>13</v>
      </c>
      <c r="C1503">
        <v>12.5</v>
      </c>
      <c r="D1503">
        <v>12.5</v>
      </c>
      <c r="E1503" t="s">
        <v>17</v>
      </c>
      <c r="F1503">
        <v>17.36</v>
      </c>
      <c r="G1503">
        <v>17.84</v>
      </c>
      <c r="H1503" t="s">
        <v>17</v>
      </c>
      <c r="I1503" t="str">
        <f>"060784007271"</f>
        <v>060784007271</v>
      </c>
    </row>
    <row r="1504" spans="1:9" x14ac:dyDescent="0.25">
      <c r="A1504" t="s">
        <v>1373</v>
      </c>
      <c r="B1504" t="s">
        <v>13</v>
      </c>
      <c r="C1504">
        <v>4</v>
      </c>
      <c r="D1504">
        <v>4</v>
      </c>
      <c r="E1504" t="s">
        <v>17</v>
      </c>
      <c r="F1504">
        <v>1.75</v>
      </c>
      <c r="G1504" t="str">
        <f>"0.75"</f>
        <v>0.75</v>
      </c>
      <c r="H1504" t="s">
        <v>17</v>
      </c>
      <c r="I1504" t="str">
        <f>"062271010528"</f>
        <v>062271010528</v>
      </c>
    </row>
    <row r="1505" spans="1:9" x14ac:dyDescent="0.25">
      <c r="A1505" t="s">
        <v>1374</v>
      </c>
      <c r="B1505" t="s">
        <v>13</v>
      </c>
      <c r="C1505">
        <v>30.5</v>
      </c>
      <c r="D1505">
        <v>31.5</v>
      </c>
      <c r="E1505" t="s">
        <v>17</v>
      </c>
      <c r="F1505">
        <v>9.02</v>
      </c>
      <c r="G1505">
        <v>8.83</v>
      </c>
      <c r="H1505" t="s">
        <v>17</v>
      </c>
      <c r="I1505" t="str">
        <f>"062271010519"</f>
        <v>062271010519</v>
      </c>
    </row>
    <row r="1506" spans="1:9" x14ac:dyDescent="0.25">
      <c r="A1506" t="s">
        <v>1375</v>
      </c>
      <c r="B1506" t="s">
        <v>13</v>
      </c>
      <c r="C1506">
        <v>33</v>
      </c>
      <c r="D1506">
        <v>33</v>
      </c>
      <c r="E1506" t="s">
        <v>17</v>
      </c>
      <c r="F1506">
        <v>22.7</v>
      </c>
      <c r="G1506">
        <v>20.55</v>
      </c>
      <c r="H1506" t="s">
        <v>17</v>
      </c>
      <c r="I1506" t="str">
        <f>"061089001208"</f>
        <v>061089001208</v>
      </c>
    </row>
    <row r="1507" spans="1:9" x14ac:dyDescent="0.25">
      <c r="A1507" t="s">
        <v>1376</v>
      </c>
      <c r="B1507" t="s">
        <v>13</v>
      </c>
      <c r="C1507">
        <v>31</v>
      </c>
      <c r="D1507">
        <v>32</v>
      </c>
      <c r="E1507" t="s">
        <v>17</v>
      </c>
      <c r="F1507">
        <v>27.68</v>
      </c>
      <c r="G1507">
        <v>26.72</v>
      </c>
      <c r="H1507" t="s">
        <v>17</v>
      </c>
      <c r="I1507" t="str">
        <f>"061296008585"</f>
        <v>061296008585</v>
      </c>
    </row>
    <row r="1508" spans="1:9" x14ac:dyDescent="0.25">
      <c r="A1508" t="s">
        <v>1377</v>
      </c>
      <c r="B1508" t="s">
        <v>13</v>
      </c>
      <c r="C1508">
        <v>30.55</v>
      </c>
      <c r="D1508">
        <v>31.68</v>
      </c>
      <c r="E1508" t="s">
        <v>17</v>
      </c>
      <c r="F1508">
        <v>25.73</v>
      </c>
      <c r="G1508">
        <v>24.59</v>
      </c>
      <c r="H1508" t="s">
        <v>17</v>
      </c>
      <c r="I1508" t="str">
        <f>"061314001491"</f>
        <v>061314001491</v>
      </c>
    </row>
    <row r="1509" spans="1:9" x14ac:dyDescent="0.25">
      <c r="A1509" t="s">
        <v>1378</v>
      </c>
      <c r="B1509" t="s">
        <v>13</v>
      </c>
      <c r="C1509">
        <v>18.899999999999999</v>
      </c>
      <c r="D1509">
        <v>25</v>
      </c>
      <c r="E1509" t="s">
        <v>17</v>
      </c>
      <c r="F1509">
        <v>26.51</v>
      </c>
      <c r="G1509">
        <v>20.6</v>
      </c>
      <c r="H1509" t="s">
        <v>17</v>
      </c>
      <c r="I1509" t="str">
        <f>"062409003623"</f>
        <v>062409003623</v>
      </c>
    </row>
    <row r="1510" spans="1:9" x14ac:dyDescent="0.25">
      <c r="A1510" t="s">
        <v>1379</v>
      </c>
      <c r="B1510" t="s">
        <v>13</v>
      </c>
      <c r="C1510">
        <v>44</v>
      </c>
      <c r="D1510">
        <v>44</v>
      </c>
      <c r="E1510" t="s">
        <v>17</v>
      </c>
      <c r="F1510">
        <v>25.16</v>
      </c>
      <c r="G1510">
        <v>27.64</v>
      </c>
      <c r="H1510" t="s">
        <v>17</v>
      </c>
      <c r="I1510" t="str">
        <f>"060001412103"</f>
        <v>060001412103</v>
      </c>
    </row>
    <row r="1511" spans="1:9" x14ac:dyDescent="0.25">
      <c r="A1511" t="s">
        <v>1380</v>
      </c>
      <c r="B1511" t="s">
        <v>13</v>
      </c>
      <c r="C1511">
        <v>17.5</v>
      </c>
      <c r="D1511">
        <v>21</v>
      </c>
      <c r="E1511" t="s">
        <v>17</v>
      </c>
      <c r="F1511">
        <v>29.6</v>
      </c>
      <c r="G1511">
        <v>22.14</v>
      </c>
      <c r="H1511" t="s">
        <v>17</v>
      </c>
      <c r="I1511" t="str">
        <f>"063597006153"</f>
        <v>063597006153</v>
      </c>
    </row>
    <row r="1512" spans="1:9" x14ac:dyDescent="0.25">
      <c r="A1512" t="s">
        <v>1381</v>
      </c>
      <c r="B1512" t="s">
        <v>13</v>
      </c>
      <c r="C1512">
        <v>32</v>
      </c>
      <c r="D1512">
        <v>33</v>
      </c>
      <c r="E1512" t="s">
        <v>17</v>
      </c>
      <c r="F1512">
        <v>27.28</v>
      </c>
      <c r="G1512">
        <v>26.39</v>
      </c>
      <c r="H1512" t="s">
        <v>17</v>
      </c>
      <c r="I1512" t="str">
        <f>"060819000800"</f>
        <v>060819000800</v>
      </c>
    </row>
    <row r="1513" spans="1:9" x14ac:dyDescent="0.25">
      <c r="A1513" t="s">
        <v>1382</v>
      </c>
      <c r="B1513" t="s">
        <v>13</v>
      </c>
      <c r="C1513">
        <v>25</v>
      </c>
      <c r="D1513">
        <v>26</v>
      </c>
      <c r="E1513" t="s">
        <v>17</v>
      </c>
      <c r="F1513">
        <v>21.88</v>
      </c>
      <c r="G1513">
        <v>22.38</v>
      </c>
      <c r="H1513" t="s">
        <v>17</v>
      </c>
      <c r="I1513" t="str">
        <f>"061632512808"</f>
        <v>061632512808</v>
      </c>
    </row>
    <row r="1514" spans="1:9" x14ac:dyDescent="0.25">
      <c r="A1514" t="s">
        <v>1383</v>
      </c>
      <c r="B1514" t="s">
        <v>13</v>
      </c>
      <c r="C1514">
        <v>24</v>
      </c>
      <c r="D1514">
        <v>24</v>
      </c>
      <c r="E1514" t="s">
        <v>17</v>
      </c>
      <c r="F1514">
        <v>28.38</v>
      </c>
      <c r="G1514">
        <v>27.54</v>
      </c>
      <c r="H1514" t="s">
        <v>17</v>
      </c>
      <c r="I1514" t="str">
        <f>"060903005744"</f>
        <v>060903005744</v>
      </c>
    </row>
    <row r="1515" spans="1:9" x14ac:dyDescent="0.25">
      <c r="A1515" t="s">
        <v>1383</v>
      </c>
      <c r="B1515" t="s">
        <v>13</v>
      </c>
      <c r="C1515">
        <v>11.4</v>
      </c>
      <c r="D1515">
        <v>11.9</v>
      </c>
      <c r="E1515" t="s">
        <v>17</v>
      </c>
      <c r="F1515">
        <v>20.79</v>
      </c>
      <c r="G1515">
        <v>20.92</v>
      </c>
      <c r="H1515" t="s">
        <v>17</v>
      </c>
      <c r="I1515" t="str">
        <f>"062982005712"</f>
        <v>062982005712</v>
      </c>
    </row>
    <row r="1516" spans="1:9" x14ac:dyDescent="0.25">
      <c r="A1516" t="s">
        <v>1384</v>
      </c>
      <c r="B1516" t="s">
        <v>13</v>
      </c>
      <c r="C1516">
        <v>10.5</v>
      </c>
      <c r="D1516">
        <v>11.5</v>
      </c>
      <c r="E1516" t="s">
        <v>17</v>
      </c>
      <c r="F1516">
        <v>37.619999999999997</v>
      </c>
      <c r="G1516">
        <v>28.7</v>
      </c>
      <c r="H1516" t="s">
        <v>17</v>
      </c>
      <c r="I1516" t="str">
        <f>"062949012189"</f>
        <v>062949012189</v>
      </c>
    </row>
    <row r="1517" spans="1:9" x14ac:dyDescent="0.25">
      <c r="A1517" t="s">
        <v>1385</v>
      </c>
      <c r="B1517" t="s">
        <v>13</v>
      </c>
      <c r="C1517">
        <v>11</v>
      </c>
      <c r="D1517">
        <v>7</v>
      </c>
      <c r="E1517" t="s">
        <v>14</v>
      </c>
      <c r="F1517">
        <v>22</v>
      </c>
      <c r="G1517">
        <v>22.71</v>
      </c>
      <c r="H1517" t="s">
        <v>14</v>
      </c>
      <c r="I1517" t="str">
        <f>"062271012942"</f>
        <v>062271012942</v>
      </c>
    </row>
    <row r="1518" spans="1:9" x14ac:dyDescent="0.25">
      <c r="A1518" t="s">
        <v>1386</v>
      </c>
      <c r="B1518" t="s">
        <v>13</v>
      </c>
      <c r="C1518">
        <v>27</v>
      </c>
      <c r="D1518">
        <v>24</v>
      </c>
      <c r="E1518" t="s">
        <v>17</v>
      </c>
      <c r="F1518">
        <v>24.89</v>
      </c>
      <c r="G1518">
        <v>26.17</v>
      </c>
      <c r="H1518" t="s">
        <v>17</v>
      </c>
      <c r="I1518" t="str">
        <f>"062271012162"</f>
        <v>062271012162</v>
      </c>
    </row>
    <row r="1519" spans="1:9" x14ac:dyDescent="0.25">
      <c r="A1519" t="s">
        <v>1387</v>
      </c>
      <c r="B1519" t="s">
        <v>13</v>
      </c>
      <c r="C1519">
        <v>15</v>
      </c>
      <c r="D1519" t="s">
        <v>14</v>
      </c>
      <c r="E1519" t="s">
        <v>14</v>
      </c>
      <c r="F1519">
        <v>18.87</v>
      </c>
      <c r="G1519" t="s">
        <v>14</v>
      </c>
      <c r="H1519" t="s">
        <v>14</v>
      </c>
      <c r="I1519" t="str">
        <f>"062994013093"</f>
        <v>062994013093</v>
      </c>
    </row>
    <row r="1520" spans="1:9" x14ac:dyDescent="0.25">
      <c r="A1520" t="s">
        <v>1388</v>
      </c>
      <c r="B1520" t="s">
        <v>13</v>
      </c>
      <c r="C1520">
        <v>28</v>
      </c>
      <c r="D1520">
        <v>27</v>
      </c>
      <c r="E1520" t="s">
        <v>17</v>
      </c>
      <c r="F1520">
        <v>22.21</v>
      </c>
      <c r="G1520">
        <v>23.44</v>
      </c>
      <c r="H1520" t="s">
        <v>17</v>
      </c>
      <c r="I1520" t="str">
        <f>"062271010869"</f>
        <v>062271010869</v>
      </c>
    </row>
    <row r="1521" spans="1:9" x14ac:dyDescent="0.25">
      <c r="A1521" t="s">
        <v>1389</v>
      </c>
      <c r="B1521" t="s">
        <v>13</v>
      </c>
      <c r="C1521">
        <v>18</v>
      </c>
      <c r="D1521">
        <v>15</v>
      </c>
      <c r="E1521" t="s">
        <v>17</v>
      </c>
      <c r="F1521">
        <v>23.33</v>
      </c>
      <c r="G1521">
        <v>21.4</v>
      </c>
      <c r="H1521" t="s">
        <v>17</v>
      </c>
      <c r="I1521" t="str">
        <f>"062271012782"</f>
        <v>062271012782</v>
      </c>
    </row>
    <row r="1522" spans="1:9" x14ac:dyDescent="0.25">
      <c r="A1522" t="s">
        <v>1390</v>
      </c>
      <c r="B1522" t="s">
        <v>13</v>
      </c>
      <c r="C1522">
        <v>14</v>
      </c>
      <c r="D1522">
        <v>11</v>
      </c>
      <c r="E1522" t="s">
        <v>14</v>
      </c>
      <c r="F1522">
        <v>22.64</v>
      </c>
      <c r="G1522">
        <v>21.91</v>
      </c>
      <c r="H1522" t="s">
        <v>14</v>
      </c>
      <c r="I1522" t="str">
        <f>"062271012614"</f>
        <v>062271012614</v>
      </c>
    </row>
    <row r="1523" spans="1:9" x14ac:dyDescent="0.25">
      <c r="A1523" t="s">
        <v>1391</v>
      </c>
      <c r="B1523" t="s">
        <v>13</v>
      </c>
      <c r="C1523">
        <v>19</v>
      </c>
      <c r="D1523">
        <v>21</v>
      </c>
      <c r="E1523" t="s">
        <v>14</v>
      </c>
      <c r="F1523">
        <v>21.58</v>
      </c>
      <c r="G1523">
        <v>20.57</v>
      </c>
      <c r="H1523" t="s">
        <v>14</v>
      </c>
      <c r="I1523" t="str">
        <f>"069107812925"</f>
        <v>069107812925</v>
      </c>
    </row>
    <row r="1524" spans="1:9" x14ac:dyDescent="0.25">
      <c r="A1524" t="s">
        <v>1392</v>
      </c>
      <c r="B1524" t="s">
        <v>13</v>
      </c>
      <c r="C1524">
        <v>23</v>
      </c>
      <c r="D1524">
        <v>18</v>
      </c>
      <c r="E1524" t="s">
        <v>17</v>
      </c>
      <c r="F1524">
        <v>22.35</v>
      </c>
      <c r="G1524">
        <v>22.78</v>
      </c>
      <c r="H1524" t="s">
        <v>17</v>
      </c>
      <c r="I1524" t="str">
        <f>"062271012120"</f>
        <v>062271012120</v>
      </c>
    </row>
    <row r="1525" spans="1:9" x14ac:dyDescent="0.25">
      <c r="A1525" t="s">
        <v>1393</v>
      </c>
      <c r="B1525" t="s">
        <v>13</v>
      </c>
      <c r="C1525">
        <v>5.3</v>
      </c>
      <c r="D1525">
        <v>5.5</v>
      </c>
      <c r="E1525" t="s">
        <v>17</v>
      </c>
      <c r="F1525">
        <v>10.19</v>
      </c>
      <c r="G1525">
        <v>10.36</v>
      </c>
      <c r="H1525" t="s">
        <v>17</v>
      </c>
      <c r="I1525" t="str">
        <f>"060981001043"</f>
        <v>060981001043</v>
      </c>
    </row>
    <row r="1526" spans="1:9" x14ac:dyDescent="0.25">
      <c r="A1526" t="s">
        <v>1394</v>
      </c>
      <c r="B1526" t="s">
        <v>13</v>
      </c>
      <c r="C1526">
        <v>27</v>
      </c>
      <c r="D1526">
        <v>28</v>
      </c>
      <c r="E1526" t="s">
        <v>17</v>
      </c>
      <c r="F1526">
        <v>25.85</v>
      </c>
      <c r="G1526">
        <v>27.5</v>
      </c>
      <c r="H1526" t="s">
        <v>17</v>
      </c>
      <c r="I1526" t="str">
        <f>"061455001715"</f>
        <v>061455001715</v>
      </c>
    </row>
    <row r="1527" spans="1:9" x14ac:dyDescent="0.25">
      <c r="A1527" t="s">
        <v>1394</v>
      </c>
      <c r="B1527" t="s">
        <v>13</v>
      </c>
      <c r="C1527">
        <v>20</v>
      </c>
      <c r="D1527">
        <v>21</v>
      </c>
      <c r="E1527" t="s">
        <v>17</v>
      </c>
      <c r="F1527">
        <v>24.45</v>
      </c>
      <c r="G1527">
        <v>24.24</v>
      </c>
      <c r="H1527" t="s">
        <v>17</v>
      </c>
      <c r="I1527" t="str">
        <f>"063348010033"</f>
        <v>063348010033</v>
      </c>
    </row>
    <row r="1528" spans="1:9" x14ac:dyDescent="0.25">
      <c r="A1528" t="s">
        <v>1395</v>
      </c>
      <c r="B1528" t="s">
        <v>13</v>
      </c>
      <c r="C1528">
        <v>68.02</v>
      </c>
      <c r="D1528">
        <v>68.48</v>
      </c>
      <c r="E1528" t="s">
        <v>17</v>
      </c>
      <c r="F1528">
        <v>26.92</v>
      </c>
      <c r="G1528">
        <v>26.24</v>
      </c>
      <c r="H1528" t="s">
        <v>17</v>
      </c>
      <c r="I1528" t="str">
        <f>"061954002041"</f>
        <v>061954002041</v>
      </c>
    </row>
    <row r="1529" spans="1:9" x14ac:dyDescent="0.25">
      <c r="A1529" t="s">
        <v>1395</v>
      </c>
      <c r="B1529" t="s">
        <v>13</v>
      </c>
      <c r="C1529">
        <v>46.83</v>
      </c>
      <c r="D1529">
        <v>55</v>
      </c>
      <c r="E1529" t="s">
        <v>17</v>
      </c>
      <c r="F1529">
        <v>22.29</v>
      </c>
      <c r="G1529">
        <v>20.69</v>
      </c>
      <c r="H1529" t="s">
        <v>17</v>
      </c>
      <c r="I1529" t="str">
        <f>"060962000975"</f>
        <v>060962000975</v>
      </c>
    </row>
    <row r="1530" spans="1:9" x14ac:dyDescent="0.25">
      <c r="A1530" t="s">
        <v>1395</v>
      </c>
      <c r="B1530" t="s">
        <v>13</v>
      </c>
      <c r="C1530">
        <v>117.65</v>
      </c>
      <c r="D1530">
        <v>115</v>
      </c>
      <c r="E1530" t="s">
        <v>17</v>
      </c>
      <c r="F1530">
        <v>27.41</v>
      </c>
      <c r="G1530">
        <v>27.37</v>
      </c>
      <c r="H1530" t="s">
        <v>17</v>
      </c>
      <c r="I1530" t="str">
        <f>"060985009532"</f>
        <v>060985009532</v>
      </c>
    </row>
    <row r="1531" spans="1:9" x14ac:dyDescent="0.25">
      <c r="A1531" t="s">
        <v>1396</v>
      </c>
      <c r="B1531" t="s">
        <v>13</v>
      </c>
      <c r="C1531">
        <v>1.33</v>
      </c>
      <c r="D1531">
        <v>2</v>
      </c>
      <c r="E1531" t="s">
        <v>17</v>
      </c>
      <c r="F1531">
        <v>9.02</v>
      </c>
      <c r="G1531">
        <v>15</v>
      </c>
      <c r="H1531" t="s">
        <v>17</v>
      </c>
      <c r="I1531" t="str">
        <f>"060006811949"</f>
        <v>060006811949</v>
      </c>
    </row>
    <row r="1532" spans="1:9" x14ac:dyDescent="0.25">
      <c r="A1532" t="s">
        <v>1397</v>
      </c>
      <c r="B1532" t="s">
        <v>13</v>
      </c>
      <c r="C1532" t="s">
        <v>17</v>
      </c>
      <c r="D1532" t="s">
        <v>17</v>
      </c>
      <c r="E1532" t="s">
        <v>17</v>
      </c>
      <c r="F1532" t="s">
        <v>17</v>
      </c>
      <c r="G1532" t="s">
        <v>17</v>
      </c>
      <c r="H1532" t="s">
        <v>17</v>
      </c>
      <c r="I1532" t="str">
        <f>"060985000870"</f>
        <v>060985000870</v>
      </c>
    </row>
    <row r="1533" spans="1:9" x14ac:dyDescent="0.25">
      <c r="A1533" t="s">
        <v>1398</v>
      </c>
      <c r="B1533" t="s">
        <v>13</v>
      </c>
      <c r="C1533">
        <v>16</v>
      </c>
      <c r="D1533">
        <v>15</v>
      </c>
      <c r="E1533" t="s">
        <v>17</v>
      </c>
      <c r="F1533">
        <v>27.25</v>
      </c>
      <c r="G1533">
        <v>27</v>
      </c>
      <c r="H1533" t="s">
        <v>17</v>
      </c>
      <c r="I1533" t="str">
        <f>"063963006595"</f>
        <v>063963006595</v>
      </c>
    </row>
    <row r="1534" spans="1:9" x14ac:dyDescent="0.25">
      <c r="A1534" t="s">
        <v>1399</v>
      </c>
      <c r="B1534" t="s">
        <v>13</v>
      </c>
      <c r="C1534">
        <v>12</v>
      </c>
      <c r="D1534">
        <v>12</v>
      </c>
      <c r="E1534" t="s">
        <v>17</v>
      </c>
      <c r="F1534">
        <v>25.75</v>
      </c>
      <c r="G1534">
        <v>24.17</v>
      </c>
      <c r="H1534" t="s">
        <v>17</v>
      </c>
      <c r="I1534" t="str">
        <f>"062271012044"</f>
        <v>062271012044</v>
      </c>
    </row>
    <row r="1535" spans="1:9" x14ac:dyDescent="0.25">
      <c r="A1535" t="s">
        <v>1400</v>
      </c>
      <c r="B1535" t="s">
        <v>13</v>
      </c>
      <c r="C1535">
        <v>2</v>
      </c>
      <c r="D1535">
        <v>1.6</v>
      </c>
      <c r="E1535" t="s">
        <v>14</v>
      </c>
      <c r="F1535">
        <v>29</v>
      </c>
      <c r="G1535">
        <v>40</v>
      </c>
      <c r="H1535" t="s">
        <v>14</v>
      </c>
      <c r="I1535" t="str">
        <f>"060837012830"</f>
        <v>060837012830</v>
      </c>
    </row>
    <row r="1536" spans="1:9" x14ac:dyDescent="0.25">
      <c r="A1536" t="s">
        <v>1401</v>
      </c>
      <c r="B1536" t="s">
        <v>13</v>
      </c>
      <c r="C1536">
        <v>1.5</v>
      </c>
      <c r="D1536">
        <v>1.8</v>
      </c>
      <c r="E1536" t="s">
        <v>17</v>
      </c>
      <c r="F1536">
        <v>6.67</v>
      </c>
      <c r="G1536">
        <v>3.89</v>
      </c>
      <c r="H1536" t="s">
        <v>17</v>
      </c>
      <c r="I1536" t="str">
        <f>"062955012140"</f>
        <v>062955012140</v>
      </c>
    </row>
    <row r="1537" spans="1:9" x14ac:dyDescent="0.25">
      <c r="A1537" t="s">
        <v>1402</v>
      </c>
      <c r="B1537" t="s">
        <v>13</v>
      </c>
      <c r="C1537">
        <v>53.58</v>
      </c>
      <c r="D1537">
        <v>58.2</v>
      </c>
      <c r="E1537" t="s">
        <v>17</v>
      </c>
      <c r="F1537">
        <v>25.03</v>
      </c>
      <c r="G1537">
        <v>22.89</v>
      </c>
      <c r="H1537" t="s">
        <v>17</v>
      </c>
      <c r="I1537" t="str">
        <f>"060790008805"</f>
        <v>060790008805</v>
      </c>
    </row>
    <row r="1538" spans="1:9" x14ac:dyDescent="0.25">
      <c r="A1538" t="s">
        <v>1403</v>
      </c>
      <c r="B1538" t="s">
        <v>13</v>
      </c>
      <c r="C1538">
        <v>32.4</v>
      </c>
      <c r="D1538">
        <v>32.200000000000003</v>
      </c>
      <c r="E1538" t="s">
        <v>17</v>
      </c>
      <c r="F1538">
        <v>20.62</v>
      </c>
      <c r="G1538">
        <v>22.27</v>
      </c>
      <c r="H1538" t="s">
        <v>17</v>
      </c>
      <c r="I1538" t="str">
        <f>"060360000269"</f>
        <v>060360000269</v>
      </c>
    </row>
    <row r="1539" spans="1:9" x14ac:dyDescent="0.25">
      <c r="A1539" t="s">
        <v>1404</v>
      </c>
      <c r="B1539" t="s">
        <v>13</v>
      </c>
      <c r="C1539">
        <v>28</v>
      </c>
      <c r="D1539">
        <v>27</v>
      </c>
      <c r="E1539" t="s">
        <v>17</v>
      </c>
      <c r="F1539">
        <v>25.96</v>
      </c>
      <c r="G1539">
        <v>25.07</v>
      </c>
      <c r="H1539" t="s">
        <v>17</v>
      </c>
      <c r="I1539" t="str">
        <f>"061221001387"</f>
        <v>061221001387</v>
      </c>
    </row>
    <row r="1540" spans="1:9" x14ac:dyDescent="0.25">
      <c r="A1540" t="s">
        <v>1405</v>
      </c>
      <c r="B1540" t="s">
        <v>13</v>
      </c>
      <c r="C1540">
        <v>12.44</v>
      </c>
      <c r="D1540">
        <v>12.24</v>
      </c>
      <c r="E1540" t="s">
        <v>17</v>
      </c>
      <c r="F1540">
        <v>22.27</v>
      </c>
      <c r="G1540">
        <v>23.04</v>
      </c>
      <c r="H1540" t="s">
        <v>17</v>
      </c>
      <c r="I1540" t="str">
        <f>"063525005968"</f>
        <v>063525005968</v>
      </c>
    </row>
    <row r="1541" spans="1:9" x14ac:dyDescent="0.25">
      <c r="A1541" t="s">
        <v>1406</v>
      </c>
      <c r="B1541" t="s">
        <v>13</v>
      </c>
      <c r="C1541" t="str">
        <f>"0.30"</f>
        <v>0.30</v>
      </c>
      <c r="D1541" t="str">
        <f>"0.40"</f>
        <v>0.40</v>
      </c>
      <c r="E1541" t="s">
        <v>17</v>
      </c>
      <c r="F1541">
        <v>6.67</v>
      </c>
      <c r="G1541">
        <v>5</v>
      </c>
      <c r="H1541" t="s">
        <v>17</v>
      </c>
      <c r="I1541" t="str">
        <f>"063140007333"</f>
        <v>063140007333</v>
      </c>
    </row>
    <row r="1542" spans="1:9" x14ac:dyDescent="0.25">
      <c r="A1542" t="s">
        <v>1407</v>
      </c>
      <c r="B1542" t="s">
        <v>13</v>
      </c>
      <c r="C1542">
        <v>38.799999999999997</v>
      </c>
      <c r="D1542">
        <v>40.200000000000003</v>
      </c>
      <c r="E1542" t="s">
        <v>17</v>
      </c>
      <c r="F1542">
        <v>23.76</v>
      </c>
      <c r="G1542">
        <v>22.44</v>
      </c>
      <c r="H1542" t="s">
        <v>17</v>
      </c>
      <c r="I1542" t="str">
        <f>"061440001660"</f>
        <v>061440001660</v>
      </c>
    </row>
    <row r="1543" spans="1:9" x14ac:dyDescent="0.25">
      <c r="A1543" t="s">
        <v>1408</v>
      </c>
      <c r="B1543" t="s">
        <v>13</v>
      </c>
      <c r="C1543">
        <v>25</v>
      </c>
      <c r="D1543">
        <v>25</v>
      </c>
      <c r="E1543" t="s">
        <v>17</v>
      </c>
      <c r="F1543">
        <v>30.6</v>
      </c>
      <c r="G1543">
        <v>30.64</v>
      </c>
      <c r="H1543" t="s">
        <v>17</v>
      </c>
      <c r="I1543" t="str">
        <f>"061839002248"</f>
        <v>061839002248</v>
      </c>
    </row>
    <row r="1544" spans="1:9" x14ac:dyDescent="0.25">
      <c r="A1544" t="s">
        <v>1409</v>
      </c>
      <c r="B1544" t="s">
        <v>13</v>
      </c>
      <c r="C1544">
        <v>6</v>
      </c>
      <c r="D1544">
        <v>4</v>
      </c>
      <c r="E1544" t="s">
        <v>17</v>
      </c>
      <c r="F1544">
        <v>47.33</v>
      </c>
      <c r="G1544">
        <v>22.25</v>
      </c>
      <c r="H1544" t="s">
        <v>17</v>
      </c>
      <c r="I1544" t="str">
        <f>"060792012265"</f>
        <v>060792012265</v>
      </c>
    </row>
    <row r="1545" spans="1:9" x14ac:dyDescent="0.25">
      <c r="A1545" t="s">
        <v>1410</v>
      </c>
      <c r="B1545" t="s">
        <v>13</v>
      </c>
      <c r="C1545">
        <v>7</v>
      </c>
      <c r="D1545">
        <v>5.67</v>
      </c>
      <c r="E1545" t="s">
        <v>17</v>
      </c>
      <c r="F1545">
        <v>11.71</v>
      </c>
      <c r="G1545">
        <v>16.93</v>
      </c>
      <c r="H1545" t="s">
        <v>17</v>
      </c>
      <c r="I1545" t="str">
        <f>"062759000684"</f>
        <v>062759000684</v>
      </c>
    </row>
    <row r="1546" spans="1:9" x14ac:dyDescent="0.25">
      <c r="A1546" t="s">
        <v>1411</v>
      </c>
      <c r="B1546" t="s">
        <v>13</v>
      </c>
      <c r="C1546">
        <v>9.1300000000000008</v>
      </c>
      <c r="D1546">
        <v>7.12</v>
      </c>
      <c r="E1546" t="s">
        <v>17</v>
      </c>
      <c r="F1546">
        <v>28.15</v>
      </c>
      <c r="G1546">
        <v>30.62</v>
      </c>
      <c r="H1546" t="s">
        <v>17</v>
      </c>
      <c r="I1546" t="str">
        <f>"060201011819"</f>
        <v>060201011819</v>
      </c>
    </row>
    <row r="1547" spans="1:9" x14ac:dyDescent="0.25">
      <c r="A1547" t="s">
        <v>1412</v>
      </c>
      <c r="B1547" t="s">
        <v>13</v>
      </c>
      <c r="C1547">
        <v>19.489999999999998</v>
      </c>
      <c r="D1547">
        <v>17.899999999999999</v>
      </c>
      <c r="E1547" t="s">
        <v>17</v>
      </c>
      <c r="F1547">
        <v>22.32</v>
      </c>
      <c r="G1547">
        <v>21.96</v>
      </c>
      <c r="H1547" t="s">
        <v>17</v>
      </c>
      <c r="I1547" t="str">
        <f>"062271011337"</f>
        <v>062271011337</v>
      </c>
    </row>
    <row r="1548" spans="1:9" x14ac:dyDescent="0.25">
      <c r="A1548" t="s">
        <v>1413</v>
      </c>
      <c r="B1548" t="s">
        <v>13</v>
      </c>
      <c r="C1548">
        <v>15.7</v>
      </c>
      <c r="D1548">
        <v>17</v>
      </c>
      <c r="E1548" t="s">
        <v>17</v>
      </c>
      <c r="F1548">
        <v>8.09</v>
      </c>
      <c r="G1548">
        <v>8.35</v>
      </c>
      <c r="H1548" t="s">
        <v>17</v>
      </c>
      <c r="I1548" t="str">
        <f>"062553003821"</f>
        <v>062553003821</v>
      </c>
    </row>
    <row r="1549" spans="1:9" x14ac:dyDescent="0.25">
      <c r="A1549" t="s">
        <v>1414</v>
      </c>
      <c r="B1549" t="s">
        <v>13</v>
      </c>
      <c r="C1549">
        <v>6.75</v>
      </c>
      <c r="D1549" t="s">
        <v>14</v>
      </c>
      <c r="E1549" t="s">
        <v>14</v>
      </c>
      <c r="F1549">
        <v>16.149999999999999</v>
      </c>
      <c r="G1549" t="s">
        <v>14</v>
      </c>
      <c r="H1549" t="s">
        <v>14</v>
      </c>
      <c r="I1549" t="str">
        <f>"062308013014"</f>
        <v>062308013014</v>
      </c>
    </row>
    <row r="1550" spans="1:9" x14ac:dyDescent="0.25">
      <c r="A1550" t="s">
        <v>1415</v>
      </c>
      <c r="B1550" t="s">
        <v>13</v>
      </c>
      <c r="C1550" t="s">
        <v>14</v>
      </c>
      <c r="D1550">
        <v>1</v>
      </c>
      <c r="E1550" t="s">
        <v>17</v>
      </c>
      <c r="F1550" t="s">
        <v>17</v>
      </c>
      <c r="G1550">
        <v>15</v>
      </c>
      <c r="H1550" t="s">
        <v>17</v>
      </c>
      <c r="I1550" t="str">
        <f>"069103311963"</f>
        <v>069103311963</v>
      </c>
    </row>
    <row r="1551" spans="1:9" x14ac:dyDescent="0.25">
      <c r="A1551" t="s">
        <v>1416</v>
      </c>
      <c r="B1551" t="s">
        <v>13</v>
      </c>
      <c r="C1551">
        <v>21.8</v>
      </c>
      <c r="D1551">
        <v>18.8</v>
      </c>
      <c r="E1551" t="s">
        <v>17</v>
      </c>
      <c r="F1551">
        <v>3.58</v>
      </c>
      <c r="G1551">
        <v>4.3099999999999996</v>
      </c>
      <c r="H1551" t="s">
        <v>17</v>
      </c>
      <c r="I1551" t="str">
        <f>"069100510749"</f>
        <v>069100510749</v>
      </c>
    </row>
    <row r="1552" spans="1:9" x14ac:dyDescent="0.25">
      <c r="A1552" t="s">
        <v>1417</v>
      </c>
      <c r="B1552" t="s">
        <v>13</v>
      </c>
      <c r="C1552">
        <v>22</v>
      </c>
      <c r="D1552">
        <v>23.5</v>
      </c>
      <c r="E1552" t="s">
        <v>17</v>
      </c>
      <c r="F1552">
        <v>26.36</v>
      </c>
      <c r="G1552">
        <v>24.6</v>
      </c>
      <c r="H1552" t="s">
        <v>17</v>
      </c>
      <c r="I1552" t="str">
        <f>"063738006317"</f>
        <v>063738006317</v>
      </c>
    </row>
    <row r="1553" spans="1:9" x14ac:dyDescent="0.25">
      <c r="A1553" t="s">
        <v>1417</v>
      </c>
      <c r="B1553" t="s">
        <v>13</v>
      </c>
      <c r="C1553">
        <v>30.5</v>
      </c>
      <c r="D1553">
        <v>29</v>
      </c>
      <c r="E1553" t="s">
        <v>17</v>
      </c>
      <c r="F1553">
        <v>26.07</v>
      </c>
      <c r="G1553">
        <v>26.72</v>
      </c>
      <c r="H1553" t="s">
        <v>17</v>
      </c>
      <c r="I1553" t="str">
        <f>"061288001451"</f>
        <v>061288001451</v>
      </c>
    </row>
    <row r="1554" spans="1:9" x14ac:dyDescent="0.25">
      <c r="A1554" t="s">
        <v>1417</v>
      </c>
      <c r="B1554" t="s">
        <v>13</v>
      </c>
      <c r="C1554">
        <v>47.3</v>
      </c>
      <c r="D1554">
        <v>43.3</v>
      </c>
      <c r="E1554" t="s">
        <v>17</v>
      </c>
      <c r="F1554">
        <v>17.23</v>
      </c>
      <c r="G1554">
        <v>18.010000000000002</v>
      </c>
      <c r="H1554" t="s">
        <v>17</v>
      </c>
      <c r="I1554" t="str">
        <f>"063432005431"</f>
        <v>063432005431</v>
      </c>
    </row>
    <row r="1555" spans="1:9" x14ac:dyDescent="0.25">
      <c r="A1555" t="s">
        <v>1417</v>
      </c>
      <c r="B1555" t="s">
        <v>13</v>
      </c>
      <c r="C1555">
        <v>31.1</v>
      </c>
      <c r="D1555">
        <v>33</v>
      </c>
      <c r="E1555" t="s">
        <v>17</v>
      </c>
      <c r="F1555">
        <v>22.89</v>
      </c>
      <c r="G1555">
        <v>21.12</v>
      </c>
      <c r="H1555" t="s">
        <v>17</v>
      </c>
      <c r="I1555" t="str">
        <f>"062667004042"</f>
        <v>062667004042</v>
      </c>
    </row>
    <row r="1556" spans="1:9" x14ac:dyDescent="0.25">
      <c r="A1556" t="s">
        <v>1417</v>
      </c>
      <c r="B1556" t="s">
        <v>13</v>
      </c>
      <c r="C1556">
        <v>19</v>
      </c>
      <c r="D1556">
        <v>21</v>
      </c>
      <c r="E1556" t="s">
        <v>17</v>
      </c>
      <c r="F1556">
        <v>27.58</v>
      </c>
      <c r="G1556">
        <v>25.67</v>
      </c>
      <c r="H1556" t="s">
        <v>17</v>
      </c>
      <c r="I1556" t="str">
        <f>"060795000761"</f>
        <v>060795000761</v>
      </c>
    </row>
    <row r="1557" spans="1:9" x14ac:dyDescent="0.25">
      <c r="A1557" t="s">
        <v>1417</v>
      </c>
      <c r="B1557" t="s">
        <v>13</v>
      </c>
      <c r="C1557">
        <v>21</v>
      </c>
      <c r="D1557">
        <v>20</v>
      </c>
      <c r="E1557" t="s">
        <v>17</v>
      </c>
      <c r="F1557">
        <v>23.81</v>
      </c>
      <c r="G1557">
        <v>24.7</v>
      </c>
      <c r="H1557" t="s">
        <v>17</v>
      </c>
      <c r="I1557" t="str">
        <f>"060004707383"</f>
        <v>060004707383</v>
      </c>
    </row>
    <row r="1558" spans="1:9" x14ac:dyDescent="0.25">
      <c r="A1558" t="s">
        <v>1417</v>
      </c>
      <c r="B1558" t="s">
        <v>13</v>
      </c>
      <c r="C1558">
        <v>20.43</v>
      </c>
      <c r="D1558">
        <v>20.329999999999998</v>
      </c>
      <c r="E1558" t="s">
        <v>17</v>
      </c>
      <c r="F1558">
        <v>22.37</v>
      </c>
      <c r="G1558">
        <v>21.79</v>
      </c>
      <c r="H1558" t="s">
        <v>17</v>
      </c>
      <c r="I1558" t="str">
        <f>"060453000414"</f>
        <v>060453000414</v>
      </c>
    </row>
    <row r="1559" spans="1:9" x14ac:dyDescent="0.25">
      <c r="A1559" t="s">
        <v>1417</v>
      </c>
      <c r="B1559" t="s">
        <v>13</v>
      </c>
      <c r="C1559">
        <v>19</v>
      </c>
      <c r="D1559">
        <v>19.5</v>
      </c>
      <c r="E1559" t="s">
        <v>17</v>
      </c>
      <c r="F1559">
        <v>18.21</v>
      </c>
      <c r="G1559">
        <v>18.510000000000002</v>
      </c>
      <c r="H1559" t="s">
        <v>17</v>
      </c>
      <c r="I1559" t="str">
        <f>"060798000766"</f>
        <v>060798000766</v>
      </c>
    </row>
    <row r="1560" spans="1:9" x14ac:dyDescent="0.25">
      <c r="A1560" t="s">
        <v>1417</v>
      </c>
      <c r="B1560" t="s">
        <v>13</v>
      </c>
      <c r="C1560">
        <v>21.5</v>
      </c>
      <c r="D1560">
        <v>25.55</v>
      </c>
      <c r="E1560" t="s">
        <v>17</v>
      </c>
      <c r="F1560">
        <v>25.12</v>
      </c>
      <c r="G1560">
        <v>23.01</v>
      </c>
      <c r="H1560" t="s">
        <v>17</v>
      </c>
      <c r="I1560" t="str">
        <f>"060369000326"</f>
        <v>060369000326</v>
      </c>
    </row>
    <row r="1561" spans="1:9" x14ac:dyDescent="0.25">
      <c r="A1561" t="s">
        <v>1417</v>
      </c>
      <c r="B1561" t="s">
        <v>13</v>
      </c>
      <c r="C1561">
        <v>23</v>
      </c>
      <c r="D1561">
        <v>30.67</v>
      </c>
      <c r="E1561" t="s">
        <v>17</v>
      </c>
      <c r="F1561">
        <v>28.39</v>
      </c>
      <c r="G1561">
        <v>20.28</v>
      </c>
      <c r="H1561" t="s">
        <v>17</v>
      </c>
      <c r="I1561" t="str">
        <f>"060384000348"</f>
        <v>060384000348</v>
      </c>
    </row>
    <row r="1562" spans="1:9" x14ac:dyDescent="0.25">
      <c r="A1562" t="s">
        <v>1418</v>
      </c>
      <c r="B1562" t="s">
        <v>13</v>
      </c>
      <c r="C1562">
        <v>11.06</v>
      </c>
      <c r="D1562">
        <v>10.14</v>
      </c>
      <c r="E1562" t="s">
        <v>17</v>
      </c>
      <c r="F1562">
        <v>19.260000000000002</v>
      </c>
      <c r="G1562">
        <v>19.13</v>
      </c>
      <c r="H1562" t="s">
        <v>17</v>
      </c>
      <c r="I1562" t="str">
        <f>"064347007032"</f>
        <v>064347007032</v>
      </c>
    </row>
    <row r="1563" spans="1:9" x14ac:dyDescent="0.25">
      <c r="A1563" t="s">
        <v>1419</v>
      </c>
      <c r="B1563" t="s">
        <v>13</v>
      </c>
      <c r="C1563">
        <v>27</v>
      </c>
      <c r="D1563">
        <v>26.51</v>
      </c>
      <c r="E1563" t="s">
        <v>17</v>
      </c>
      <c r="F1563">
        <v>20.11</v>
      </c>
      <c r="G1563">
        <v>20.86</v>
      </c>
      <c r="H1563" t="s">
        <v>17</v>
      </c>
      <c r="I1563" t="str">
        <f>"062271002908"</f>
        <v>062271002908</v>
      </c>
    </row>
    <row r="1564" spans="1:9" x14ac:dyDescent="0.25">
      <c r="A1564" t="s">
        <v>1420</v>
      </c>
      <c r="B1564" t="s">
        <v>13</v>
      </c>
      <c r="C1564">
        <v>7.2</v>
      </c>
      <c r="D1564">
        <v>7.61</v>
      </c>
      <c r="E1564" t="s">
        <v>17</v>
      </c>
      <c r="F1564">
        <v>19.440000000000001</v>
      </c>
      <c r="G1564">
        <v>21.55</v>
      </c>
      <c r="H1564" t="s">
        <v>17</v>
      </c>
      <c r="I1564" t="str">
        <f>"062583003873"</f>
        <v>062583003873</v>
      </c>
    </row>
    <row r="1565" spans="1:9" x14ac:dyDescent="0.25">
      <c r="A1565" t="s">
        <v>1420</v>
      </c>
      <c r="B1565" t="s">
        <v>13</v>
      </c>
      <c r="C1565">
        <v>13.96</v>
      </c>
      <c r="D1565">
        <v>13.45</v>
      </c>
      <c r="E1565" t="s">
        <v>17</v>
      </c>
      <c r="F1565">
        <v>23.21</v>
      </c>
      <c r="G1565">
        <v>22.6</v>
      </c>
      <c r="H1565" t="s">
        <v>17</v>
      </c>
      <c r="I1565" t="str">
        <f>"060402000358"</f>
        <v>060402000358</v>
      </c>
    </row>
    <row r="1566" spans="1:9" x14ac:dyDescent="0.25">
      <c r="A1566" t="s">
        <v>1421</v>
      </c>
      <c r="B1566" t="s">
        <v>13</v>
      </c>
      <c r="C1566">
        <v>168.86</v>
      </c>
      <c r="D1566">
        <v>167.64</v>
      </c>
      <c r="E1566" t="s">
        <v>17</v>
      </c>
      <c r="F1566">
        <v>23.82</v>
      </c>
      <c r="G1566">
        <v>23.69</v>
      </c>
      <c r="H1566" t="s">
        <v>17</v>
      </c>
      <c r="I1566" t="str">
        <f>"060797005777"</f>
        <v>060797005777</v>
      </c>
    </row>
    <row r="1567" spans="1:9" x14ac:dyDescent="0.25">
      <c r="A1567" t="s">
        <v>1422</v>
      </c>
      <c r="B1567" t="s">
        <v>13</v>
      </c>
      <c r="C1567">
        <v>33</v>
      </c>
      <c r="D1567">
        <v>33</v>
      </c>
      <c r="E1567" t="s">
        <v>17</v>
      </c>
      <c r="F1567">
        <v>5.15</v>
      </c>
      <c r="G1567">
        <v>5.76</v>
      </c>
      <c r="H1567" t="s">
        <v>17</v>
      </c>
      <c r="I1567" t="str">
        <f>"069107812696"</f>
        <v>069107812696</v>
      </c>
    </row>
    <row r="1568" spans="1:9" x14ac:dyDescent="0.25">
      <c r="A1568" t="s">
        <v>1423</v>
      </c>
      <c r="B1568" t="s">
        <v>13</v>
      </c>
      <c r="C1568">
        <v>33.299999999999997</v>
      </c>
      <c r="D1568">
        <v>33.25</v>
      </c>
      <c r="E1568" t="s">
        <v>17</v>
      </c>
      <c r="F1568">
        <v>18.8</v>
      </c>
      <c r="G1568">
        <v>19.61</v>
      </c>
      <c r="H1568" t="s">
        <v>17</v>
      </c>
      <c r="I1568" t="str">
        <f>"062847009417"</f>
        <v>062847009417</v>
      </c>
    </row>
    <row r="1569" spans="1:9" x14ac:dyDescent="0.25">
      <c r="A1569" t="s">
        <v>1424</v>
      </c>
      <c r="B1569" t="s">
        <v>13</v>
      </c>
      <c r="C1569">
        <v>27.5</v>
      </c>
      <c r="D1569">
        <v>32.840000000000003</v>
      </c>
      <c r="E1569" t="s">
        <v>17</v>
      </c>
      <c r="F1569">
        <v>25.67</v>
      </c>
      <c r="G1569">
        <v>27.07</v>
      </c>
      <c r="H1569" t="s">
        <v>17</v>
      </c>
      <c r="I1569" t="str">
        <f>"063315005134"</f>
        <v>063315005134</v>
      </c>
    </row>
    <row r="1570" spans="1:9" x14ac:dyDescent="0.25">
      <c r="A1570" t="s">
        <v>1424</v>
      </c>
      <c r="B1570" t="s">
        <v>13</v>
      </c>
      <c r="C1570">
        <v>32.6</v>
      </c>
      <c r="D1570">
        <v>30.8</v>
      </c>
      <c r="E1570" t="s">
        <v>17</v>
      </c>
      <c r="F1570">
        <v>20.03</v>
      </c>
      <c r="G1570">
        <v>20.36</v>
      </c>
      <c r="H1570" t="s">
        <v>17</v>
      </c>
      <c r="I1570" t="str">
        <f>"063429005402"</f>
        <v>063429005402</v>
      </c>
    </row>
    <row r="1571" spans="1:9" x14ac:dyDescent="0.25">
      <c r="A1571" t="s">
        <v>1424</v>
      </c>
      <c r="B1571" t="s">
        <v>13</v>
      </c>
      <c r="C1571">
        <v>17.399999999999999</v>
      </c>
      <c r="D1571">
        <v>17.07</v>
      </c>
      <c r="E1571" t="s">
        <v>17</v>
      </c>
      <c r="F1571">
        <v>20.57</v>
      </c>
      <c r="G1571">
        <v>18.22</v>
      </c>
      <c r="H1571" t="s">
        <v>17</v>
      </c>
      <c r="I1571" t="str">
        <f>"062910004489"</f>
        <v>062910004489</v>
      </c>
    </row>
    <row r="1572" spans="1:9" x14ac:dyDescent="0.25">
      <c r="A1572" t="s">
        <v>1425</v>
      </c>
      <c r="B1572" t="s">
        <v>13</v>
      </c>
      <c r="C1572" t="s">
        <v>17</v>
      </c>
      <c r="D1572" t="s">
        <v>17</v>
      </c>
      <c r="E1572" t="s">
        <v>17</v>
      </c>
      <c r="F1572" t="s">
        <v>17</v>
      </c>
      <c r="G1572" t="s">
        <v>17</v>
      </c>
      <c r="H1572" t="s">
        <v>17</v>
      </c>
      <c r="I1572" t="str">
        <f>"060012410999"</f>
        <v>060012410999</v>
      </c>
    </row>
    <row r="1573" spans="1:9" x14ac:dyDescent="0.25">
      <c r="A1573" t="s">
        <v>1426</v>
      </c>
      <c r="B1573" t="s">
        <v>13</v>
      </c>
      <c r="C1573" t="s">
        <v>17</v>
      </c>
      <c r="D1573" t="s">
        <v>17</v>
      </c>
      <c r="E1573" t="s">
        <v>17</v>
      </c>
      <c r="F1573" t="s">
        <v>17</v>
      </c>
      <c r="G1573" t="s">
        <v>17</v>
      </c>
      <c r="H1573" t="s">
        <v>17</v>
      </c>
      <c r="I1573" t="str">
        <f>"060009610770"</f>
        <v>060009610770</v>
      </c>
    </row>
    <row r="1574" spans="1:9" x14ac:dyDescent="0.25">
      <c r="A1574" t="s">
        <v>1427</v>
      </c>
      <c r="B1574" t="s">
        <v>13</v>
      </c>
      <c r="C1574">
        <v>13</v>
      </c>
      <c r="D1574">
        <v>12</v>
      </c>
      <c r="E1574" t="s">
        <v>17</v>
      </c>
      <c r="F1574">
        <v>22.08</v>
      </c>
      <c r="G1574">
        <v>22.75</v>
      </c>
      <c r="H1574" t="s">
        <v>17</v>
      </c>
      <c r="I1574" t="str">
        <f>"060797009345"</f>
        <v>060797009345</v>
      </c>
    </row>
    <row r="1575" spans="1:9" x14ac:dyDescent="0.25">
      <c r="A1575" t="s">
        <v>1428</v>
      </c>
      <c r="B1575" t="s">
        <v>13</v>
      </c>
      <c r="C1575" t="s">
        <v>14</v>
      </c>
      <c r="D1575" t="s">
        <v>17</v>
      </c>
      <c r="E1575" t="s">
        <v>17</v>
      </c>
      <c r="F1575" t="s">
        <v>17</v>
      </c>
      <c r="G1575" t="s">
        <v>17</v>
      </c>
      <c r="H1575" t="s">
        <v>17</v>
      </c>
      <c r="I1575" t="str">
        <f>"060801012595"</f>
        <v>060801012595</v>
      </c>
    </row>
    <row r="1576" spans="1:9" x14ac:dyDescent="0.25">
      <c r="A1576" t="s">
        <v>1429</v>
      </c>
      <c r="B1576" t="s">
        <v>13</v>
      </c>
      <c r="C1576">
        <v>73.400000000000006</v>
      </c>
      <c r="D1576">
        <v>71.900000000000006</v>
      </c>
      <c r="E1576" t="s">
        <v>17</v>
      </c>
      <c r="F1576">
        <v>25.57</v>
      </c>
      <c r="G1576">
        <v>25.22</v>
      </c>
      <c r="H1576" t="s">
        <v>17</v>
      </c>
      <c r="I1576" t="str">
        <f>"060801000771"</f>
        <v>060801000771</v>
      </c>
    </row>
    <row r="1577" spans="1:9" x14ac:dyDescent="0.25">
      <c r="A1577" t="s">
        <v>1430</v>
      </c>
      <c r="B1577" t="s">
        <v>13</v>
      </c>
      <c r="C1577">
        <v>37.200000000000003</v>
      </c>
      <c r="D1577">
        <v>40.92</v>
      </c>
      <c r="E1577" t="s">
        <v>17</v>
      </c>
      <c r="F1577">
        <v>20.97</v>
      </c>
      <c r="G1577">
        <v>20.309999999999999</v>
      </c>
      <c r="H1577" t="s">
        <v>17</v>
      </c>
      <c r="I1577" t="str">
        <f>"061495001667"</f>
        <v>061495001667</v>
      </c>
    </row>
    <row r="1578" spans="1:9" x14ac:dyDescent="0.25">
      <c r="A1578" t="s">
        <v>1430</v>
      </c>
      <c r="B1578" t="s">
        <v>13</v>
      </c>
      <c r="C1578">
        <v>66.569999999999993</v>
      </c>
      <c r="D1578">
        <v>68.37</v>
      </c>
      <c r="E1578" t="s">
        <v>17</v>
      </c>
      <c r="F1578">
        <v>25</v>
      </c>
      <c r="G1578">
        <v>24.72</v>
      </c>
      <c r="H1578" t="s">
        <v>17</v>
      </c>
      <c r="I1578" t="str">
        <f>"060813011489"</f>
        <v>060813011489</v>
      </c>
    </row>
    <row r="1579" spans="1:9" x14ac:dyDescent="0.25">
      <c r="A1579" t="s">
        <v>1431</v>
      </c>
      <c r="B1579" t="s">
        <v>13</v>
      </c>
      <c r="C1579">
        <v>4.2300000000000004</v>
      </c>
      <c r="D1579">
        <v>3.2</v>
      </c>
      <c r="E1579" t="s">
        <v>17</v>
      </c>
      <c r="F1579">
        <v>19.39</v>
      </c>
      <c r="G1579">
        <v>25.94</v>
      </c>
      <c r="H1579" t="s">
        <v>17</v>
      </c>
      <c r="I1579" t="str">
        <f>"061954002342"</f>
        <v>061954002342</v>
      </c>
    </row>
    <row r="1580" spans="1:9" x14ac:dyDescent="0.25">
      <c r="A1580" t="s">
        <v>1432</v>
      </c>
      <c r="B1580" t="s">
        <v>13</v>
      </c>
      <c r="C1580">
        <v>22</v>
      </c>
      <c r="D1580">
        <v>23</v>
      </c>
      <c r="E1580" t="s">
        <v>17</v>
      </c>
      <c r="F1580">
        <v>26.55</v>
      </c>
      <c r="G1580">
        <v>24.96</v>
      </c>
      <c r="H1580" t="s">
        <v>17</v>
      </c>
      <c r="I1580" t="str">
        <f>"060807002335"</f>
        <v>060807002335</v>
      </c>
    </row>
    <row r="1581" spans="1:9" x14ac:dyDescent="0.25">
      <c r="A1581" t="s">
        <v>1433</v>
      </c>
      <c r="B1581" t="s">
        <v>13</v>
      </c>
      <c r="C1581">
        <v>5.31</v>
      </c>
      <c r="D1581">
        <v>6.6</v>
      </c>
      <c r="E1581" t="s">
        <v>17</v>
      </c>
      <c r="F1581">
        <v>11.11</v>
      </c>
      <c r="G1581">
        <v>10.45</v>
      </c>
      <c r="H1581" t="s">
        <v>17</v>
      </c>
      <c r="I1581" t="str">
        <f>"060964012664"</f>
        <v>060964012664</v>
      </c>
    </row>
    <row r="1582" spans="1:9" x14ac:dyDescent="0.25">
      <c r="A1582" t="s">
        <v>1434</v>
      </c>
      <c r="B1582" t="s">
        <v>13</v>
      </c>
      <c r="C1582">
        <v>12.8</v>
      </c>
      <c r="D1582">
        <v>13.94</v>
      </c>
      <c r="E1582" t="s">
        <v>17</v>
      </c>
      <c r="F1582">
        <v>23.13</v>
      </c>
      <c r="G1582">
        <v>21.52</v>
      </c>
      <c r="H1582" t="s">
        <v>17</v>
      </c>
      <c r="I1582" t="str">
        <f>"062142011614"</f>
        <v>062142011614</v>
      </c>
    </row>
    <row r="1583" spans="1:9" x14ac:dyDescent="0.25">
      <c r="A1583" t="s">
        <v>1435</v>
      </c>
      <c r="B1583" t="s">
        <v>13</v>
      </c>
      <c r="C1583">
        <v>16</v>
      </c>
      <c r="D1583" t="s">
        <v>17</v>
      </c>
      <c r="E1583" t="s">
        <v>17</v>
      </c>
      <c r="F1583">
        <v>24.94</v>
      </c>
      <c r="G1583" t="s">
        <v>17</v>
      </c>
      <c r="H1583" t="s">
        <v>17</v>
      </c>
      <c r="I1583" t="str">
        <f>"062142010827"</f>
        <v>062142010827</v>
      </c>
    </row>
    <row r="1584" spans="1:9" x14ac:dyDescent="0.25">
      <c r="A1584" t="s">
        <v>1436</v>
      </c>
      <c r="B1584" t="s">
        <v>13</v>
      </c>
      <c r="C1584">
        <v>26.4</v>
      </c>
      <c r="D1584">
        <v>29</v>
      </c>
      <c r="E1584" t="s">
        <v>17</v>
      </c>
      <c r="F1584">
        <v>27.54</v>
      </c>
      <c r="G1584">
        <v>25.86</v>
      </c>
      <c r="H1584" t="s">
        <v>17</v>
      </c>
      <c r="I1584" t="str">
        <f>"060903008466"</f>
        <v>060903008466</v>
      </c>
    </row>
    <row r="1585" spans="1:9" x14ac:dyDescent="0.25">
      <c r="A1585" t="s">
        <v>1437</v>
      </c>
      <c r="B1585" t="s">
        <v>13</v>
      </c>
      <c r="C1585">
        <v>9.1</v>
      </c>
      <c r="D1585">
        <v>9.5</v>
      </c>
      <c r="E1585" t="s">
        <v>17</v>
      </c>
      <c r="F1585">
        <v>19.89</v>
      </c>
      <c r="G1585">
        <v>19.16</v>
      </c>
      <c r="H1585" t="s">
        <v>17</v>
      </c>
      <c r="I1585" t="str">
        <f>"060015310928"</f>
        <v>060015310928</v>
      </c>
    </row>
    <row r="1586" spans="1:9" x14ac:dyDescent="0.25">
      <c r="A1586" t="s">
        <v>1437</v>
      </c>
      <c r="B1586" t="s">
        <v>13</v>
      </c>
      <c r="C1586">
        <v>95.78</v>
      </c>
      <c r="D1586">
        <v>100.41</v>
      </c>
      <c r="E1586" t="s">
        <v>17</v>
      </c>
      <c r="F1586">
        <v>20.28</v>
      </c>
      <c r="G1586">
        <v>19.89</v>
      </c>
      <c r="H1586" t="s">
        <v>17</v>
      </c>
      <c r="I1586" t="str">
        <f>"063531009633"</f>
        <v>063531009633</v>
      </c>
    </row>
    <row r="1587" spans="1:9" x14ac:dyDescent="0.25">
      <c r="A1587" t="s">
        <v>1437</v>
      </c>
      <c r="B1587" t="s">
        <v>13</v>
      </c>
      <c r="C1587" t="s">
        <v>14</v>
      </c>
      <c r="D1587" t="s">
        <v>14</v>
      </c>
      <c r="E1587" t="s">
        <v>17</v>
      </c>
      <c r="F1587" t="s">
        <v>14</v>
      </c>
      <c r="G1587" t="s">
        <v>14</v>
      </c>
      <c r="H1587" t="s">
        <v>17</v>
      </c>
      <c r="I1587" t="str">
        <f>"060964005528"</f>
        <v>060964005528</v>
      </c>
    </row>
    <row r="1588" spans="1:9" x14ac:dyDescent="0.25">
      <c r="A1588" t="s">
        <v>1438</v>
      </c>
      <c r="B1588" t="s">
        <v>13</v>
      </c>
      <c r="C1588">
        <v>19</v>
      </c>
      <c r="D1588">
        <v>20</v>
      </c>
      <c r="E1588" t="s">
        <v>17</v>
      </c>
      <c r="F1588">
        <v>21.37</v>
      </c>
      <c r="G1588">
        <v>21.15</v>
      </c>
      <c r="H1588" t="s">
        <v>17</v>
      </c>
      <c r="I1588" t="str">
        <f>"062271002909"</f>
        <v>062271002909</v>
      </c>
    </row>
    <row r="1589" spans="1:9" x14ac:dyDescent="0.25">
      <c r="A1589" t="s">
        <v>1439</v>
      </c>
      <c r="B1589" t="s">
        <v>13</v>
      </c>
      <c r="C1589">
        <v>15.08</v>
      </c>
      <c r="D1589">
        <v>16.739999999999998</v>
      </c>
      <c r="E1589" t="s">
        <v>17</v>
      </c>
      <c r="F1589">
        <v>24.01</v>
      </c>
      <c r="G1589">
        <v>20.85</v>
      </c>
      <c r="H1589" t="s">
        <v>17</v>
      </c>
      <c r="I1589" t="str">
        <f>"061185001311"</f>
        <v>061185001311</v>
      </c>
    </row>
    <row r="1590" spans="1:9" x14ac:dyDescent="0.25">
      <c r="A1590" t="s">
        <v>1440</v>
      </c>
      <c r="B1590" t="s">
        <v>13</v>
      </c>
      <c r="C1590">
        <v>61.31</v>
      </c>
      <c r="D1590">
        <v>60.2</v>
      </c>
      <c r="E1590" t="s">
        <v>17</v>
      </c>
      <c r="F1590">
        <v>24.06</v>
      </c>
      <c r="G1590">
        <v>23.6</v>
      </c>
      <c r="H1590" t="s">
        <v>17</v>
      </c>
      <c r="I1590" t="str">
        <f>"060813000785"</f>
        <v>060813000785</v>
      </c>
    </row>
    <row r="1591" spans="1:9" x14ac:dyDescent="0.25">
      <c r="A1591" t="s">
        <v>1441</v>
      </c>
      <c r="B1591" t="s">
        <v>13</v>
      </c>
      <c r="C1591">
        <v>25.55</v>
      </c>
      <c r="D1591">
        <v>24.11</v>
      </c>
      <c r="E1591" t="s">
        <v>17</v>
      </c>
      <c r="F1591">
        <v>29.08</v>
      </c>
      <c r="G1591">
        <v>31.15</v>
      </c>
      <c r="H1591" t="s">
        <v>17</v>
      </c>
      <c r="I1591" t="str">
        <f>"061734009378"</f>
        <v>061734009378</v>
      </c>
    </row>
    <row r="1592" spans="1:9" x14ac:dyDescent="0.25">
      <c r="A1592" t="s">
        <v>1442</v>
      </c>
      <c r="B1592" t="s">
        <v>13</v>
      </c>
      <c r="C1592">
        <v>21</v>
      </c>
      <c r="D1592">
        <v>21</v>
      </c>
      <c r="E1592" t="s">
        <v>17</v>
      </c>
      <c r="F1592">
        <v>23.14</v>
      </c>
      <c r="G1592">
        <v>23.48</v>
      </c>
      <c r="H1592" t="s">
        <v>17</v>
      </c>
      <c r="I1592" t="str">
        <f>"063603006165"</f>
        <v>063603006165</v>
      </c>
    </row>
    <row r="1593" spans="1:9" x14ac:dyDescent="0.25">
      <c r="A1593" t="s">
        <v>1442</v>
      </c>
      <c r="B1593" t="s">
        <v>13</v>
      </c>
      <c r="C1593">
        <v>16</v>
      </c>
      <c r="D1593">
        <v>17</v>
      </c>
      <c r="E1593" t="s">
        <v>17</v>
      </c>
      <c r="F1593">
        <v>24.63</v>
      </c>
      <c r="G1593">
        <v>22.88</v>
      </c>
      <c r="H1593" t="s">
        <v>17</v>
      </c>
      <c r="I1593" t="str">
        <f>"061524001920"</f>
        <v>061524001920</v>
      </c>
    </row>
    <row r="1594" spans="1:9" x14ac:dyDescent="0.25">
      <c r="A1594" t="s">
        <v>1442</v>
      </c>
      <c r="B1594" t="s">
        <v>13</v>
      </c>
      <c r="C1594">
        <v>24.2</v>
      </c>
      <c r="D1594">
        <v>24.5</v>
      </c>
      <c r="E1594" t="s">
        <v>17</v>
      </c>
      <c r="F1594">
        <v>28.93</v>
      </c>
      <c r="G1594">
        <v>27.71</v>
      </c>
      <c r="H1594" t="s">
        <v>17</v>
      </c>
      <c r="I1594" t="str">
        <f>"060162000009"</f>
        <v>060162000009</v>
      </c>
    </row>
    <row r="1595" spans="1:9" x14ac:dyDescent="0.25">
      <c r="A1595" t="s">
        <v>1443</v>
      </c>
      <c r="B1595" t="s">
        <v>13</v>
      </c>
      <c r="C1595">
        <v>86.4</v>
      </c>
      <c r="D1595">
        <v>86</v>
      </c>
      <c r="E1595" t="s">
        <v>17</v>
      </c>
      <c r="F1595">
        <v>25.19</v>
      </c>
      <c r="G1595">
        <v>25.47</v>
      </c>
      <c r="H1595" t="s">
        <v>17</v>
      </c>
      <c r="I1595" t="str">
        <f>"060162000010"</f>
        <v>060162000010</v>
      </c>
    </row>
    <row r="1596" spans="1:9" x14ac:dyDescent="0.25">
      <c r="A1596" t="s">
        <v>1444</v>
      </c>
      <c r="B1596" t="s">
        <v>13</v>
      </c>
      <c r="C1596">
        <v>36.51</v>
      </c>
      <c r="D1596">
        <v>36.11</v>
      </c>
      <c r="E1596" t="s">
        <v>17</v>
      </c>
      <c r="F1596">
        <v>29.64</v>
      </c>
      <c r="G1596">
        <v>28.97</v>
      </c>
      <c r="H1596" t="s">
        <v>17</v>
      </c>
      <c r="I1596" t="str">
        <f>"062865004423"</f>
        <v>062865004423</v>
      </c>
    </row>
    <row r="1597" spans="1:9" x14ac:dyDescent="0.25">
      <c r="A1597" t="s">
        <v>1445</v>
      </c>
      <c r="B1597" t="s">
        <v>13</v>
      </c>
      <c r="C1597">
        <v>36.5</v>
      </c>
      <c r="D1597">
        <v>32</v>
      </c>
      <c r="E1597" t="s">
        <v>17</v>
      </c>
      <c r="F1597">
        <v>25.23</v>
      </c>
      <c r="G1597">
        <v>21</v>
      </c>
      <c r="H1597" t="s">
        <v>17</v>
      </c>
      <c r="I1597" t="str">
        <f>"060985007209"</f>
        <v>060985007209</v>
      </c>
    </row>
    <row r="1598" spans="1:9" x14ac:dyDescent="0.25">
      <c r="A1598" t="s">
        <v>1446</v>
      </c>
      <c r="B1598" t="s">
        <v>13</v>
      </c>
      <c r="C1598">
        <v>15.5</v>
      </c>
      <c r="D1598">
        <v>16</v>
      </c>
      <c r="E1598" t="s">
        <v>17</v>
      </c>
      <c r="F1598">
        <v>25.1</v>
      </c>
      <c r="G1598">
        <v>20.88</v>
      </c>
      <c r="H1598" t="s">
        <v>17</v>
      </c>
      <c r="I1598" t="str">
        <f>"060962002220"</f>
        <v>060962002220</v>
      </c>
    </row>
    <row r="1599" spans="1:9" x14ac:dyDescent="0.25">
      <c r="A1599" t="s">
        <v>1447</v>
      </c>
      <c r="B1599" t="s">
        <v>13</v>
      </c>
      <c r="C1599">
        <v>16</v>
      </c>
      <c r="D1599">
        <v>15</v>
      </c>
      <c r="E1599" t="s">
        <v>17</v>
      </c>
      <c r="F1599">
        <v>22.5</v>
      </c>
      <c r="G1599">
        <v>23</v>
      </c>
      <c r="H1599" t="s">
        <v>17</v>
      </c>
      <c r="I1599" t="str">
        <f>"062271010887"</f>
        <v>062271010887</v>
      </c>
    </row>
    <row r="1600" spans="1:9" x14ac:dyDescent="0.25">
      <c r="A1600" t="s">
        <v>1447</v>
      </c>
      <c r="B1600" t="s">
        <v>13</v>
      </c>
      <c r="C1600">
        <v>29.92</v>
      </c>
      <c r="D1600">
        <v>28</v>
      </c>
      <c r="E1600" t="s">
        <v>17</v>
      </c>
      <c r="F1600">
        <v>25.67</v>
      </c>
      <c r="G1600">
        <v>27.04</v>
      </c>
      <c r="H1600" t="s">
        <v>17</v>
      </c>
      <c r="I1600" t="str">
        <f>"062334011678"</f>
        <v>062334011678</v>
      </c>
    </row>
    <row r="1601" spans="1:9" x14ac:dyDescent="0.25">
      <c r="A1601" t="s">
        <v>1447</v>
      </c>
      <c r="B1601" t="s">
        <v>13</v>
      </c>
      <c r="C1601">
        <v>37</v>
      </c>
      <c r="D1601">
        <v>37.03</v>
      </c>
      <c r="E1601" t="s">
        <v>17</v>
      </c>
      <c r="F1601">
        <v>28.78</v>
      </c>
      <c r="G1601">
        <v>29.19</v>
      </c>
      <c r="H1601" t="s">
        <v>17</v>
      </c>
      <c r="I1601" t="str">
        <f>"060690011897"</f>
        <v>060690011897</v>
      </c>
    </row>
    <row r="1602" spans="1:9" x14ac:dyDescent="0.25">
      <c r="A1602" t="s">
        <v>1447</v>
      </c>
      <c r="B1602" t="s">
        <v>13</v>
      </c>
      <c r="C1602">
        <v>16.5</v>
      </c>
      <c r="D1602">
        <v>17.5</v>
      </c>
      <c r="E1602" t="s">
        <v>17</v>
      </c>
      <c r="F1602">
        <v>26.42</v>
      </c>
      <c r="G1602">
        <v>25.77</v>
      </c>
      <c r="H1602" t="s">
        <v>17</v>
      </c>
      <c r="I1602" t="str">
        <f>"062769008922"</f>
        <v>062769008922</v>
      </c>
    </row>
    <row r="1603" spans="1:9" x14ac:dyDescent="0.25">
      <c r="A1603" t="s">
        <v>1447</v>
      </c>
      <c r="B1603" t="s">
        <v>13</v>
      </c>
      <c r="C1603">
        <v>38</v>
      </c>
      <c r="D1603">
        <v>39.049999999999997</v>
      </c>
      <c r="E1603" t="s">
        <v>17</v>
      </c>
      <c r="F1603">
        <v>24.71</v>
      </c>
      <c r="G1603">
        <v>23.3</v>
      </c>
      <c r="H1603" t="s">
        <v>17</v>
      </c>
      <c r="I1603" t="str">
        <f>"060907009764"</f>
        <v>060907009764</v>
      </c>
    </row>
    <row r="1604" spans="1:9" x14ac:dyDescent="0.25">
      <c r="A1604" t="s">
        <v>1447</v>
      </c>
      <c r="B1604" t="s">
        <v>13</v>
      </c>
      <c r="C1604">
        <v>22.06</v>
      </c>
      <c r="D1604">
        <v>25.99</v>
      </c>
      <c r="E1604" t="s">
        <v>17</v>
      </c>
      <c r="F1604">
        <v>28.47</v>
      </c>
      <c r="G1604">
        <v>24.62</v>
      </c>
      <c r="H1604" t="s">
        <v>17</v>
      </c>
      <c r="I1604" t="str">
        <f>"061062001183"</f>
        <v>061062001183</v>
      </c>
    </row>
    <row r="1605" spans="1:9" x14ac:dyDescent="0.25">
      <c r="A1605" t="s">
        <v>1447</v>
      </c>
      <c r="B1605" t="s">
        <v>13</v>
      </c>
      <c r="C1605">
        <v>29</v>
      </c>
      <c r="D1605">
        <v>31</v>
      </c>
      <c r="E1605" t="s">
        <v>17</v>
      </c>
      <c r="F1605">
        <v>25.72</v>
      </c>
      <c r="G1605">
        <v>23.81</v>
      </c>
      <c r="H1605" t="s">
        <v>17</v>
      </c>
      <c r="I1605" t="str">
        <f>"061608002256"</f>
        <v>061608002256</v>
      </c>
    </row>
    <row r="1606" spans="1:9" x14ac:dyDescent="0.25">
      <c r="A1606" t="s">
        <v>1447</v>
      </c>
      <c r="B1606" t="s">
        <v>13</v>
      </c>
      <c r="C1606">
        <v>26.64</v>
      </c>
      <c r="D1606">
        <v>25.5</v>
      </c>
      <c r="E1606" t="s">
        <v>17</v>
      </c>
      <c r="F1606">
        <v>16.100000000000001</v>
      </c>
      <c r="G1606">
        <v>17.45</v>
      </c>
      <c r="H1606" t="s">
        <v>17</v>
      </c>
      <c r="I1606" t="str">
        <f>"060231000111"</f>
        <v>060231000111</v>
      </c>
    </row>
    <row r="1607" spans="1:9" x14ac:dyDescent="0.25">
      <c r="A1607" t="s">
        <v>1447</v>
      </c>
      <c r="B1607" t="s">
        <v>13</v>
      </c>
      <c r="C1607">
        <v>8.8000000000000007</v>
      </c>
      <c r="D1607">
        <v>10.3</v>
      </c>
      <c r="E1607" t="s">
        <v>17</v>
      </c>
      <c r="F1607">
        <v>27.27</v>
      </c>
      <c r="G1607">
        <v>26.12</v>
      </c>
      <c r="H1607" t="s">
        <v>17</v>
      </c>
      <c r="I1607" t="str">
        <f>"063186004916"</f>
        <v>063186004916</v>
      </c>
    </row>
    <row r="1608" spans="1:9" x14ac:dyDescent="0.25">
      <c r="A1608" t="s">
        <v>1448</v>
      </c>
      <c r="B1608" t="s">
        <v>13</v>
      </c>
      <c r="C1608">
        <v>85.75</v>
      </c>
      <c r="D1608">
        <v>88.66</v>
      </c>
      <c r="E1608" t="s">
        <v>17</v>
      </c>
      <c r="F1608">
        <v>24.59</v>
      </c>
      <c r="G1608">
        <v>24.25</v>
      </c>
      <c r="H1608" t="s">
        <v>17</v>
      </c>
      <c r="I1608" t="str">
        <f>"063801011422"</f>
        <v>063801011422</v>
      </c>
    </row>
    <row r="1609" spans="1:9" x14ac:dyDescent="0.25">
      <c r="A1609" t="s">
        <v>1449</v>
      </c>
      <c r="B1609" t="s">
        <v>13</v>
      </c>
      <c r="C1609">
        <v>11</v>
      </c>
      <c r="D1609">
        <v>11.2</v>
      </c>
      <c r="E1609" t="s">
        <v>17</v>
      </c>
      <c r="F1609">
        <v>29.91</v>
      </c>
      <c r="G1609">
        <v>26.88</v>
      </c>
      <c r="H1609" t="s">
        <v>17</v>
      </c>
      <c r="I1609" t="str">
        <f>"063384010358"</f>
        <v>063384010358</v>
      </c>
    </row>
    <row r="1610" spans="1:9" x14ac:dyDescent="0.25">
      <c r="A1610" t="s">
        <v>1450</v>
      </c>
      <c r="B1610" t="s">
        <v>13</v>
      </c>
      <c r="C1610">
        <v>19.670000000000002</v>
      </c>
      <c r="D1610">
        <v>9.52</v>
      </c>
      <c r="E1610" t="s">
        <v>14</v>
      </c>
      <c r="F1610">
        <v>25.88</v>
      </c>
      <c r="G1610">
        <v>23.53</v>
      </c>
      <c r="H1610" t="s">
        <v>14</v>
      </c>
      <c r="I1610" t="str">
        <f>"060813012670"</f>
        <v>060813012670</v>
      </c>
    </row>
    <row r="1611" spans="1:9" x14ac:dyDescent="0.25">
      <c r="A1611" t="s">
        <v>1451</v>
      </c>
      <c r="B1611" t="s">
        <v>13</v>
      </c>
      <c r="C1611" t="s">
        <v>17</v>
      </c>
      <c r="D1611" t="s">
        <v>14</v>
      </c>
      <c r="E1611" t="s">
        <v>14</v>
      </c>
      <c r="F1611" t="s">
        <v>17</v>
      </c>
      <c r="G1611" t="s">
        <v>14</v>
      </c>
      <c r="H1611" t="s">
        <v>14</v>
      </c>
      <c r="I1611" t="str">
        <f>"063581013339"</f>
        <v>063581013339</v>
      </c>
    </row>
    <row r="1612" spans="1:9" x14ac:dyDescent="0.25">
      <c r="A1612" t="s">
        <v>1452</v>
      </c>
      <c r="B1612" t="s">
        <v>13</v>
      </c>
      <c r="C1612">
        <v>57.04</v>
      </c>
      <c r="D1612">
        <v>59.3</v>
      </c>
      <c r="E1612" t="s">
        <v>17</v>
      </c>
      <c r="F1612">
        <v>24.86</v>
      </c>
      <c r="G1612">
        <v>25.3</v>
      </c>
      <c r="H1612" t="s">
        <v>17</v>
      </c>
      <c r="I1612" t="str">
        <f>"062691004073"</f>
        <v>062691004073</v>
      </c>
    </row>
    <row r="1613" spans="1:9" x14ac:dyDescent="0.25">
      <c r="A1613" t="s">
        <v>1452</v>
      </c>
      <c r="B1613" t="s">
        <v>13</v>
      </c>
      <c r="C1613">
        <v>24.73</v>
      </c>
      <c r="D1613">
        <v>30.4</v>
      </c>
      <c r="E1613" t="s">
        <v>17</v>
      </c>
      <c r="F1613">
        <v>24.91</v>
      </c>
      <c r="G1613">
        <v>21.02</v>
      </c>
      <c r="H1613" t="s">
        <v>17</v>
      </c>
      <c r="I1613" t="str">
        <f>"061674002118"</f>
        <v>061674002118</v>
      </c>
    </row>
    <row r="1614" spans="1:9" x14ac:dyDescent="0.25">
      <c r="A1614" t="s">
        <v>1452</v>
      </c>
      <c r="B1614" t="s">
        <v>13</v>
      </c>
      <c r="C1614">
        <v>31</v>
      </c>
      <c r="D1614">
        <v>33.5</v>
      </c>
      <c r="E1614" t="s">
        <v>17</v>
      </c>
      <c r="F1614">
        <v>23.81</v>
      </c>
      <c r="G1614">
        <v>22.93</v>
      </c>
      <c r="H1614" t="s">
        <v>17</v>
      </c>
      <c r="I1614" t="str">
        <f>"062825011922"</f>
        <v>062825011922</v>
      </c>
    </row>
    <row r="1615" spans="1:9" x14ac:dyDescent="0.25">
      <c r="A1615" t="s">
        <v>1452</v>
      </c>
      <c r="B1615" t="s">
        <v>13</v>
      </c>
      <c r="C1615">
        <v>28</v>
      </c>
      <c r="D1615">
        <v>29</v>
      </c>
      <c r="E1615" t="s">
        <v>17</v>
      </c>
      <c r="F1615">
        <v>27.43</v>
      </c>
      <c r="G1615">
        <v>27.55</v>
      </c>
      <c r="H1615" t="s">
        <v>17</v>
      </c>
      <c r="I1615" t="str">
        <f>"062316010902"</f>
        <v>062316010902</v>
      </c>
    </row>
    <row r="1616" spans="1:9" x14ac:dyDescent="0.25">
      <c r="A1616" t="s">
        <v>1453</v>
      </c>
      <c r="B1616" t="s">
        <v>13</v>
      </c>
      <c r="C1616">
        <v>20.100000000000001</v>
      </c>
      <c r="D1616">
        <v>21</v>
      </c>
      <c r="E1616" t="s">
        <v>17</v>
      </c>
      <c r="F1616">
        <v>27.46</v>
      </c>
      <c r="G1616">
        <v>26.14</v>
      </c>
      <c r="H1616" t="s">
        <v>17</v>
      </c>
      <c r="I1616" t="str">
        <f>"062991004659"</f>
        <v>062991004659</v>
      </c>
    </row>
    <row r="1617" spans="1:9" x14ac:dyDescent="0.25">
      <c r="A1617" t="s">
        <v>1454</v>
      </c>
      <c r="B1617" t="s">
        <v>13</v>
      </c>
      <c r="C1617">
        <v>38.4</v>
      </c>
      <c r="D1617">
        <v>36.81</v>
      </c>
      <c r="E1617" t="s">
        <v>17</v>
      </c>
      <c r="F1617">
        <v>19.3</v>
      </c>
      <c r="G1617">
        <v>19.07</v>
      </c>
      <c r="H1617" t="s">
        <v>17</v>
      </c>
      <c r="I1617" t="str">
        <f>"060363003095"</f>
        <v>060363003095</v>
      </c>
    </row>
    <row r="1618" spans="1:9" x14ac:dyDescent="0.25">
      <c r="A1618" t="s">
        <v>1454</v>
      </c>
      <c r="B1618" t="s">
        <v>13</v>
      </c>
      <c r="C1618">
        <v>32.1</v>
      </c>
      <c r="D1618">
        <v>33.5</v>
      </c>
      <c r="E1618" t="s">
        <v>17</v>
      </c>
      <c r="F1618">
        <v>30.78</v>
      </c>
      <c r="G1618">
        <v>29.49</v>
      </c>
      <c r="H1618" t="s">
        <v>17</v>
      </c>
      <c r="I1618" t="str">
        <f>"062547003793"</f>
        <v>062547003793</v>
      </c>
    </row>
    <row r="1619" spans="1:9" x14ac:dyDescent="0.25">
      <c r="A1619" t="s">
        <v>1454</v>
      </c>
      <c r="B1619" t="s">
        <v>13</v>
      </c>
      <c r="C1619">
        <v>30</v>
      </c>
      <c r="D1619">
        <v>25.9</v>
      </c>
      <c r="E1619" t="s">
        <v>17</v>
      </c>
      <c r="F1619">
        <v>25.83</v>
      </c>
      <c r="G1619">
        <v>29.58</v>
      </c>
      <c r="H1619" t="s">
        <v>17</v>
      </c>
      <c r="I1619" t="str">
        <f>"062922004507"</f>
        <v>062922004507</v>
      </c>
    </row>
    <row r="1620" spans="1:9" x14ac:dyDescent="0.25">
      <c r="A1620" t="s">
        <v>1454</v>
      </c>
      <c r="B1620" t="s">
        <v>13</v>
      </c>
      <c r="C1620">
        <v>29</v>
      </c>
      <c r="D1620">
        <v>28</v>
      </c>
      <c r="E1620" t="s">
        <v>17</v>
      </c>
      <c r="F1620">
        <v>30.48</v>
      </c>
      <c r="G1620">
        <v>31.32</v>
      </c>
      <c r="H1620" t="s">
        <v>17</v>
      </c>
      <c r="I1620" t="str">
        <f>"060195006050"</f>
        <v>060195006050</v>
      </c>
    </row>
    <row r="1621" spans="1:9" x14ac:dyDescent="0.25">
      <c r="A1621" t="s">
        <v>1454</v>
      </c>
      <c r="B1621" t="s">
        <v>13</v>
      </c>
      <c r="C1621">
        <v>26</v>
      </c>
      <c r="D1621">
        <v>27</v>
      </c>
      <c r="E1621" t="s">
        <v>17</v>
      </c>
      <c r="F1621">
        <v>27.04</v>
      </c>
      <c r="G1621">
        <v>24.93</v>
      </c>
      <c r="H1621" t="s">
        <v>17</v>
      </c>
      <c r="I1621" t="str">
        <f>"063255007081"</f>
        <v>063255007081</v>
      </c>
    </row>
    <row r="1622" spans="1:9" x14ac:dyDescent="0.25">
      <c r="A1622" t="s">
        <v>1455</v>
      </c>
      <c r="B1622" t="s">
        <v>13</v>
      </c>
      <c r="C1622">
        <v>13.8</v>
      </c>
      <c r="D1622">
        <v>14.91</v>
      </c>
      <c r="E1622" t="s">
        <v>17</v>
      </c>
      <c r="F1622">
        <v>22.25</v>
      </c>
      <c r="G1622">
        <v>19.579999999999998</v>
      </c>
      <c r="H1622" t="s">
        <v>17</v>
      </c>
      <c r="I1622" t="str">
        <f>"063531004767"</f>
        <v>063531004767</v>
      </c>
    </row>
    <row r="1623" spans="1:9" x14ac:dyDescent="0.25">
      <c r="A1623" t="s">
        <v>1455</v>
      </c>
      <c r="B1623" t="s">
        <v>13</v>
      </c>
      <c r="C1623">
        <v>57.17</v>
      </c>
      <c r="D1623">
        <v>55.42</v>
      </c>
      <c r="E1623" t="s">
        <v>17</v>
      </c>
      <c r="F1623">
        <v>24.79</v>
      </c>
      <c r="G1623">
        <v>26.09</v>
      </c>
      <c r="H1623" t="s">
        <v>17</v>
      </c>
      <c r="I1623" t="str">
        <f>"061086011206"</f>
        <v>061086011206</v>
      </c>
    </row>
    <row r="1624" spans="1:9" x14ac:dyDescent="0.25">
      <c r="A1624" t="s">
        <v>1456</v>
      </c>
      <c r="B1624" t="s">
        <v>13</v>
      </c>
      <c r="C1624">
        <v>16.5</v>
      </c>
      <c r="D1624">
        <v>13</v>
      </c>
      <c r="E1624" t="s">
        <v>14</v>
      </c>
      <c r="F1624">
        <v>25.7</v>
      </c>
      <c r="G1624">
        <v>23.38</v>
      </c>
      <c r="H1624" t="s">
        <v>14</v>
      </c>
      <c r="I1624" t="str">
        <f>"062271012858"</f>
        <v>062271012858</v>
      </c>
    </row>
    <row r="1625" spans="1:9" x14ac:dyDescent="0.25">
      <c r="A1625" t="s">
        <v>1457</v>
      </c>
      <c r="B1625" t="s">
        <v>13</v>
      </c>
      <c r="C1625">
        <v>20.5</v>
      </c>
      <c r="D1625">
        <v>14.51</v>
      </c>
      <c r="E1625" t="s">
        <v>14</v>
      </c>
      <c r="F1625">
        <v>22.39</v>
      </c>
      <c r="G1625">
        <v>23.85</v>
      </c>
      <c r="H1625" t="s">
        <v>14</v>
      </c>
      <c r="I1625" t="str">
        <f>"062271012926"</f>
        <v>062271012926</v>
      </c>
    </row>
    <row r="1626" spans="1:9" x14ac:dyDescent="0.25">
      <c r="A1626" t="s">
        <v>1458</v>
      </c>
      <c r="B1626" t="s">
        <v>13</v>
      </c>
      <c r="C1626">
        <v>19</v>
      </c>
      <c r="D1626">
        <v>18.02</v>
      </c>
      <c r="E1626" t="s">
        <v>14</v>
      </c>
      <c r="F1626">
        <v>24.84</v>
      </c>
      <c r="G1626">
        <v>25.42</v>
      </c>
      <c r="H1626" t="s">
        <v>14</v>
      </c>
      <c r="I1626" t="str">
        <f>"062271012895"</f>
        <v>062271012895</v>
      </c>
    </row>
    <row r="1627" spans="1:9" x14ac:dyDescent="0.25">
      <c r="A1627" t="s">
        <v>1459</v>
      </c>
      <c r="B1627" t="s">
        <v>13</v>
      </c>
      <c r="C1627">
        <v>21.5</v>
      </c>
      <c r="D1627">
        <v>16.010000000000002</v>
      </c>
      <c r="E1627" t="s">
        <v>14</v>
      </c>
      <c r="F1627">
        <v>21.72</v>
      </c>
      <c r="G1627">
        <v>21.61</v>
      </c>
      <c r="H1627" t="s">
        <v>14</v>
      </c>
      <c r="I1627" t="str">
        <f>"062271012964"</f>
        <v>062271012964</v>
      </c>
    </row>
    <row r="1628" spans="1:9" x14ac:dyDescent="0.25">
      <c r="A1628" t="s">
        <v>1460</v>
      </c>
      <c r="B1628" t="s">
        <v>13</v>
      </c>
      <c r="C1628">
        <v>12</v>
      </c>
      <c r="D1628">
        <v>11.59</v>
      </c>
      <c r="E1628" t="s">
        <v>17</v>
      </c>
      <c r="F1628">
        <v>19.329999999999998</v>
      </c>
      <c r="G1628">
        <v>20.71</v>
      </c>
      <c r="H1628" t="s">
        <v>17</v>
      </c>
      <c r="I1628" t="str">
        <f>"063084010555"</f>
        <v>063084010555</v>
      </c>
    </row>
    <row r="1629" spans="1:9" x14ac:dyDescent="0.25">
      <c r="A1629" t="s">
        <v>1460</v>
      </c>
      <c r="B1629" t="s">
        <v>13</v>
      </c>
      <c r="C1629">
        <v>48.01</v>
      </c>
      <c r="D1629">
        <v>47</v>
      </c>
      <c r="E1629" t="s">
        <v>17</v>
      </c>
      <c r="F1629">
        <v>25.6</v>
      </c>
      <c r="G1629">
        <v>24.72</v>
      </c>
      <c r="H1629" t="s">
        <v>17</v>
      </c>
      <c r="I1629" t="str">
        <f>"063417011106"</f>
        <v>063417011106</v>
      </c>
    </row>
    <row r="1630" spans="1:9" x14ac:dyDescent="0.25">
      <c r="A1630" t="s">
        <v>1460</v>
      </c>
      <c r="B1630" t="s">
        <v>13</v>
      </c>
      <c r="C1630">
        <v>21</v>
      </c>
      <c r="D1630">
        <v>21</v>
      </c>
      <c r="E1630" t="s">
        <v>17</v>
      </c>
      <c r="F1630">
        <v>25.95</v>
      </c>
      <c r="G1630">
        <v>27.38</v>
      </c>
      <c r="H1630" t="s">
        <v>17</v>
      </c>
      <c r="I1630" t="str">
        <f>"062949011463"</f>
        <v>062949011463</v>
      </c>
    </row>
    <row r="1631" spans="1:9" x14ac:dyDescent="0.25">
      <c r="A1631" t="s">
        <v>1461</v>
      </c>
      <c r="B1631" t="s">
        <v>13</v>
      </c>
      <c r="C1631">
        <v>18.239999999999998</v>
      </c>
      <c r="D1631">
        <v>18.59</v>
      </c>
      <c r="E1631" t="s">
        <v>17</v>
      </c>
      <c r="F1631">
        <v>24.67</v>
      </c>
      <c r="G1631">
        <v>23.78</v>
      </c>
      <c r="H1631" t="s">
        <v>17</v>
      </c>
      <c r="I1631" t="str">
        <f>"060780007661"</f>
        <v>060780007661</v>
      </c>
    </row>
    <row r="1632" spans="1:9" x14ac:dyDescent="0.25">
      <c r="A1632" t="s">
        <v>1461</v>
      </c>
      <c r="B1632" t="s">
        <v>13</v>
      </c>
      <c r="C1632">
        <v>23</v>
      </c>
      <c r="D1632">
        <v>23</v>
      </c>
      <c r="E1632" t="s">
        <v>17</v>
      </c>
      <c r="F1632">
        <v>25.13</v>
      </c>
      <c r="G1632">
        <v>24.74</v>
      </c>
      <c r="H1632" t="s">
        <v>17</v>
      </c>
      <c r="I1632" t="str">
        <f>"062805004239"</f>
        <v>062805004239</v>
      </c>
    </row>
    <row r="1633" spans="1:9" x14ac:dyDescent="0.25">
      <c r="A1633" t="s">
        <v>1462</v>
      </c>
      <c r="B1633" t="s">
        <v>13</v>
      </c>
      <c r="C1633">
        <v>44.24</v>
      </c>
      <c r="D1633">
        <v>39.24</v>
      </c>
      <c r="E1633" t="s">
        <v>17</v>
      </c>
      <c r="F1633">
        <v>25.52</v>
      </c>
      <c r="G1633">
        <v>27.14</v>
      </c>
      <c r="H1633" t="s">
        <v>17</v>
      </c>
      <c r="I1633" t="str">
        <f>"061314010321"</f>
        <v>061314010321</v>
      </c>
    </row>
    <row r="1634" spans="1:9" x14ac:dyDescent="0.25">
      <c r="A1634" t="s">
        <v>1463</v>
      </c>
      <c r="B1634" t="s">
        <v>13</v>
      </c>
      <c r="C1634">
        <v>2.4</v>
      </c>
      <c r="D1634">
        <v>1.5</v>
      </c>
      <c r="E1634" t="s">
        <v>17</v>
      </c>
      <c r="F1634">
        <v>10</v>
      </c>
      <c r="G1634">
        <v>9.33</v>
      </c>
      <c r="H1634" t="s">
        <v>17</v>
      </c>
      <c r="I1634" t="str">
        <f>"060816007260"</f>
        <v>060816007260</v>
      </c>
    </row>
    <row r="1635" spans="1:9" x14ac:dyDescent="0.25">
      <c r="A1635" t="s">
        <v>1464</v>
      </c>
      <c r="B1635" t="s">
        <v>13</v>
      </c>
      <c r="C1635">
        <v>3.22</v>
      </c>
      <c r="D1635" t="s">
        <v>14</v>
      </c>
      <c r="E1635" t="s">
        <v>14</v>
      </c>
      <c r="F1635">
        <v>37.58</v>
      </c>
      <c r="G1635" t="s">
        <v>14</v>
      </c>
      <c r="H1635" t="s">
        <v>14</v>
      </c>
      <c r="I1635" t="str">
        <f>"060816013110"</f>
        <v>060816013110</v>
      </c>
    </row>
    <row r="1636" spans="1:9" x14ac:dyDescent="0.25">
      <c r="A1636" t="s">
        <v>1465</v>
      </c>
      <c r="B1636" t="s">
        <v>13</v>
      </c>
      <c r="C1636">
        <v>139.62</v>
      </c>
      <c r="D1636">
        <v>139.1</v>
      </c>
      <c r="E1636" t="s">
        <v>17</v>
      </c>
      <c r="F1636">
        <v>25.58</v>
      </c>
      <c r="G1636">
        <v>25.89</v>
      </c>
      <c r="H1636" t="s">
        <v>17</v>
      </c>
      <c r="I1636" t="str">
        <f>"060816000791"</f>
        <v>060816000791</v>
      </c>
    </row>
    <row r="1637" spans="1:9" x14ac:dyDescent="0.25">
      <c r="A1637" t="s">
        <v>1466</v>
      </c>
      <c r="B1637" t="s">
        <v>13</v>
      </c>
      <c r="C1637">
        <v>1</v>
      </c>
      <c r="D1637">
        <v>1</v>
      </c>
      <c r="E1637" t="s">
        <v>17</v>
      </c>
      <c r="F1637">
        <v>4</v>
      </c>
      <c r="G1637">
        <v>4</v>
      </c>
      <c r="H1637" t="s">
        <v>17</v>
      </c>
      <c r="I1637" t="str">
        <f>"069101710949"</f>
        <v>069101710949</v>
      </c>
    </row>
    <row r="1638" spans="1:9" x14ac:dyDescent="0.25">
      <c r="A1638" t="s">
        <v>1467</v>
      </c>
      <c r="B1638" t="s">
        <v>13</v>
      </c>
      <c r="C1638">
        <v>22.83</v>
      </c>
      <c r="D1638">
        <v>22.38</v>
      </c>
      <c r="E1638" t="s">
        <v>17</v>
      </c>
      <c r="F1638">
        <v>26.72</v>
      </c>
      <c r="G1638">
        <v>28.6</v>
      </c>
      <c r="H1638" t="s">
        <v>17</v>
      </c>
      <c r="I1638" t="str">
        <f>"064281009208"</f>
        <v>064281009208</v>
      </c>
    </row>
    <row r="1639" spans="1:9" x14ac:dyDescent="0.25">
      <c r="A1639" t="s">
        <v>1467</v>
      </c>
      <c r="B1639" t="s">
        <v>13</v>
      </c>
      <c r="C1639">
        <v>43.12</v>
      </c>
      <c r="D1639">
        <v>42.35</v>
      </c>
      <c r="E1639" t="s">
        <v>17</v>
      </c>
      <c r="F1639">
        <v>24.03</v>
      </c>
      <c r="G1639">
        <v>25.31</v>
      </c>
      <c r="H1639" t="s">
        <v>17</v>
      </c>
      <c r="I1639" t="str">
        <f>"063432009189"</f>
        <v>063432009189</v>
      </c>
    </row>
    <row r="1640" spans="1:9" x14ac:dyDescent="0.25">
      <c r="A1640" t="s">
        <v>1468</v>
      </c>
      <c r="B1640" t="s">
        <v>13</v>
      </c>
      <c r="C1640">
        <v>36</v>
      </c>
      <c r="D1640">
        <v>36</v>
      </c>
      <c r="E1640" t="s">
        <v>17</v>
      </c>
      <c r="F1640">
        <v>32.11</v>
      </c>
      <c r="G1640">
        <v>31.5</v>
      </c>
      <c r="H1640" t="s">
        <v>17</v>
      </c>
      <c r="I1640" t="str">
        <f>"064104011109"</f>
        <v>064104011109</v>
      </c>
    </row>
    <row r="1641" spans="1:9" x14ac:dyDescent="0.25">
      <c r="A1641" t="s">
        <v>1469</v>
      </c>
      <c r="B1641" t="s">
        <v>13</v>
      </c>
      <c r="C1641">
        <v>1</v>
      </c>
      <c r="D1641">
        <v>1</v>
      </c>
      <c r="E1641" t="s">
        <v>17</v>
      </c>
      <c r="F1641">
        <v>7</v>
      </c>
      <c r="G1641">
        <v>11</v>
      </c>
      <c r="H1641" t="s">
        <v>17</v>
      </c>
      <c r="I1641" t="str">
        <f>"060402011946"</f>
        <v>060402011946</v>
      </c>
    </row>
    <row r="1642" spans="1:9" x14ac:dyDescent="0.25">
      <c r="A1642" t="s">
        <v>1470</v>
      </c>
      <c r="B1642" t="s">
        <v>13</v>
      </c>
      <c r="C1642">
        <v>2.75</v>
      </c>
      <c r="D1642">
        <v>3.75</v>
      </c>
      <c r="E1642" t="s">
        <v>17</v>
      </c>
      <c r="F1642">
        <v>13.45</v>
      </c>
      <c r="G1642">
        <v>14.4</v>
      </c>
      <c r="H1642" t="s">
        <v>17</v>
      </c>
      <c r="I1642" t="str">
        <f>"063705008226"</f>
        <v>063705008226</v>
      </c>
    </row>
    <row r="1643" spans="1:9" x14ac:dyDescent="0.25">
      <c r="A1643" t="s">
        <v>1471</v>
      </c>
      <c r="B1643" t="s">
        <v>13</v>
      </c>
      <c r="C1643">
        <v>35.6</v>
      </c>
      <c r="D1643">
        <v>34.200000000000003</v>
      </c>
      <c r="E1643" t="s">
        <v>17</v>
      </c>
      <c r="F1643">
        <v>21.71</v>
      </c>
      <c r="G1643">
        <v>22.22</v>
      </c>
      <c r="H1643" t="s">
        <v>17</v>
      </c>
      <c r="I1643" t="str">
        <f>"061968002361"</f>
        <v>061968002361</v>
      </c>
    </row>
    <row r="1644" spans="1:9" x14ac:dyDescent="0.25">
      <c r="A1644" t="s">
        <v>1472</v>
      </c>
      <c r="B1644" t="s">
        <v>13</v>
      </c>
      <c r="C1644">
        <v>38.700000000000003</v>
      </c>
      <c r="D1644">
        <v>33.61</v>
      </c>
      <c r="E1644" t="s">
        <v>17</v>
      </c>
      <c r="F1644">
        <v>23.57</v>
      </c>
      <c r="G1644">
        <v>26.12</v>
      </c>
      <c r="H1644" t="s">
        <v>17</v>
      </c>
      <c r="I1644" t="str">
        <f>"062271010865"</f>
        <v>062271010865</v>
      </c>
    </row>
    <row r="1645" spans="1:9" x14ac:dyDescent="0.25">
      <c r="A1645" t="s">
        <v>1473</v>
      </c>
      <c r="B1645" t="s">
        <v>13</v>
      </c>
      <c r="C1645">
        <v>11.22</v>
      </c>
      <c r="D1645">
        <v>12.22</v>
      </c>
      <c r="E1645" t="s">
        <v>17</v>
      </c>
      <c r="F1645">
        <v>14.62</v>
      </c>
      <c r="G1645">
        <v>14.81</v>
      </c>
      <c r="H1645" t="s">
        <v>17</v>
      </c>
      <c r="I1645" t="str">
        <f>"063075004780"</f>
        <v>063075004780</v>
      </c>
    </row>
    <row r="1646" spans="1:9" x14ac:dyDescent="0.25">
      <c r="A1646" t="s">
        <v>1474</v>
      </c>
      <c r="B1646" t="s">
        <v>13</v>
      </c>
      <c r="C1646">
        <v>24</v>
      </c>
      <c r="D1646">
        <v>22.01</v>
      </c>
      <c r="E1646" t="s">
        <v>17</v>
      </c>
      <c r="F1646">
        <v>23.13</v>
      </c>
      <c r="G1646">
        <v>23.58</v>
      </c>
      <c r="H1646" t="s">
        <v>17</v>
      </c>
      <c r="I1646" t="str">
        <f>"062271002910"</f>
        <v>062271002910</v>
      </c>
    </row>
    <row r="1647" spans="1:9" x14ac:dyDescent="0.25">
      <c r="A1647" t="s">
        <v>1475</v>
      </c>
      <c r="B1647" t="s">
        <v>13</v>
      </c>
      <c r="C1647">
        <v>98.92</v>
      </c>
      <c r="D1647">
        <v>104.63</v>
      </c>
      <c r="E1647" t="s">
        <v>17</v>
      </c>
      <c r="F1647">
        <v>26.46</v>
      </c>
      <c r="G1647">
        <v>25.82</v>
      </c>
      <c r="H1647" t="s">
        <v>17</v>
      </c>
      <c r="I1647" t="str">
        <f>"062927004517"</f>
        <v>062927004517</v>
      </c>
    </row>
    <row r="1648" spans="1:9" x14ac:dyDescent="0.25">
      <c r="A1648" t="s">
        <v>1476</v>
      </c>
      <c r="B1648" t="s">
        <v>13</v>
      </c>
      <c r="C1648">
        <v>33.01</v>
      </c>
      <c r="D1648">
        <v>32.119999999999997</v>
      </c>
      <c r="E1648" t="s">
        <v>17</v>
      </c>
      <c r="F1648">
        <v>27.45</v>
      </c>
      <c r="G1648">
        <v>29.11</v>
      </c>
      <c r="H1648" t="s">
        <v>17</v>
      </c>
      <c r="I1648" t="str">
        <f>"062958009173"</f>
        <v>062958009173</v>
      </c>
    </row>
    <row r="1649" spans="1:9" x14ac:dyDescent="0.25">
      <c r="A1649" t="s">
        <v>1476</v>
      </c>
      <c r="B1649" t="s">
        <v>13</v>
      </c>
      <c r="C1649">
        <v>28.57</v>
      </c>
      <c r="D1649">
        <v>30.8</v>
      </c>
      <c r="E1649" t="s">
        <v>17</v>
      </c>
      <c r="F1649">
        <v>31.43</v>
      </c>
      <c r="G1649">
        <v>29.68</v>
      </c>
      <c r="H1649" t="s">
        <v>17</v>
      </c>
      <c r="I1649" t="str">
        <f>"060744008751"</f>
        <v>060744008751</v>
      </c>
    </row>
    <row r="1650" spans="1:9" x14ac:dyDescent="0.25">
      <c r="A1650" t="s">
        <v>1476</v>
      </c>
      <c r="B1650" t="s">
        <v>13</v>
      </c>
      <c r="C1650">
        <v>26.15</v>
      </c>
      <c r="D1650">
        <v>25.05</v>
      </c>
      <c r="E1650" t="s">
        <v>17</v>
      </c>
      <c r="F1650">
        <v>23.86</v>
      </c>
      <c r="G1650">
        <v>23.31</v>
      </c>
      <c r="H1650" t="s">
        <v>17</v>
      </c>
      <c r="I1650" t="str">
        <f>"062100002520"</f>
        <v>062100002520</v>
      </c>
    </row>
    <row r="1651" spans="1:9" x14ac:dyDescent="0.25">
      <c r="A1651" t="s">
        <v>1476</v>
      </c>
      <c r="B1651" t="s">
        <v>13</v>
      </c>
      <c r="C1651">
        <v>26.14</v>
      </c>
      <c r="D1651">
        <v>26.15</v>
      </c>
      <c r="E1651" t="s">
        <v>17</v>
      </c>
      <c r="F1651">
        <v>25.4</v>
      </c>
      <c r="G1651">
        <v>24.59</v>
      </c>
      <c r="H1651" t="s">
        <v>17</v>
      </c>
      <c r="I1651" t="str">
        <f>"060876000886"</f>
        <v>060876000886</v>
      </c>
    </row>
    <row r="1652" spans="1:9" x14ac:dyDescent="0.25">
      <c r="A1652" t="s">
        <v>1476</v>
      </c>
      <c r="B1652" t="s">
        <v>13</v>
      </c>
      <c r="C1652">
        <v>21.15</v>
      </c>
      <c r="D1652">
        <v>19.93</v>
      </c>
      <c r="E1652" t="s">
        <v>17</v>
      </c>
      <c r="F1652">
        <v>29.22</v>
      </c>
      <c r="G1652">
        <v>29.6</v>
      </c>
      <c r="H1652" t="s">
        <v>17</v>
      </c>
      <c r="I1652" t="str">
        <f>"060846011737"</f>
        <v>060846011737</v>
      </c>
    </row>
    <row r="1653" spans="1:9" x14ac:dyDescent="0.25">
      <c r="A1653" t="s">
        <v>1476</v>
      </c>
      <c r="B1653" t="s">
        <v>13</v>
      </c>
      <c r="C1653">
        <v>14.5</v>
      </c>
      <c r="D1653">
        <v>13.45</v>
      </c>
      <c r="E1653" t="s">
        <v>17</v>
      </c>
      <c r="F1653">
        <v>26.55</v>
      </c>
      <c r="G1653">
        <v>28.03</v>
      </c>
      <c r="H1653" t="s">
        <v>17</v>
      </c>
      <c r="I1653" t="str">
        <f>"061392010362"</f>
        <v>061392010362</v>
      </c>
    </row>
    <row r="1654" spans="1:9" x14ac:dyDescent="0.25">
      <c r="A1654" t="s">
        <v>1476</v>
      </c>
      <c r="B1654" t="s">
        <v>13</v>
      </c>
      <c r="C1654">
        <v>31.5</v>
      </c>
      <c r="D1654">
        <v>31</v>
      </c>
      <c r="E1654" t="s">
        <v>17</v>
      </c>
      <c r="F1654">
        <v>27.02</v>
      </c>
      <c r="G1654">
        <v>26.32</v>
      </c>
      <c r="H1654" t="s">
        <v>17</v>
      </c>
      <c r="I1654" t="str">
        <f>"063153004885"</f>
        <v>063153004885</v>
      </c>
    </row>
    <row r="1655" spans="1:9" x14ac:dyDescent="0.25">
      <c r="A1655" t="s">
        <v>1477</v>
      </c>
      <c r="B1655" t="s">
        <v>13</v>
      </c>
      <c r="C1655">
        <v>23.28</v>
      </c>
      <c r="D1655">
        <v>25.21</v>
      </c>
      <c r="E1655" t="s">
        <v>17</v>
      </c>
      <c r="F1655">
        <v>14.91</v>
      </c>
      <c r="G1655">
        <v>10.19</v>
      </c>
      <c r="H1655" t="s">
        <v>17</v>
      </c>
      <c r="I1655" t="str">
        <f>"061623002017"</f>
        <v>061623002017</v>
      </c>
    </row>
    <row r="1656" spans="1:9" x14ac:dyDescent="0.25">
      <c r="A1656" t="s">
        <v>1477</v>
      </c>
      <c r="B1656" t="s">
        <v>13</v>
      </c>
      <c r="C1656">
        <v>9.92</v>
      </c>
      <c r="D1656">
        <v>9.65</v>
      </c>
      <c r="E1656" t="s">
        <v>17</v>
      </c>
      <c r="F1656">
        <v>23.59</v>
      </c>
      <c r="G1656">
        <v>22.8</v>
      </c>
      <c r="H1656" t="s">
        <v>17</v>
      </c>
      <c r="I1656" t="str">
        <f>"063697007874"</f>
        <v>063697007874</v>
      </c>
    </row>
    <row r="1657" spans="1:9" x14ac:dyDescent="0.25">
      <c r="A1657" t="s">
        <v>1477</v>
      </c>
      <c r="B1657" t="s">
        <v>13</v>
      </c>
      <c r="C1657">
        <v>3.25</v>
      </c>
      <c r="D1657">
        <v>2.58</v>
      </c>
      <c r="E1657" t="s">
        <v>17</v>
      </c>
      <c r="F1657">
        <v>18.149999999999999</v>
      </c>
      <c r="G1657">
        <v>18.600000000000001</v>
      </c>
      <c r="H1657" t="s">
        <v>17</v>
      </c>
      <c r="I1657" t="str">
        <f>"062827004375"</f>
        <v>062827004375</v>
      </c>
    </row>
    <row r="1658" spans="1:9" x14ac:dyDescent="0.25">
      <c r="A1658" t="s">
        <v>1477</v>
      </c>
      <c r="B1658" t="s">
        <v>13</v>
      </c>
      <c r="C1658">
        <v>112.1</v>
      </c>
      <c r="D1658">
        <v>115.33</v>
      </c>
      <c r="E1658" t="s">
        <v>17</v>
      </c>
      <c r="F1658">
        <v>27.47</v>
      </c>
      <c r="G1658">
        <v>26.96</v>
      </c>
      <c r="H1658" t="s">
        <v>17</v>
      </c>
      <c r="I1658" t="str">
        <f>"060002807222"</f>
        <v>060002807222</v>
      </c>
    </row>
    <row r="1659" spans="1:9" x14ac:dyDescent="0.25">
      <c r="A1659" t="s">
        <v>1478</v>
      </c>
      <c r="B1659" t="s">
        <v>13</v>
      </c>
      <c r="C1659">
        <v>10.8</v>
      </c>
      <c r="D1659">
        <v>12.2</v>
      </c>
      <c r="E1659" t="s">
        <v>17</v>
      </c>
      <c r="F1659">
        <v>11.76</v>
      </c>
      <c r="G1659">
        <v>9.51</v>
      </c>
      <c r="H1659" t="s">
        <v>17</v>
      </c>
      <c r="I1659" t="str">
        <f>"060561000506"</f>
        <v>060561000506</v>
      </c>
    </row>
    <row r="1660" spans="1:9" x14ac:dyDescent="0.25">
      <c r="A1660" t="s">
        <v>1479</v>
      </c>
      <c r="B1660" t="s">
        <v>13</v>
      </c>
      <c r="C1660">
        <v>27</v>
      </c>
      <c r="D1660">
        <v>27</v>
      </c>
      <c r="E1660" t="s">
        <v>17</v>
      </c>
      <c r="F1660">
        <v>28.81</v>
      </c>
      <c r="G1660">
        <v>28.48</v>
      </c>
      <c r="H1660" t="s">
        <v>17</v>
      </c>
      <c r="I1660" t="str">
        <f>"062580011028"</f>
        <v>062580011028</v>
      </c>
    </row>
    <row r="1661" spans="1:9" x14ac:dyDescent="0.25">
      <c r="A1661" t="s">
        <v>1480</v>
      </c>
      <c r="B1661" t="s">
        <v>13</v>
      </c>
      <c r="C1661">
        <v>27.21</v>
      </c>
      <c r="D1661">
        <v>26.93</v>
      </c>
      <c r="E1661" t="s">
        <v>17</v>
      </c>
      <c r="F1661">
        <v>24.55</v>
      </c>
      <c r="G1661">
        <v>26.62</v>
      </c>
      <c r="H1661" t="s">
        <v>17</v>
      </c>
      <c r="I1661" t="str">
        <f>"062569007786"</f>
        <v>062569007786</v>
      </c>
    </row>
    <row r="1662" spans="1:9" x14ac:dyDescent="0.25">
      <c r="A1662" t="s">
        <v>1480</v>
      </c>
      <c r="B1662" t="s">
        <v>13</v>
      </c>
      <c r="C1662">
        <v>48.2</v>
      </c>
      <c r="D1662">
        <v>48.06</v>
      </c>
      <c r="E1662" t="s">
        <v>17</v>
      </c>
      <c r="F1662">
        <v>27.43</v>
      </c>
      <c r="G1662">
        <v>27.17</v>
      </c>
      <c r="H1662" t="s">
        <v>17</v>
      </c>
      <c r="I1662" t="str">
        <f>"064128006834"</f>
        <v>064128006834</v>
      </c>
    </row>
    <row r="1663" spans="1:9" x14ac:dyDescent="0.25">
      <c r="A1663" t="s">
        <v>1481</v>
      </c>
      <c r="B1663" t="s">
        <v>13</v>
      </c>
      <c r="C1663">
        <v>19</v>
      </c>
      <c r="D1663">
        <v>19</v>
      </c>
      <c r="E1663" t="s">
        <v>17</v>
      </c>
      <c r="F1663">
        <v>21.42</v>
      </c>
      <c r="G1663">
        <v>22.11</v>
      </c>
      <c r="H1663" t="s">
        <v>17</v>
      </c>
      <c r="I1663" t="str">
        <f>"062271002911"</f>
        <v>062271002911</v>
      </c>
    </row>
    <row r="1664" spans="1:9" x14ac:dyDescent="0.25">
      <c r="A1664" t="s">
        <v>1481</v>
      </c>
      <c r="B1664" t="s">
        <v>13</v>
      </c>
      <c r="C1664">
        <v>29.95</v>
      </c>
      <c r="D1664">
        <v>28</v>
      </c>
      <c r="E1664" t="s">
        <v>17</v>
      </c>
      <c r="F1664">
        <v>12.25</v>
      </c>
      <c r="G1664">
        <v>11.11</v>
      </c>
      <c r="H1664" t="s">
        <v>17</v>
      </c>
      <c r="I1664" t="str">
        <f>"060837000813"</f>
        <v>060837000813</v>
      </c>
    </row>
    <row r="1665" spans="1:9" x14ac:dyDescent="0.25">
      <c r="A1665" t="s">
        <v>1482</v>
      </c>
      <c r="B1665" t="s">
        <v>13</v>
      </c>
      <c r="C1665">
        <v>29.5</v>
      </c>
      <c r="D1665">
        <v>33.5</v>
      </c>
      <c r="E1665" t="s">
        <v>17</v>
      </c>
      <c r="F1665">
        <v>26.37</v>
      </c>
      <c r="G1665">
        <v>24.51</v>
      </c>
      <c r="H1665" t="s">
        <v>17</v>
      </c>
      <c r="I1665" t="str">
        <f>"064356012266"</f>
        <v>064356012266</v>
      </c>
    </row>
    <row r="1666" spans="1:9" x14ac:dyDescent="0.25">
      <c r="A1666" t="s">
        <v>1483</v>
      </c>
      <c r="B1666" t="s">
        <v>13</v>
      </c>
      <c r="C1666">
        <v>15.75</v>
      </c>
      <c r="D1666">
        <v>18</v>
      </c>
      <c r="E1666" t="s">
        <v>17</v>
      </c>
      <c r="F1666">
        <v>29.27</v>
      </c>
      <c r="G1666">
        <v>26.5</v>
      </c>
      <c r="H1666" t="s">
        <v>17</v>
      </c>
      <c r="I1666" t="str">
        <f>"062865009419"</f>
        <v>062865009419</v>
      </c>
    </row>
    <row r="1667" spans="1:9" x14ac:dyDescent="0.25">
      <c r="A1667" t="s">
        <v>1484</v>
      </c>
      <c r="B1667" t="s">
        <v>13</v>
      </c>
      <c r="C1667">
        <v>48.83</v>
      </c>
      <c r="D1667">
        <v>49</v>
      </c>
      <c r="E1667" t="s">
        <v>17</v>
      </c>
      <c r="F1667">
        <v>24.25</v>
      </c>
      <c r="G1667">
        <v>25.18</v>
      </c>
      <c r="H1667" t="s">
        <v>17</v>
      </c>
      <c r="I1667" t="str">
        <f>"061785002198"</f>
        <v>061785002198</v>
      </c>
    </row>
    <row r="1668" spans="1:9" x14ac:dyDescent="0.25">
      <c r="A1668" t="s">
        <v>1485</v>
      </c>
      <c r="B1668" t="s">
        <v>13</v>
      </c>
      <c r="C1668">
        <v>25</v>
      </c>
      <c r="D1668">
        <v>28</v>
      </c>
      <c r="E1668" t="s">
        <v>17</v>
      </c>
      <c r="F1668">
        <v>23.88</v>
      </c>
      <c r="G1668">
        <v>22.11</v>
      </c>
      <c r="H1668" t="s">
        <v>17</v>
      </c>
      <c r="I1668" t="str">
        <f>"060369000325"</f>
        <v>060369000325</v>
      </c>
    </row>
    <row r="1669" spans="1:9" x14ac:dyDescent="0.25">
      <c r="A1669" t="s">
        <v>1486</v>
      </c>
      <c r="B1669" t="s">
        <v>13</v>
      </c>
      <c r="C1669">
        <v>22</v>
      </c>
      <c r="D1669">
        <v>25.75</v>
      </c>
      <c r="E1669" t="s">
        <v>17</v>
      </c>
      <c r="F1669">
        <v>23.73</v>
      </c>
      <c r="G1669">
        <v>21.51</v>
      </c>
      <c r="H1669" t="s">
        <v>17</v>
      </c>
      <c r="I1669" t="str">
        <f>"060369000327"</f>
        <v>060369000327</v>
      </c>
    </row>
    <row r="1670" spans="1:9" x14ac:dyDescent="0.25">
      <c r="A1670" t="s">
        <v>1487</v>
      </c>
      <c r="B1670" t="s">
        <v>13</v>
      </c>
      <c r="C1670">
        <v>47</v>
      </c>
      <c r="D1670">
        <v>66.510000000000005</v>
      </c>
      <c r="E1670" t="s">
        <v>17</v>
      </c>
      <c r="F1670">
        <v>23.36</v>
      </c>
      <c r="G1670">
        <v>17.59</v>
      </c>
      <c r="H1670" t="s">
        <v>17</v>
      </c>
      <c r="I1670" t="str">
        <f>"062271002966"</f>
        <v>062271002966</v>
      </c>
    </row>
    <row r="1671" spans="1:9" x14ac:dyDescent="0.25">
      <c r="A1671" t="s">
        <v>1488</v>
      </c>
      <c r="B1671" t="s">
        <v>13</v>
      </c>
      <c r="C1671">
        <v>33</v>
      </c>
      <c r="D1671">
        <v>36</v>
      </c>
      <c r="E1671" t="s">
        <v>17</v>
      </c>
      <c r="F1671">
        <v>28.18</v>
      </c>
      <c r="G1671">
        <v>24.69</v>
      </c>
      <c r="H1671" t="s">
        <v>17</v>
      </c>
      <c r="I1671" t="str">
        <f>"061233001405"</f>
        <v>061233001405</v>
      </c>
    </row>
    <row r="1672" spans="1:9" x14ac:dyDescent="0.25">
      <c r="A1672" t="s">
        <v>1489</v>
      </c>
      <c r="B1672" t="s">
        <v>13</v>
      </c>
      <c r="C1672">
        <v>25.5</v>
      </c>
      <c r="D1672">
        <v>26.5</v>
      </c>
      <c r="E1672" t="s">
        <v>17</v>
      </c>
      <c r="F1672">
        <v>28.51</v>
      </c>
      <c r="G1672">
        <v>24.98</v>
      </c>
      <c r="H1672" t="s">
        <v>17</v>
      </c>
      <c r="I1672" t="str">
        <f>"060636000555"</f>
        <v>060636000555</v>
      </c>
    </row>
    <row r="1673" spans="1:9" x14ac:dyDescent="0.25">
      <c r="A1673" t="s">
        <v>1490</v>
      </c>
      <c r="B1673" t="s">
        <v>13</v>
      </c>
      <c r="C1673">
        <v>27.25</v>
      </c>
      <c r="D1673">
        <v>23.54</v>
      </c>
      <c r="E1673" t="s">
        <v>17</v>
      </c>
      <c r="F1673">
        <v>26.2</v>
      </c>
      <c r="G1673">
        <v>29.27</v>
      </c>
      <c r="H1673" t="s">
        <v>17</v>
      </c>
      <c r="I1673" t="str">
        <f>"060639009332"</f>
        <v>060639009332</v>
      </c>
    </row>
    <row r="1674" spans="1:9" x14ac:dyDescent="0.25">
      <c r="A1674" t="s">
        <v>1491</v>
      </c>
      <c r="B1674" t="s">
        <v>13</v>
      </c>
      <c r="C1674">
        <v>27</v>
      </c>
      <c r="D1674">
        <v>25.5</v>
      </c>
      <c r="E1674" t="s">
        <v>17</v>
      </c>
      <c r="F1674">
        <v>23.78</v>
      </c>
      <c r="G1674">
        <v>24.78</v>
      </c>
      <c r="H1674" t="s">
        <v>17</v>
      </c>
      <c r="I1674" t="str">
        <f>"062271011646"</f>
        <v>062271011646</v>
      </c>
    </row>
    <row r="1675" spans="1:9" x14ac:dyDescent="0.25">
      <c r="A1675" t="s">
        <v>1492</v>
      </c>
      <c r="B1675" t="s">
        <v>13</v>
      </c>
      <c r="C1675">
        <v>21.5</v>
      </c>
      <c r="D1675">
        <v>22.5</v>
      </c>
      <c r="E1675" t="s">
        <v>17</v>
      </c>
      <c r="F1675">
        <v>20.65</v>
      </c>
      <c r="G1675">
        <v>19.11</v>
      </c>
      <c r="H1675" t="s">
        <v>17</v>
      </c>
      <c r="I1675" t="str">
        <f>"060360000277"</f>
        <v>060360000277</v>
      </c>
    </row>
    <row r="1676" spans="1:9" x14ac:dyDescent="0.25">
      <c r="A1676" t="s">
        <v>1493</v>
      </c>
      <c r="B1676" t="s">
        <v>13</v>
      </c>
      <c r="C1676">
        <v>31</v>
      </c>
      <c r="D1676">
        <v>38</v>
      </c>
      <c r="E1676" t="s">
        <v>17</v>
      </c>
      <c r="F1676">
        <v>25.55</v>
      </c>
      <c r="G1676">
        <v>23.39</v>
      </c>
      <c r="H1676" t="s">
        <v>17</v>
      </c>
      <c r="I1676" t="str">
        <f>"063597009193"</f>
        <v>063597009193</v>
      </c>
    </row>
    <row r="1677" spans="1:9" x14ac:dyDescent="0.25">
      <c r="A1677" t="s">
        <v>1494</v>
      </c>
      <c r="B1677" t="s">
        <v>13</v>
      </c>
      <c r="C1677">
        <v>12.3</v>
      </c>
      <c r="D1677">
        <v>13</v>
      </c>
      <c r="E1677" t="s">
        <v>17</v>
      </c>
      <c r="F1677">
        <v>27.8</v>
      </c>
      <c r="G1677">
        <v>26.46</v>
      </c>
      <c r="H1677" t="s">
        <v>17</v>
      </c>
      <c r="I1677" t="str">
        <f>"063261005075"</f>
        <v>063261005075</v>
      </c>
    </row>
    <row r="1678" spans="1:9" x14ac:dyDescent="0.25">
      <c r="A1678" t="s">
        <v>1495</v>
      </c>
      <c r="B1678" t="s">
        <v>13</v>
      </c>
      <c r="C1678" t="s">
        <v>14</v>
      </c>
      <c r="D1678">
        <v>37.25</v>
      </c>
      <c r="E1678" t="s">
        <v>17</v>
      </c>
      <c r="F1678" t="s">
        <v>17</v>
      </c>
      <c r="G1678">
        <v>24.59</v>
      </c>
      <c r="H1678" t="s">
        <v>17</v>
      </c>
      <c r="I1678" t="str">
        <f>"061336001529"</f>
        <v>061336001529</v>
      </c>
    </row>
    <row r="1679" spans="1:9" x14ac:dyDescent="0.25">
      <c r="A1679" t="s">
        <v>1496</v>
      </c>
      <c r="B1679" t="s">
        <v>13</v>
      </c>
      <c r="C1679">
        <v>19</v>
      </c>
      <c r="D1679">
        <v>29.36</v>
      </c>
      <c r="E1679" t="s">
        <v>17</v>
      </c>
      <c r="F1679">
        <v>8.74</v>
      </c>
      <c r="G1679">
        <v>8.4499999999999993</v>
      </c>
      <c r="H1679" t="s">
        <v>17</v>
      </c>
      <c r="I1679" t="str">
        <f>"062271007758"</f>
        <v>062271007758</v>
      </c>
    </row>
    <row r="1680" spans="1:9" x14ac:dyDescent="0.25">
      <c r="A1680" t="s">
        <v>1497</v>
      </c>
      <c r="B1680" t="s">
        <v>13</v>
      </c>
      <c r="C1680">
        <v>46.01</v>
      </c>
      <c r="D1680">
        <v>48.02</v>
      </c>
      <c r="E1680" t="s">
        <v>17</v>
      </c>
      <c r="F1680">
        <v>18.41</v>
      </c>
      <c r="G1680">
        <v>18.39</v>
      </c>
      <c r="H1680" t="s">
        <v>17</v>
      </c>
      <c r="I1680" t="str">
        <f>"062271003155"</f>
        <v>062271003155</v>
      </c>
    </row>
    <row r="1681" spans="1:9" x14ac:dyDescent="0.25">
      <c r="A1681" t="s">
        <v>1498</v>
      </c>
      <c r="B1681" t="s">
        <v>13</v>
      </c>
      <c r="C1681">
        <v>13.44</v>
      </c>
      <c r="D1681">
        <v>15.5</v>
      </c>
      <c r="E1681" t="s">
        <v>17</v>
      </c>
      <c r="F1681">
        <v>26.64</v>
      </c>
      <c r="G1681">
        <v>24.65</v>
      </c>
      <c r="H1681" t="s">
        <v>17</v>
      </c>
      <c r="I1681" t="str">
        <f>"063462005809"</f>
        <v>063462005809</v>
      </c>
    </row>
    <row r="1682" spans="1:9" x14ac:dyDescent="0.25">
      <c r="A1682" t="s">
        <v>1499</v>
      </c>
      <c r="B1682" t="s">
        <v>13</v>
      </c>
      <c r="C1682">
        <v>32.700000000000003</v>
      </c>
      <c r="D1682">
        <v>36</v>
      </c>
      <c r="E1682" t="s">
        <v>17</v>
      </c>
      <c r="F1682">
        <v>23.43</v>
      </c>
      <c r="G1682">
        <v>24</v>
      </c>
      <c r="H1682" t="s">
        <v>17</v>
      </c>
      <c r="I1682" t="str">
        <f>"062619003912"</f>
        <v>062619003912</v>
      </c>
    </row>
    <row r="1683" spans="1:9" x14ac:dyDescent="0.25">
      <c r="A1683" t="s">
        <v>1500</v>
      </c>
      <c r="B1683" t="s">
        <v>13</v>
      </c>
      <c r="C1683">
        <v>46</v>
      </c>
      <c r="D1683">
        <v>46.01</v>
      </c>
      <c r="E1683" t="s">
        <v>17</v>
      </c>
      <c r="F1683">
        <v>23.07</v>
      </c>
      <c r="G1683">
        <v>23.28</v>
      </c>
      <c r="H1683" t="s">
        <v>17</v>
      </c>
      <c r="I1683" t="str">
        <f>"062271003221"</f>
        <v>062271003221</v>
      </c>
    </row>
    <row r="1684" spans="1:9" x14ac:dyDescent="0.25">
      <c r="A1684" t="s">
        <v>1501</v>
      </c>
      <c r="B1684" t="s">
        <v>13</v>
      </c>
      <c r="C1684">
        <v>32.1</v>
      </c>
      <c r="D1684">
        <v>34.299999999999997</v>
      </c>
      <c r="E1684" t="s">
        <v>17</v>
      </c>
      <c r="F1684">
        <v>20.72</v>
      </c>
      <c r="G1684">
        <v>20.12</v>
      </c>
      <c r="H1684" t="s">
        <v>17</v>
      </c>
      <c r="I1684" t="str">
        <f>"062994004667"</f>
        <v>062994004667</v>
      </c>
    </row>
    <row r="1685" spans="1:9" x14ac:dyDescent="0.25">
      <c r="A1685" t="s">
        <v>1502</v>
      </c>
      <c r="B1685" t="s">
        <v>13</v>
      </c>
      <c r="C1685">
        <v>28.9</v>
      </c>
      <c r="D1685">
        <v>29.7</v>
      </c>
      <c r="E1685" t="s">
        <v>17</v>
      </c>
      <c r="F1685">
        <v>24.46</v>
      </c>
      <c r="G1685">
        <v>24.04</v>
      </c>
      <c r="H1685" t="s">
        <v>17</v>
      </c>
      <c r="I1685" t="str">
        <f>"062724004131"</f>
        <v>062724004131</v>
      </c>
    </row>
    <row r="1686" spans="1:9" x14ac:dyDescent="0.25">
      <c r="A1686" t="s">
        <v>1503</v>
      </c>
      <c r="B1686" t="s">
        <v>13</v>
      </c>
      <c r="C1686">
        <v>19</v>
      </c>
      <c r="D1686">
        <v>17.5</v>
      </c>
      <c r="E1686" t="s">
        <v>17</v>
      </c>
      <c r="F1686">
        <v>24.05</v>
      </c>
      <c r="G1686">
        <v>26.34</v>
      </c>
      <c r="H1686" t="s">
        <v>17</v>
      </c>
      <c r="I1686" t="str">
        <f>"063066004775"</f>
        <v>063066004775</v>
      </c>
    </row>
    <row r="1687" spans="1:9" x14ac:dyDescent="0.25">
      <c r="A1687" t="s">
        <v>1504</v>
      </c>
      <c r="B1687" t="s">
        <v>13</v>
      </c>
      <c r="C1687">
        <v>14</v>
      </c>
      <c r="D1687">
        <v>18</v>
      </c>
      <c r="E1687" t="s">
        <v>17</v>
      </c>
      <c r="F1687">
        <v>24.36</v>
      </c>
      <c r="G1687">
        <v>24.72</v>
      </c>
      <c r="H1687" t="s">
        <v>17</v>
      </c>
      <c r="I1687" t="str">
        <f>"062271010857"</f>
        <v>062271010857</v>
      </c>
    </row>
    <row r="1688" spans="1:9" x14ac:dyDescent="0.25">
      <c r="A1688" t="s">
        <v>1505</v>
      </c>
      <c r="B1688" t="s">
        <v>13</v>
      </c>
      <c r="C1688">
        <v>20</v>
      </c>
      <c r="D1688">
        <v>22</v>
      </c>
      <c r="E1688" t="s">
        <v>17</v>
      </c>
      <c r="F1688">
        <v>24.15</v>
      </c>
      <c r="G1688">
        <v>24</v>
      </c>
      <c r="H1688" t="s">
        <v>17</v>
      </c>
      <c r="I1688" t="str">
        <f>"062460003687"</f>
        <v>062460003687</v>
      </c>
    </row>
    <row r="1689" spans="1:9" x14ac:dyDescent="0.25">
      <c r="A1689" t="s">
        <v>1506</v>
      </c>
      <c r="B1689" t="s">
        <v>13</v>
      </c>
      <c r="C1689">
        <v>14</v>
      </c>
      <c r="D1689">
        <v>14</v>
      </c>
      <c r="E1689" t="s">
        <v>17</v>
      </c>
      <c r="F1689">
        <v>29.57</v>
      </c>
      <c r="G1689">
        <v>29.93</v>
      </c>
      <c r="H1689" t="s">
        <v>17</v>
      </c>
      <c r="I1689" t="str">
        <f>"062274003478"</f>
        <v>062274003478</v>
      </c>
    </row>
    <row r="1690" spans="1:9" x14ac:dyDescent="0.25">
      <c r="A1690" t="s">
        <v>1507</v>
      </c>
      <c r="B1690" t="s">
        <v>13</v>
      </c>
      <c r="C1690">
        <v>33.130000000000003</v>
      </c>
      <c r="D1690">
        <v>32.39</v>
      </c>
      <c r="E1690" t="s">
        <v>17</v>
      </c>
      <c r="F1690">
        <v>27.62</v>
      </c>
      <c r="G1690">
        <v>28.19</v>
      </c>
      <c r="H1690" t="s">
        <v>17</v>
      </c>
      <c r="I1690" t="str">
        <f>"063237012308"</f>
        <v>063237012308</v>
      </c>
    </row>
    <row r="1691" spans="1:9" x14ac:dyDescent="0.25">
      <c r="A1691" t="s">
        <v>1508</v>
      </c>
      <c r="B1691" t="s">
        <v>13</v>
      </c>
      <c r="C1691">
        <v>39.57</v>
      </c>
      <c r="D1691">
        <v>39.49</v>
      </c>
      <c r="E1691" t="s">
        <v>17</v>
      </c>
      <c r="F1691">
        <v>26.64</v>
      </c>
      <c r="G1691">
        <v>24.77</v>
      </c>
      <c r="H1691" t="s">
        <v>17</v>
      </c>
      <c r="I1691" t="str">
        <f>"063513005944"</f>
        <v>063513005944</v>
      </c>
    </row>
    <row r="1692" spans="1:9" x14ac:dyDescent="0.25">
      <c r="A1692" t="s">
        <v>1509</v>
      </c>
      <c r="B1692" t="s">
        <v>13</v>
      </c>
      <c r="C1692">
        <v>15</v>
      </c>
      <c r="D1692">
        <v>16</v>
      </c>
      <c r="E1692" t="s">
        <v>17</v>
      </c>
      <c r="F1692">
        <v>24.27</v>
      </c>
      <c r="G1692">
        <v>22.63</v>
      </c>
      <c r="H1692" t="s">
        <v>17</v>
      </c>
      <c r="I1692" t="str">
        <f>"062271002913"</f>
        <v>062271002913</v>
      </c>
    </row>
    <row r="1693" spans="1:9" x14ac:dyDescent="0.25">
      <c r="A1693" t="s">
        <v>1510</v>
      </c>
      <c r="B1693" t="s">
        <v>13</v>
      </c>
      <c r="C1693">
        <v>7.46</v>
      </c>
      <c r="D1693">
        <v>8.36</v>
      </c>
      <c r="E1693" t="s">
        <v>17</v>
      </c>
      <c r="F1693">
        <v>21.45</v>
      </c>
      <c r="G1693">
        <v>20.81</v>
      </c>
      <c r="H1693" t="s">
        <v>17</v>
      </c>
      <c r="I1693" t="str">
        <f>"069100612762"</f>
        <v>069100612762</v>
      </c>
    </row>
    <row r="1694" spans="1:9" x14ac:dyDescent="0.25">
      <c r="A1694" t="s">
        <v>1511</v>
      </c>
      <c r="B1694" t="s">
        <v>13</v>
      </c>
      <c r="C1694">
        <v>6.03</v>
      </c>
      <c r="D1694">
        <v>4.5</v>
      </c>
      <c r="E1694" t="s">
        <v>17</v>
      </c>
      <c r="F1694">
        <v>17.579999999999998</v>
      </c>
      <c r="G1694">
        <v>25.11</v>
      </c>
      <c r="H1694" t="s">
        <v>17</v>
      </c>
      <c r="I1694" t="str">
        <f>"064116008423"</f>
        <v>064116008423</v>
      </c>
    </row>
    <row r="1695" spans="1:9" x14ac:dyDescent="0.25">
      <c r="A1695" t="s">
        <v>1512</v>
      </c>
      <c r="B1695" t="s">
        <v>13</v>
      </c>
      <c r="C1695">
        <v>22.39</v>
      </c>
      <c r="D1695">
        <v>22.39</v>
      </c>
      <c r="E1695" t="s">
        <v>17</v>
      </c>
      <c r="F1695">
        <v>21.48</v>
      </c>
      <c r="G1695">
        <v>21.21</v>
      </c>
      <c r="H1695" t="s">
        <v>17</v>
      </c>
      <c r="I1695" t="str">
        <f>"069100601981"</f>
        <v>069100601981</v>
      </c>
    </row>
    <row r="1696" spans="1:9" x14ac:dyDescent="0.25">
      <c r="A1696" t="s">
        <v>1513</v>
      </c>
      <c r="B1696" t="s">
        <v>13</v>
      </c>
      <c r="C1696">
        <v>2.85</v>
      </c>
      <c r="D1696">
        <v>2.85</v>
      </c>
      <c r="E1696" t="s">
        <v>17</v>
      </c>
      <c r="F1696">
        <v>27.72</v>
      </c>
      <c r="G1696">
        <v>28.77</v>
      </c>
      <c r="H1696" t="s">
        <v>17</v>
      </c>
      <c r="I1696" t="str">
        <f>"064116008424"</f>
        <v>064116008424</v>
      </c>
    </row>
    <row r="1697" spans="1:9" x14ac:dyDescent="0.25">
      <c r="A1697" t="s">
        <v>1514</v>
      </c>
      <c r="B1697" t="s">
        <v>13</v>
      </c>
      <c r="C1697">
        <v>9.1999999999999993</v>
      </c>
      <c r="D1697">
        <v>7.34</v>
      </c>
      <c r="E1697" t="s">
        <v>17</v>
      </c>
      <c r="F1697">
        <v>24.24</v>
      </c>
      <c r="G1697">
        <v>23.84</v>
      </c>
      <c r="H1697" t="s">
        <v>17</v>
      </c>
      <c r="I1697" t="str">
        <f>"060627010767"</f>
        <v>060627010767</v>
      </c>
    </row>
    <row r="1698" spans="1:9" x14ac:dyDescent="0.25">
      <c r="A1698" t="s">
        <v>1515</v>
      </c>
      <c r="B1698" t="s">
        <v>13</v>
      </c>
      <c r="C1698">
        <v>61.23</v>
      </c>
      <c r="D1698">
        <v>62.03</v>
      </c>
      <c r="E1698" t="s">
        <v>17</v>
      </c>
      <c r="F1698">
        <v>30.23</v>
      </c>
      <c r="G1698">
        <v>30.49</v>
      </c>
      <c r="H1698" t="s">
        <v>17</v>
      </c>
      <c r="I1698" t="str">
        <f>"060819000801"</f>
        <v>060819000801</v>
      </c>
    </row>
    <row r="1699" spans="1:9" x14ac:dyDescent="0.25">
      <c r="A1699" t="s">
        <v>1516</v>
      </c>
      <c r="B1699" t="s">
        <v>13</v>
      </c>
      <c r="C1699">
        <v>26.8</v>
      </c>
      <c r="D1699">
        <v>25.1</v>
      </c>
      <c r="E1699" t="s">
        <v>17</v>
      </c>
      <c r="F1699">
        <v>20.149999999999999</v>
      </c>
      <c r="G1699">
        <v>21.43</v>
      </c>
      <c r="H1699" t="s">
        <v>17</v>
      </c>
      <c r="I1699" t="str">
        <f>"062583010405"</f>
        <v>062583010405</v>
      </c>
    </row>
    <row r="1700" spans="1:9" x14ac:dyDescent="0.25">
      <c r="A1700" t="s">
        <v>1517</v>
      </c>
      <c r="B1700" t="s">
        <v>13</v>
      </c>
      <c r="C1700">
        <v>69.8</v>
      </c>
      <c r="D1700">
        <v>69</v>
      </c>
      <c r="E1700" t="s">
        <v>17</v>
      </c>
      <c r="F1700">
        <v>30.1</v>
      </c>
      <c r="G1700">
        <v>31.68</v>
      </c>
      <c r="H1700" t="s">
        <v>17</v>
      </c>
      <c r="I1700" t="str">
        <f>"063432003939"</f>
        <v>063432003939</v>
      </c>
    </row>
    <row r="1701" spans="1:9" x14ac:dyDescent="0.25">
      <c r="A1701" t="s">
        <v>1518</v>
      </c>
      <c r="B1701" t="s">
        <v>13</v>
      </c>
      <c r="C1701">
        <v>27.1</v>
      </c>
      <c r="D1701">
        <v>30.2</v>
      </c>
      <c r="E1701" t="s">
        <v>17</v>
      </c>
      <c r="F1701">
        <v>27.12</v>
      </c>
      <c r="G1701">
        <v>28.84</v>
      </c>
      <c r="H1701" t="s">
        <v>17</v>
      </c>
      <c r="I1701" t="str">
        <f>"060681000608"</f>
        <v>060681000608</v>
      </c>
    </row>
    <row r="1702" spans="1:9" x14ac:dyDescent="0.25">
      <c r="A1702" t="s">
        <v>1519</v>
      </c>
      <c r="B1702" t="s">
        <v>13</v>
      </c>
      <c r="C1702">
        <v>29</v>
      </c>
      <c r="D1702">
        <v>32</v>
      </c>
      <c r="E1702" t="s">
        <v>17</v>
      </c>
      <c r="F1702">
        <v>22.83</v>
      </c>
      <c r="G1702">
        <v>21.69</v>
      </c>
      <c r="H1702" t="s">
        <v>17</v>
      </c>
      <c r="I1702" t="str">
        <f>"062271002914"</f>
        <v>062271002914</v>
      </c>
    </row>
    <row r="1703" spans="1:9" x14ac:dyDescent="0.25">
      <c r="A1703" t="s">
        <v>1520</v>
      </c>
      <c r="B1703" t="s">
        <v>13</v>
      </c>
      <c r="C1703">
        <v>18</v>
      </c>
      <c r="D1703">
        <v>19</v>
      </c>
      <c r="E1703" t="s">
        <v>17</v>
      </c>
      <c r="F1703">
        <v>25.11</v>
      </c>
      <c r="G1703">
        <v>22.68</v>
      </c>
      <c r="H1703" t="s">
        <v>17</v>
      </c>
      <c r="I1703" t="str">
        <f>"060825000808"</f>
        <v>060825000808</v>
      </c>
    </row>
    <row r="1704" spans="1:9" x14ac:dyDescent="0.25">
      <c r="A1704" t="s">
        <v>1521</v>
      </c>
      <c r="B1704" t="s">
        <v>13</v>
      </c>
      <c r="C1704">
        <v>98.34</v>
      </c>
      <c r="D1704">
        <v>103.12</v>
      </c>
      <c r="E1704" t="s">
        <v>17</v>
      </c>
      <c r="F1704">
        <v>25.36</v>
      </c>
      <c r="G1704">
        <v>26.55</v>
      </c>
      <c r="H1704" t="s">
        <v>17</v>
      </c>
      <c r="I1704" t="str">
        <f>"062271002916"</f>
        <v>062271002916</v>
      </c>
    </row>
    <row r="1705" spans="1:9" x14ac:dyDescent="0.25">
      <c r="A1705" t="s">
        <v>1522</v>
      </c>
      <c r="B1705" t="s">
        <v>13</v>
      </c>
      <c r="C1705">
        <v>15</v>
      </c>
      <c r="D1705">
        <v>15</v>
      </c>
      <c r="E1705" t="s">
        <v>17</v>
      </c>
      <c r="F1705">
        <v>24.67</v>
      </c>
      <c r="G1705">
        <v>26.4</v>
      </c>
      <c r="H1705" t="s">
        <v>17</v>
      </c>
      <c r="I1705" t="str">
        <f>"062271002915"</f>
        <v>062271002915</v>
      </c>
    </row>
    <row r="1706" spans="1:9" x14ac:dyDescent="0.25">
      <c r="A1706" t="s">
        <v>1523</v>
      </c>
      <c r="B1706" t="s">
        <v>13</v>
      </c>
      <c r="C1706">
        <v>3.1</v>
      </c>
      <c r="D1706">
        <v>5.3</v>
      </c>
      <c r="E1706" t="s">
        <v>17</v>
      </c>
      <c r="F1706">
        <v>27.1</v>
      </c>
      <c r="G1706">
        <v>19.25</v>
      </c>
      <c r="H1706" t="s">
        <v>17</v>
      </c>
      <c r="I1706" t="str">
        <f>"060423007264"</f>
        <v>060423007264</v>
      </c>
    </row>
    <row r="1707" spans="1:9" x14ac:dyDescent="0.25">
      <c r="A1707" t="s">
        <v>1524</v>
      </c>
      <c r="B1707" t="s">
        <v>13</v>
      </c>
      <c r="C1707">
        <v>24.86</v>
      </c>
      <c r="D1707">
        <v>27</v>
      </c>
      <c r="E1707" t="s">
        <v>17</v>
      </c>
      <c r="F1707">
        <v>18.7</v>
      </c>
      <c r="G1707">
        <v>17.78</v>
      </c>
      <c r="H1707" t="s">
        <v>17</v>
      </c>
      <c r="I1707" t="str">
        <f>"063441005623"</f>
        <v>063441005623</v>
      </c>
    </row>
    <row r="1708" spans="1:9" x14ac:dyDescent="0.25">
      <c r="A1708" t="s">
        <v>1525</v>
      </c>
      <c r="B1708" t="s">
        <v>13</v>
      </c>
      <c r="C1708">
        <v>31</v>
      </c>
      <c r="D1708">
        <v>33</v>
      </c>
      <c r="E1708" t="s">
        <v>17</v>
      </c>
      <c r="F1708">
        <v>18.260000000000002</v>
      </c>
      <c r="G1708">
        <v>20.420000000000002</v>
      </c>
      <c r="H1708" t="s">
        <v>17</v>
      </c>
      <c r="I1708" t="str">
        <f>"063432007322"</f>
        <v>063432007322</v>
      </c>
    </row>
    <row r="1709" spans="1:9" x14ac:dyDescent="0.25">
      <c r="A1709" t="s">
        <v>1525</v>
      </c>
      <c r="B1709" t="s">
        <v>13</v>
      </c>
      <c r="C1709">
        <v>18</v>
      </c>
      <c r="D1709">
        <v>20.75</v>
      </c>
      <c r="E1709" t="s">
        <v>17</v>
      </c>
      <c r="F1709">
        <v>27.78</v>
      </c>
      <c r="G1709">
        <v>24.96</v>
      </c>
      <c r="H1709" t="s">
        <v>17</v>
      </c>
      <c r="I1709" t="str">
        <f>"062250010828"</f>
        <v>062250010828</v>
      </c>
    </row>
    <row r="1710" spans="1:9" x14ac:dyDescent="0.25">
      <c r="A1710" t="s">
        <v>1526</v>
      </c>
      <c r="B1710" t="s">
        <v>13</v>
      </c>
      <c r="C1710">
        <v>4.6399999999999997</v>
      </c>
      <c r="D1710">
        <v>6</v>
      </c>
      <c r="E1710" t="s">
        <v>17</v>
      </c>
      <c r="F1710">
        <v>23.71</v>
      </c>
      <c r="G1710">
        <v>23.33</v>
      </c>
      <c r="H1710" t="s">
        <v>17</v>
      </c>
      <c r="I1710" t="str">
        <f>"060011607170"</f>
        <v>060011607170</v>
      </c>
    </row>
    <row r="1711" spans="1:9" x14ac:dyDescent="0.25">
      <c r="A1711" t="s">
        <v>1527</v>
      </c>
      <c r="B1711" t="s">
        <v>13</v>
      </c>
      <c r="C1711">
        <v>3</v>
      </c>
      <c r="D1711" t="s">
        <v>14</v>
      </c>
      <c r="E1711" t="s">
        <v>14</v>
      </c>
      <c r="F1711">
        <v>1</v>
      </c>
      <c r="G1711" t="s">
        <v>14</v>
      </c>
      <c r="H1711" t="s">
        <v>14</v>
      </c>
      <c r="I1711" t="str">
        <f>"060011613115"</f>
        <v>060011613115</v>
      </c>
    </row>
    <row r="1712" spans="1:9" x14ac:dyDescent="0.25">
      <c r="A1712" t="s">
        <v>1528</v>
      </c>
      <c r="B1712" t="s">
        <v>13</v>
      </c>
      <c r="C1712">
        <v>40.33</v>
      </c>
      <c r="D1712">
        <v>42.83</v>
      </c>
      <c r="E1712" t="s">
        <v>17</v>
      </c>
      <c r="F1712">
        <v>22.66</v>
      </c>
      <c r="G1712">
        <v>22.9</v>
      </c>
      <c r="H1712" t="s">
        <v>17</v>
      </c>
      <c r="I1712" t="str">
        <f>"063315005135"</f>
        <v>063315005135</v>
      </c>
    </row>
    <row r="1713" spans="1:9" x14ac:dyDescent="0.25">
      <c r="A1713" t="s">
        <v>1529</v>
      </c>
      <c r="B1713" t="s">
        <v>13</v>
      </c>
      <c r="C1713">
        <v>12</v>
      </c>
      <c r="D1713">
        <v>11</v>
      </c>
      <c r="E1713" t="s">
        <v>17</v>
      </c>
      <c r="F1713">
        <v>25.25</v>
      </c>
      <c r="G1713">
        <v>26.18</v>
      </c>
      <c r="H1713" t="s">
        <v>17</v>
      </c>
      <c r="I1713" t="str">
        <f>"062271002917"</f>
        <v>062271002917</v>
      </c>
    </row>
    <row r="1714" spans="1:9" x14ac:dyDescent="0.25">
      <c r="A1714" t="s">
        <v>1530</v>
      </c>
      <c r="B1714" t="s">
        <v>13</v>
      </c>
      <c r="C1714">
        <v>29</v>
      </c>
      <c r="D1714">
        <v>29</v>
      </c>
      <c r="E1714" t="s">
        <v>17</v>
      </c>
      <c r="F1714">
        <v>16.07</v>
      </c>
      <c r="G1714">
        <v>17.93</v>
      </c>
      <c r="H1714" t="s">
        <v>17</v>
      </c>
      <c r="I1714" t="str">
        <f>"063432011383"</f>
        <v>063432011383</v>
      </c>
    </row>
    <row r="1715" spans="1:9" x14ac:dyDescent="0.25">
      <c r="A1715" t="s">
        <v>1531</v>
      </c>
      <c r="B1715" t="s">
        <v>13</v>
      </c>
      <c r="C1715">
        <v>28.5</v>
      </c>
      <c r="D1715">
        <v>28.5</v>
      </c>
      <c r="E1715" t="s">
        <v>17</v>
      </c>
      <c r="F1715">
        <v>24.91</v>
      </c>
      <c r="G1715">
        <v>24.39</v>
      </c>
      <c r="H1715" t="s">
        <v>17</v>
      </c>
      <c r="I1715" t="str">
        <f>"063987006611"</f>
        <v>063987006611</v>
      </c>
    </row>
    <row r="1716" spans="1:9" x14ac:dyDescent="0.25">
      <c r="A1716" t="s">
        <v>1532</v>
      </c>
      <c r="B1716" t="s">
        <v>13</v>
      </c>
      <c r="C1716">
        <v>33.4</v>
      </c>
      <c r="D1716">
        <v>34</v>
      </c>
      <c r="E1716" t="s">
        <v>17</v>
      </c>
      <c r="F1716">
        <v>25.51</v>
      </c>
      <c r="G1716">
        <v>23.91</v>
      </c>
      <c r="H1716" t="s">
        <v>17</v>
      </c>
      <c r="I1716" t="str">
        <f>"063846006458"</f>
        <v>063846006458</v>
      </c>
    </row>
    <row r="1717" spans="1:9" x14ac:dyDescent="0.25">
      <c r="A1717" t="s">
        <v>1533</v>
      </c>
      <c r="B1717" t="s">
        <v>13</v>
      </c>
      <c r="C1717">
        <v>21.55</v>
      </c>
      <c r="D1717">
        <v>26.85</v>
      </c>
      <c r="E1717" t="s">
        <v>17</v>
      </c>
      <c r="F1717">
        <v>36.15</v>
      </c>
      <c r="G1717">
        <v>29.12</v>
      </c>
      <c r="H1717" t="s">
        <v>17</v>
      </c>
      <c r="I1717" t="str">
        <f>"061674002108"</f>
        <v>061674002108</v>
      </c>
    </row>
    <row r="1718" spans="1:9" x14ac:dyDescent="0.25">
      <c r="A1718" t="s">
        <v>1534</v>
      </c>
      <c r="B1718" t="s">
        <v>13</v>
      </c>
      <c r="C1718">
        <v>16</v>
      </c>
      <c r="D1718">
        <v>17</v>
      </c>
      <c r="E1718" t="s">
        <v>17</v>
      </c>
      <c r="F1718">
        <v>28.88</v>
      </c>
      <c r="G1718">
        <v>28.94</v>
      </c>
      <c r="H1718" t="s">
        <v>17</v>
      </c>
      <c r="I1718" t="str">
        <f>"061209001345"</f>
        <v>061209001345</v>
      </c>
    </row>
    <row r="1719" spans="1:9" x14ac:dyDescent="0.25">
      <c r="A1719" t="s">
        <v>1535</v>
      </c>
      <c r="B1719" t="s">
        <v>13</v>
      </c>
      <c r="C1719">
        <v>20</v>
      </c>
      <c r="D1719">
        <v>20.6</v>
      </c>
      <c r="E1719" t="s">
        <v>17</v>
      </c>
      <c r="F1719">
        <v>23.75</v>
      </c>
      <c r="G1719">
        <v>24.37</v>
      </c>
      <c r="H1719" t="s">
        <v>17</v>
      </c>
      <c r="I1719" t="str">
        <f>"060480000458"</f>
        <v>060480000458</v>
      </c>
    </row>
    <row r="1720" spans="1:9" x14ac:dyDescent="0.25">
      <c r="A1720" t="s">
        <v>1536</v>
      </c>
      <c r="B1720" t="s">
        <v>13</v>
      </c>
      <c r="C1720">
        <v>1</v>
      </c>
      <c r="D1720">
        <v>2</v>
      </c>
      <c r="E1720" t="s">
        <v>17</v>
      </c>
      <c r="F1720">
        <v>26</v>
      </c>
      <c r="G1720">
        <v>17.5</v>
      </c>
      <c r="H1720" t="s">
        <v>17</v>
      </c>
      <c r="I1720" t="str">
        <f>"060912010205"</f>
        <v>060912010205</v>
      </c>
    </row>
    <row r="1721" spans="1:9" x14ac:dyDescent="0.25">
      <c r="A1721" t="s">
        <v>1537</v>
      </c>
      <c r="B1721" t="s">
        <v>13</v>
      </c>
      <c r="C1721">
        <v>8.17</v>
      </c>
      <c r="D1721" t="s">
        <v>17</v>
      </c>
      <c r="E1721" t="s">
        <v>17</v>
      </c>
      <c r="F1721">
        <v>22.15</v>
      </c>
      <c r="G1721" t="s">
        <v>17</v>
      </c>
      <c r="H1721" t="s">
        <v>17</v>
      </c>
      <c r="I1721" t="str">
        <f>"063117004818"</f>
        <v>063117004818</v>
      </c>
    </row>
    <row r="1722" spans="1:9" x14ac:dyDescent="0.25">
      <c r="A1722" t="s">
        <v>1538</v>
      </c>
      <c r="B1722" t="s">
        <v>13</v>
      </c>
      <c r="C1722">
        <v>13.34</v>
      </c>
      <c r="D1722" t="s">
        <v>17</v>
      </c>
      <c r="E1722" t="s">
        <v>17</v>
      </c>
      <c r="F1722">
        <v>14.77</v>
      </c>
      <c r="G1722" t="s">
        <v>17</v>
      </c>
      <c r="H1722" t="s">
        <v>17</v>
      </c>
      <c r="I1722" t="str">
        <f>"063117004819"</f>
        <v>063117004819</v>
      </c>
    </row>
    <row r="1723" spans="1:9" x14ac:dyDescent="0.25">
      <c r="A1723" t="s">
        <v>1539</v>
      </c>
      <c r="B1723" t="s">
        <v>13</v>
      </c>
      <c r="C1723">
        <v>18</v>
      </c>
      <c r="D1723">
        <v>29</v>
      </c>
      <c r="E1723" t="s">
        <v>17</v>
      </c>
      <c r="F1723">
        <v>24.56</v>
      </c>
      <c r="G1723">
        <v>25.21</v>
      </c>
      <c r="H1723" t="s">
        <v>17</v>
      </c>
      <c r="I1723" t="str">
        <f>"062454009580"</f>
        <v>062454009580</v>
      </c>
    </row>
    <row r="1724" spans="1:9" x14ac:dyDescent="0.25">
      <c r="A1724" t="s">
        <v>1540</v>
      </c>
      <c r="B1724" t="s">
        <v>13</v>
      </c>
      <c r="C1724">
        <v>30.85</v>
      </c>
      <c r="D1724">
        <v>28.29</v>
      </c>
      <c r="E1724" t="s">
        <v>17</v>
      </c>
      <c r="F1724">
        <v>23.63</v>
      </c>
      <c r="G1724">
        <v>24.89</v>
      </c>
      <c r="H1724" t="s">
        <v>17</v>
      </c>
      <c r="I1724" t="str">
        <f>"061029001146"</f>
        <v>061029001146</v>
      </c>
    </row>
    <row r="1725" spans="1:9" x14ac:dyDescent="0.25">
      <c r="A1725" t="s">
        <v>1541</v>
      </c>
      <c r="B1725" t="s">
        <v>13</v>
      </c>
      <c r="C1725">
        <v>91.75</v>
      </c>
      <c r="D1725">
        <v>107.52</v>
      </c>
      <c r="E1725" t="s">
        <v>17</v>
      </c>
      <c r="F1725">
        <v>21.59</v>
      </c>
      <c r="G1725">
        <v>18.45</v>
      </c>
      <c r="H1725" t="s">
        <v>17</v>
      </c>
      <c r="I1725" t="str">
        <f>"062271003216"</f>
        <v>062271003216</v>
      </c>
    </row>
    <row r="1726" spans="1:9" x14ac:dyDescent="0.25">
      <c r="A1726" t="s">
        <v>1542</v>
      </c>
      <c r="B1726" t="s">
        <v>13</v>
      </c>
      <c r="C1726">
        <v>23.6</v>
      </c>
      <c r="D1726">
        <v>23.6</v>
      </c>
      <c r="E1726" t="s">
        <v>17</v>
      </c>
      <c r="F1726">
        <v>21.19</v>
      </c>
      <c r="G1726">
        <v>21.99</v>
      </c>
      <c r="H1726" t="s">
        <v>17</v>
      </c>
      <c r="I1726" t="str">
        <f>"063432005432"</f>
        <v>063432005432</v>
      </c>
    </row>
    <row r="1727" spans="1:9" x14ac:dyDescent="0.25">
      <c r="A1727" t="s">
        <v>1543</v>
      </c>
      <c r="B1727" t="s">
        <v>13</v>
      </c>
      <c r="C1727">
        <v>23.89</v>
      </c>
      <c r="D1727">
        <v>25.5</v>
      </c>
      <c r="E1727" t="s">
        <v>17</v>
      </c>
      <c r="F1727">
        <v>23.23</v>
      </c>
      <c r="G1727">
        <v>22.71</v>
      </c>
      <c r="H1727" t="s">
        <v>17</v>
      </c>
      <c r="I1727" t="str">
        <f>"063588006140"</f>
        <v>063588006140</v>
      </c>
    </row>
    <row r="1728" spans="1:9" x14ac:dyDescent="0.25">
      <c r="A1728" t="s">
        <v>1544</v>
      </c>
      <c r="B1728" t="s">
        <v>13</v>
      </c>
      <c r="C1728">
        <v>3.5</v>
      </c>
      <c r="D1728">
        <v>3</v>
      </c>
      <c r="E1728" t="s">
        <v>17</v>
      </c>
      <c r="F1728">
        <v>24.86</v>
      </c>
      <c r="G1728">
        <v>24.33</v>
      </c>
      <c r="H1728" t="s">
        <v>17</v>
      </c>
      <c r="I1728" t="str">
        <f>"062271002918"</f>
        <v>062271002918</v>
      </c>
    </row>
    <row r="1729" spans="1:9" x14ac:dyDescent="0.25">
      <c r="A1729" t="s">
        <v>1545</v>
      </c>
      <c r="B1729" t="s">
        <v>13</v>
      </c>
      <c r="C1729">
        <v>1.49</v>
      </c>
      <c r="D1729" t="str">
        <f>"0.60"</f>
        <v>0.60</v>
      </c>
      <c r="E1729" t="s">
        <v>14</v>
      </c>
      <c r="F1729">
        <v>13.42</v>
      </c>
      <c r="G1729">
        <v>20</v>
      </c>
      <c r="H1729" t="s">
        <v>14</v>
      </c>
      <c r="I1729" t="str">
        <f>"060834013003"</f>
        <v>060834013003</v>
      </c>
    </row>
    <row r="1730" spans="1:9" x14ac:dyDescent="0.25">
      <c r="A1730" t="s">
        <v>1546</v>
      </c>
      <c r="B1730" t="s">
        <v>13</v>
      </c>
      <c r="C1730">
        <v>6.57</v>
      </c>
      <c r="D1730">
        <v>6.19</v>
      </c>
      <c r="E1730" t="s">
        <v>17</v>
      </c>
      <c r="F1730">
        <v>18.260000000000002</v>
      </c>
      <c r="G1730">
        <v>19.71</v>
      </c>
      <c r="H1730" t="s">
        <v>17</v>
      </c>
      <c r="I1730" t="str">
        <f>"060834000811"</f>
        <v>060834000811</v>
      </c>
    </row>
    <row r="1731" spans="1:9" x14ac:dyDescent="0.25">
      <c r="A1731" t="s">
        <v>1547</v>
      </c>
      <c r="B1731" t="s">
        <v>13</v>
      </c>
      <c r="C1731">
        <v>23.1</v>
      </c>
      <c r="D1731">
        <v>23.8</v>
      </c>
      <c r="E1731" t="s">
        <v>17</v>
      </c>
      <c r="F1731">
        <v>23.98</v>
      </c>
      <c r="G1731">
        <v>23.15</v>
      </c>
      <c r="H1731" t="s">
        <v>17</v>
      </c>
      <c r="I1731" t="str">
        <f>"060837005708"</f>
        <v>060837005708</v>
      </c>
    </row>
    <row r="1732" spans="1:9" x14ac:dyDescent="0.25">
      <c r="A1732" t="s">
        <v>1548</v>
      </c>
      <c r="B1732" t="s">
        <v>13</v>
      </c>
      <c r="C1732" t="s">
        <v>14</v>
      </c>
      <c r="D1732" t="s">
        <v>14</v>
      </c>
      <c r="E1732" t="s">
        <v>17</v>
      </c>
      <c r="F1732" t="s">
        <v>14</v>
      </c>
      <c r="G1732" t="s">
        <v>14</v>
      </c>
      <c r="H1732" t="s">
        <v>17</v>
      </c>
      <c r="I1732" t="str">
        <f>"060837012562"</f>
        <v>060837012562</v>
      </c>
    </row>
    <row r="1733" spans="1:9" x14ac:dyDescent="0.25">
      <c r="A1733" t="s">
        <v>1549</v>
      </c>
      <c r="B1733" t="s">
        <v>13</v>
      </c>
      <c r="C1733">
        <v>71.510000000000005</v>
      </c>
      <c r="D1733">
        <v>70.599999999999994</v>
      </c>
      <c r="E1733" t="s">
        <v>17</v>
      </c>
      <c r="F1733">
        <v>25.13</v>
      </c>
      <c r="G1733">
        <v>24.46</v>
      </c>
      <c r="H1733" t="s">
        <v>17</v>
      </c>
      <c r="I1733" t="str">
        <f>"060837000815"</f>
        <v>060837000815</v>
      </c>
    </row>
    <row r="1734" spans="1:9" x14ac:dyDescent="0.25">
      <c r="A1734" t="s">
        <v>1550</v>
      </c>
      <c r="B1734" t="s">
        <v>13</v>
      </c>
      <c r="C1734">
        <v>23.9</v>
      </c>
      <c r="D1734">
        <v>24.7</v>
      </c>
      <c r="E1734" t="s">
        <v>17</v>
      </c>
      <c r="F1734">
        <v>24.31</v>
      </c>
      <c r="G1734">
        <v>22.96</v>
      </c>
      <c r="H1734" t="s">
        <v>17</v>
      </c>
      <c r="I1734" t="str">
        <f>"060837000814"</f>
        <v>060837000814</v>
      </c>
    </row>
    <row r="1735" spans="1:9" x14ac:dyDescent="0.25">
      <c r="A1735" t="s">
        <v>1551</v>
      </c>
      <c r="B1735" t="s">
        <v>13</v>
      </c>
      <c r="C1735">
        <v>8</v>
      </c>
      <c r="D1735">
        <v>6</v>
      </c>
      <c r="E1735" t="s">
        <v>17</v>
      </c>
      <c r="F1735">
        <v>25.75</v>
      </c>
      <c r="G1735">
        <v>20.5</v>
      </c>
      <c r="H1735" t="s">
        <v>17</v>
      </c>
      <c r="I1735" t="str">
        <f>"061839012576"</f>
        <v>061839012576</v>
      </c>
    </row>
    <row r="1736" spans="1:9" x14ac:dyDescent="0.25">
      <c r="A1736" t="s">
        <v>1552</v>
      </c>
      <c r="B1736" t="s">
        <v>13</v>
      </c>
      <c r="C1736" t="s">
        <v>17</v>
      </c>
      <c r="D1736" t="s">
        <v>14</v>
      </c>
      <c r="E1736" t="s">
        <v>14</v>
      </c>
      <c r="F1736" t="s">
        <v>17</v>
      </c>
      <c r="G1736" t="s">
        <v>14</v>
      </c>
      <c r="H1736" t="s">
        <v>14</v>
      </c>
      <c r="I1736" t="str">
        <f>"061005013207"</f>
        <v>061005013207</v>
      </c>
    </row>
    <row r="1737" spans="1:9" x14ac:dyDescent="0.25">
      <c r="A1737" t="s">
        <v>1553</v>
      </c>
      <c r="B1737" t="s">
        <v>13</v>
      </c>
      <c r="C1737">
        <v>11.8</v>
      </c>
      <c r="D1737">
        <v>12.5</v>
      </c>
      <c r="E1737" t="s">
        <v>17</v>
      </c>
      <c r="F1737">
        <v>20.079999999999998</v>
      </c>
      <c r="G1737">
        <v>18.96</v>
      </c>
      <c r="H1737" t="s">
        <v>17</v>
      </c>
      <c r="I1737" t="str">
        <f>"062982005717"</f>
        <v>062982005717</v>
      </c>
    </row>
    <row r="1738" spans="1:9" x14ac:dyDescent="0.25">
      <c r="A1738" t="s">
        <v>1554</v>
      </c>
      <c r="B1738" t="s">
        <v>13</v>
      </c>
      <c r="C1738">
        <v>1.17</v>
      </c>
      <c r="D1738">
        <v>1</v>
      </c>
      <c r="E1738" t="s">
        <v>17</v>
      </c>
      <c r="F1738">
        <v>15.38</v>
      </c>
      <c r="G1738">
        <v>19</v>
      </c>
      <c r="H1738" t="s">
        <v>17</v>
      </c>
      <c r="I1738" t="str">
        <f>"060006812658"</f>
        <v>060006812658</v>
      </c>
    </row>
    <row r="1739" spans="1:9" x14ac:dyDescent="0.25">
      <c r="A1739" t="s">
        <v>1555</v>
      </c>
      <c r="B1739" t="s">
        <v>13</v>
      </c>
      <c r="C1739">
        <v>9.85</v>
      </c>
      <c r="D1739">
        <v>10.119999999999999</v>
      </c>
      <c r="E1739" t="s">
        <v>17</v>
      </c>
      <c r="F1739">
        <v>5.48</v>
      </c>
      <c r="G1739">
        <v>17.89</v>
      </c>
      <c r="H1739" t="s">
        <v>17</v>
      </c>
      <c r="I1739" t="str">
        <f>"062271011311"</f>
        <v>062271011311</v>
      </c>
    </row>
    <row r="1740" spans="1:9" x14ac:dyDescent="0.25">
      <c r="A1740" t="s">
        <v>1556</v>
      </c>
      <c r="B1740" t="s">
        <v>13</v>
      </c>
      <c r="C1740">
        <v>38.92</v>
      </c>
      <c r="D1740">
        <v>27.42</v>
      </c>
      <c r="E1740" t="s">
        <v>17</v>
      </c>
      <c r="F1740">
        <v>16.55</v>
      </c>
      <c r="G1740">
        <v>17.760000000000002</v>
      </c>
      <c r="H1740" t="s">
        <v>17</v>
      </c>
      <c r="I1740" t="str">
        <f>"062271008724"</f>
        <v>062271008724</v>
      </c>
    </row>
    <row r="1741" spans="1:9" x14ac:dyDescent="0.25">
      <c r="A1741" t="s">
        <v>1557</v>
      </c>
      <c r="B1741" t="s">
        <v>13</v>
      </c>
      <c r="C1741">
        <v>11</v>
      </c>
      <c r="D1741">
        <v>12.6</v>
      </c>
      <c r="E1741" t="s">
        <v>17</v>
      </c>
      <c r="F1741">
        <v>24</v>
      </c>
      <c r="G1741">
        <v>19.920000000000002</v>
      </c>
      <c r="H1741" t="s">
        <v>17</v>
      </c>
      <c r="I1741" t="str">
        <f>"063441005369"</f>
        <v>063441005369</v>
      </c>
    </row>
    <row r="1742" spans="1:9" x14ac:dyDescent="0.25">
      <c r="A1742" t="s">
        <v>1558</v>
      </c>
      <c r="B1742" t="s">
        <v>13</v>
      </c>
      <c r="C1742">
        <v>2.31</v>
      </c>
      <c r="D1742">
        <v>2.2599999999999998</v>
      </c>
      <c r="E1742" t="s">
        <v>17</v>
      </c>
      <c r="F1742">
        <v>12.99</v>
      </c>
      <c r="G1742">
        <v>15.49</v>
      </c>
      <c r="H1742" t="s">
        <v>17</v>
      </c>
      <c r="I1742" t="str">
        <f>"061869000831"</f>
        <v>061869000831</v>
      </c>
    </row>
    <row r="1743" spans="1:9" x14ac:dyDescent="0.25">
      <c r="A1743" t="s">
        <v>1559</v>
      </c>
      <c r="B1743" t="s">
        <v>13</v>
      </c>
      <c r="C1743">
        <v>6</v>
      </c>
      <c r="D1743">
        <v>6</v>
      </c>
      <c r="E1743" t="s">
        <v>17</v>
      </c>
      <c r="F1743">
        <v>12.83</v>
      </c>
      <c r="G1743">
        <v>11.5</v>
      </c>
      <c r="H1743" t="s">
        <v>17</v>
      </c>
      <c r="I1743" t="str">
        <f>"063441005596"</f>
        <v>063441005596</v>
      </c>
    </row>
    <row r="1744" spans="1:9" x14ac:dyDescent="0.25">
      <c r="A1744" t="s">
        <v>1560</v>
      </c>
      <c r="B1744" t="s">
        <v>13</v>
      </c>
      <c r="C1744">
        <v>14</v>
      </c>
      <c r="D1744">
        <v>11</v>
      </c>
      <c r="E1744" t="s">
        <v>17</v>
      </c>
      <c r="F1744">
        <v>21.07</v>
      </c>
      <c r="G1744">
        <v>21.09</v>
      </c>
      <c r="H1744" t="s">
        <v>17</v>
      </c>
      <c r="I1744" t="str">
        <f>"063441012487"</f>
        <v>063441012487</v>
      </c>
    </row>
    <row r="1745" spans="1:9" x14ac:dyDescent="0.25">
      <c r="A1745" t="s">
        <v>1561</v>
      </c>
      <c r="B1745" t="s">
        <v>13</v>
      </c>
      <c r="C1745">
        <v>93.63</v>
      </c>
      <c r="D1745">
        <v>93.67</v>
      </c>
      <c r="E1745" t="s">
        <v>17</v>
      </c>
      <c r="F1745">
        <v>26.68</v>
      </c>
      <c r="G1745">
        <v>27.43</v>
      </c>
      <c r="H1745" t="s">
        <v>17</v>
      </c>
      <c r="I1745" t="str">
        <f>"060846000835"</f>
        <v>060846000835</v>
      </c>
    </row>
    <row r="1746" spans="1:9" x14ac:dyDescent="0.25">
      <c r="A1746" t="s">
        <v>1562</v>
      </c>
      <c r="B1746" t="s">
        <v>13</v>
      </c>
      <c r="C1746">
        <v>107.86</v>
      </c>
      <c r="D1746">
        <v>107.89</v>
      </c>
      <c r="E1746" t="s">
        <v>17</v>
      </c>
      <c r="F1746">
        <v>28.02</v>
      </c>
      <c r="G1746">
        <v>28.15</v>
      </c>
      <c r="H1746" t="s">
        <v>17</v>
      </c>
      <c r="I1746" t="str">
        <f>"060846010360"</f>
        <v>060846010360</v>
      </c>
    </row>
    <row r="1747" spans="1:9" x14ac:dyDescent="0.25">
      <c r="A1747" t="s">
        <v>1563</v>
      </c>
      <c r="B1747" t="s">
        <v>13</v>
      </c>
      <c r="C1747">
        <v>3</v>
      </c>
      <c r="D1747">
        <v>4.5</v>
      </c>
      <c r="E1747" t="s">
        <v>17</v>
      </c>
      <c r="F1747">
        <v>8</v>
      </c>
      <c r="G1747">
        <v>8.2200000000000006</v>
      </c>
      <c r="H1747" t="s">
        <v>17</v>
      </c>
      <c r="I1747" t="str">
        <f>"060846010607"</f>
        <v>060846010607</v>
      </c>
    </row>
    <row r="1748" spans="1:9" x14ac:dyDescent="0.25">
      <c r="A1748" t="s">
        <v>1564</v>
      </c>
      <c r="B1748" t="s">
        <v>13</v>
      </c>
      <c r="C1748">
        <v>32.54</v>
      </c>
      <c r="D1748">
        <v>34.21</v>
      </c>
      <c r="E1748" t="s">
        <v>17</v>
      </c>
      <c r="F1748">
        <v>28.12</v>
      </c>
      <c r="G1748">
        <v>26.22</v>
      </c>
      <c r="H1748" t="s">
        <v>17</v>
      </c>
      <c r="I1748" t="str">
        <f>"060363000292"</f>
        <v>060363000292</v>
      </c>
    </row>
    <row r="1749" spans="1:9" x14ac:dyDescent="0.25">
      <c r="A1749" t="s">
        <v>1565</v>
      </c>
      <c r="B1749" t="s">
        <v>13</v>
      </c>
      <c r="C1749">
        <v>7.2</v>
      </c>
      <c r="D1749">
        <v>9.6</v>
      </c>
      <c r="E1749" t="s">
        <v>17</v>
      </c>
      <c r="F1749">
        <v>25.83</v>
      </c>
      <c r="G1749">
        <v>20.52</v>
      </c>
      <c r="H1749" t="s">
        <v>17</v>
      </c>
      <c r="I1749" t="str">
        <f>"063021003605"</f>
        <v>063021003605</v>
      </c>
    </row>
    <row r="1750" spans="1:9" x14ac:dyDescent="0.25">
      <c r="A1750" t="s">
        <v>1566</v>
      </c>
      <c r="B1750" t="s">
        <v>13</v>
      </c>
      <c r="C1750">
        <v>35</v>
      </c>
      <c r="D1750">
        <v>35</v>
      </c>
      <c r="E1750" t="s">
        <v>17</v>
      </c>
      <c r="F1750">
        <v>20.2</v>
      </c>
      <c r="G1750">
        <v>22.34</v>
      </c>
      <c r="H1750" t="s">
        <v>17</v>
      </c>
      <c r="I1750" t="str">
        <f>"063432005433"</f>
        <v>063432005433</v>
      </c>
    </row>
    <row r="1751" spans="1:9" x14ac:dyDescent="0.25">
      <c r="A1751" t="s">
        <v>1567</v>
      </c>
      <c r="B1751" t="s">
        <v>13</v>
      </c>
      <c r="C1751">
        <v>43.21</v>
      </c>
      <c r="D1751">
        <v>41.83</v>
      </c>
      <c r="E1751" t="s">
        <v>17</v>
      </c>
      <c r="F1751">
        <v>22.98</v>
      </c>
      <c r="G1751">
        <v>22.71</v>
      </c>
      <c r="H1751" t="s">
        <v>17</v>
      </c>
      <c r="I1751" t="str">
        <f>"060855000852"</f>
        <v>060855000852</v>
      </c>
    </row>
    <row r="1752" spans="1:9" x14ac:dyDescent="0.25">
      <c r="A1752" t="s">
        <v>1568</v>
      </c>
      <c r="B1752" t="s">
        <v>13</v>
      </c>
      <c r="C1752">
        <v>33</v>
      </c>
      <c r="D1752">
        <v>32.5</v>
      </c>
      <c r="E1752" t="s">
        <v>17</v>
      </c>
      <c r="F1752">
        <v>29.67</v>
      </c>
      <c r="G1752">
        <v>28.49</v>
      </c>
      <c r="H1752" t="s">
        <v>17</v>
      </c>
      <c r="I1752" t="str">
        <f>"062922009598"</f>
        <v>062922009598</v>
      </c>
    </row>
    <row r="1753" spans="1:9" x14ac:dyDescent="0.25">
      <c r="A1753" t="s">
        <v>1568</v>
      </c>
      <c r="B1753" t="s">
        <v>13</v>
      </c>
      <c r="C1753">
        <v>24.75</v>
      </c>
      <c r="D1753">
        <v>21.53</v>
      </c>
      <c r="E1753" t="s">
        <v>17</v>
      </c>
      <c r="F1753">
        <v>25.01</v>
      </c>
      <c r="G1753">
        <v>26.01</v>
      </c>
      <c r="H1753" t="s">
        <v>17</v>
      </c>
      <c r="I1753" t="str">
        <f>"060639010221"</f>
        <v>060639010221</v>
      </c>
    </row>
    <row r="1754" spans="1:9" x14ac:dyDescent="0.25">
      <c r="A1754" t="s">
        <v>1568</v>
      </c>
      <c r="B1754" t="s">
        <v>13</v>
      </c>
      <c r="C1754">
        <v>28.75</v>
      </c>
      <c r="D1754">
        <v>30.78</v>
      </c>
      <c r="E1754" t="s">
        <v>17</v>
      </c>
      <c r="F1754">
        <v>26.47</v>
      </c>
      <c r="G1754">
        <v>24.89</v>
      </c>
      <c r="H1754" t="s">
        <v>17</v>
      </c>
      <c r="I1754" t="str">
        <f>"062825009597"</f>
        <v>062825009597</v>
      </c>
    </row>
    <row r="1755" spans="1:9" x14ac:dyDescent="0.25">
      <c r="A1755" t="s">
        <v>1568</v>
      </c>
      <c r="B1755" t="s">
        <v>13</v>
      </c>
      <c r="C1755">
        <v>19.75</v>
      </c>
      <c r="D1755">
        <v>18.98</v>
      </c>
      <c r="E1755" t="s">
        <v>17</v>
      </c>
      <c r="F1755">
        <v>25.16</v>
      </c>
      <c r="G1755">
        <v>26.08</v>
      </c>
      <c r="H1755" t="s">
        <v>17</v>
      </c>
      <c r="I1755" t="str">
        <f>"061029009356"</f>
        <v>061029009356</v>
      </c>
    </row>
    <row r="1756" spans="1:9" x14ac:dyDescent="0.25">
      <c r="A1756" t="s">
        <v>1569</v>
      </c>
      <c r="B1756" t="s">
        <v>13</v>
      </c>
      <c r="C1756">
        <v>40.909999999999997</v>
      </c>
      <c r="D1756">
        <v>39.840000000000003</v>
      </c>
      <c r="E1756" t="s">
        <v>17</v>
      </c>
      <c r="F1756">
        <v>22.49</v>
      </c>
      <c r="G1756">
        <v>22.19</v>
      </c>
      <c r="H1756" t="s">
        <v>17</v>
      </c>
      <c r="I1756" t="str">
        <f>"062223011415"</f>
        <v>062223011415</v>
      </c>
    </row>
    <row r="1757" spans="1:9" x14ac:dyDescent="0.25">
      <c r="A1757" t="s">
        <v>1570</v>
      </c>
      <c r="B1757" t="s">
        <v>13</v>
      </c>
      <c r="C1757">
        <v>17</v>
      </c>
      <c r="D1757">
        <v>17</v>
      </c>
      <c r="E1757" t="s">
        <v>17</v>
      </c>
      <c r="F1757">
        <v>26.65</v>
      </c>
      <c r="G1757">
        <v>25.76</v>
      </c>
      <c r="H1757" t="s">
        <v>17</v>
      </c>
      <c r="I1757" t="str">
        <f>"064245006947"</f>
        <v>064245006947</v>
      </c>
    </row>
    <row r="1758" spans="1:9" x14ac:dyDescent="0.25">
      <c r="A1758" t="s">
        <v>1571</v>
      </c>
      <c r="B1758" t="s">
        <v>13</v>
      </c>
      <c r="C1758">
        <v>21.73</v>
      </c>
      <c r="D1758">
        <v>22.83</v>
      </c>
      <c r="E1758" t="s">
        <v>17</v>
      </c>
      <c r="F1758">
        <v>22.69</v>
      </c>
      <c r="G1758">
        <v>21.81</v>
      </c>
      <c r="H1758" t="s">
        <v>17</v>
      </c>
      <c r="I1758" t="str">
        <f>"061269001432"</f>
        <v>061269001432</v>
      </c>
    </row>
    <row r="1759" spans="1:9" x14ac:dyDescent="0.25">
      <c r="A1759" t="s">
        <v>1572</v>
      </c>
      <c r="B1759" t="s">
        <v>13</v>
      </c>
      <c r="C1759">
        <v>32.5</v>
      </c>
      <c r="D1759">
        <v>38.01</v>
      </c>
      <c r="E1759" t="s">
        <v>17</v>
      </c>
      <c r="F1759">
        <v>25.63</v>
      </c>
      <c r="G1759">
        <v>22.47</v>
      </c>
      <c r="H1759" t="s">
        <v>17</v>
      </c>
      <c r="I1759" t="str">
        <f>"062271002933"</f>
        <v>062271002933</v>
      </c>
    </row>
    <row r="1760" spans="1:9" x14ac:dyDescent="0.25">
      <c r="A1760" t="s">
        <v>1573</v>
      </c>
      <c r="B1760" t="s">
        <v>13</v>
      </c>
      <c r="C1760">
        <v>17</v>
      </c>
      <c r="D1760">
        <v>20</v>
      </c>
      <c r="E1760" t="s">
        <v>17</v>
      </c>
      <c r="F1760">
        <v>26.18</v>
      </c>
      <c r="G1760">
        <v>24.1</v>
      </c>
      <c r="H1760" t="s">
        <v>17</v>
      </c>
      <c r="I1760" t="str">
        <f>"062271002945"</f>
        <v>062271002945</v>
      </c>
    </row>
    <row r="1761" spans="1:9" x14ac:dyDescent="0.25">
      <c r="A1761" t="s">
        <v>1574</v>
      </c>
      <c r="B1761" t="s">
        <v>13</v>
      </c>
      <c r="C1761">
        <v>18.899999999999999</v>
      </c>
      <c r="D1761">
        <v>19.8</v>
      </c>
      <c r="E1761" t="s">
        <v>17</v>
      </c>
      <c r="F1761">
        <v>26.24</v>
      </c>
      <c r="G1761">
        <v>25.56</v>
      </c>
      <c r="H1761" t="s">
        <v>17</v>
      </c>
      <c r="I1761" t="str">
        <f>"062781004208"</f>
        <v>062781004208</v>
      </c>
    </row>
    <row r="1762" spans="1:9" x14ac:dyDescent="0.25">
      <c r="A1762" t="s">
        <v>1575</v>
      </c>
      <c r="B1762" t="s">
        <v>13</v>
      </c>
      <c r="C1762">
        <v>68.83</v>
      </c>
      <c r="D1762">
        <v>59.73</v>
      </c>
      <c r="E1762" t="s">
        <v>17</v>
      </c>
      <c r="F1762">
        <v>24.42</v>
      </c>
      <c r="G1762">
        <v>24.49</v>
      </c>
      <c r="H1762" t="s">
        <v>17</v>
      </c>
      <c r="I1762" t="str">
        <f>"061518012264"</f>
        <v>061518012264</v>
      </c>
    </row>
    <row r="1763" spans="1:9" x14ac:dyDescent="0.25">
      <c r="A1763" t="s">
        <v>1576</v>
      </c>
      <c r="B1763" t="s">
        <v>13</v>
      </c>
      <c r="C1763">
        <v>10.5</v>
      </c>
      <c r="D1763">
        <v>8.5</v>
      </c>
      <c r="E1763" t="s">
        <v>17</v>
      </c>
      <c r="F1763">
        <v>16.29</v>
      </c>
      <c r="G1763">
        <v>18.12</v>
      </c>
      <c r="H1763" t="s">
        <v>17</v>
      </c>
      <c r="I1763" t="str">
        <f>"069103711800"</f>
        <v>069103711800</v>
      </c>
    </row>
    <row r="1764" spans="1:9" x14ac:dyDescent="0.25">
      <c r="A1764" t="s">
        <v>1577</v>
      </c>
      <c r="B1764" t="s">
        <v>13</v>
      </c>
      <c r="C1764">
        <v>15</v>
      </c>
      <c r="D1764">
        <v>18</v>
      </c>
      <c r="E1764" t="s">
        <v>17</v>
      </c>
      <c r="F1764">
        <v>22.73</v>
      </c>
      <c r="G1764">
        <v>18.559999999999999</v>
      </c>
      <c r="H1764" t="s">
        <v>17</v>
      </c>
      <c r="I1764" t="str">
        <f>"060858000854"</f>
        <v>060858000854</v>
      </c>
    </row>
    <row r="1765" spans="1:9" x14ac:dyDescent="0.25">
      <c r="A1765" t="s">
        <v>1578</v>
      </c>
      <c r="B1765" t="s">
        <v>13</v>
      </c>
      <c r="C1765">
        <v>25</v>
      </c>
      <c r="D1765">
        <v>25</v>
      </c>
      <c r="E1765" t="s">
        <v>17</v>
      </c>
      <c r="F1765">
        <v>22.32</v>
      </c>
      <c r="G1765">
        <v>22.28</v>
      </c>
      <c r="H1765" t="s">
        <v>17</v>
      </c>
      <c r="I1765" t="str">
        <f>"060861009350"</f>
        <v>060861009350</v>
      </c>
    </row>
    <row r="1766" spans="1:9" x14ac:dyDescent="0.25">
      <c r="A1766" t="s">
        <v>1579</v>
      </c>
      <c r="B1766" t="s">
        <v>13</v>
      </c>
      <c r="C1766">
        <v>42</v>
      </c>
      <c r="D1766">
        <v>36.53</v>
      </c>
      <c r="E1766" t="s">
        <v>17</v>
      </c>
      <c r="F1766">
        <v>22.83</v>
      </c>
      <c r="G1766">
        <v>22.2</v>
      </c>
      <c r="H1766" t="s">
        <v>17</v>
      </c>
      <c r="I1766" t="str">
        <f>"060861007649"</f>
        <v>060861007649</v>
      </c>
    </row>
    <row r="1767" spans="1:9" x14ac:dyDescent="0.25">
      <c r="A1767" t="s">
        <v>1580</v>
      </c>
      <c r="B1767" t="s">
        <v>13</v>
      </c>
      <c r="C1767">
        <v>40.21</v>
      </c>
      <c r="D1767">
        <v>42.4</v>
      </c>
      <c r="E1767" t="s">
        <v>17</v>
      </c>
      <c r="F1767">
        <v>25.69</v>
      </c>
      <c r="G1767">
        <v>24.79</v>
      </c>
      <c r="H1767" t="s">
        <v>17</v>
      </c>
      <c r="I1767" t="str">
        <f>"063864006478"</f>
        <v>063864006478</v>
      </c>
    </row>
    <row r="1768" spans="1:9" x14ac:dyDescent="0.25">
      <c r="A1768" t="s">
        <v>1581</v>
      </c>
      <c r="B1768" t="s">
        <v>13</v>
      </c>
      <c r="C1768">
        <v>103.66</v>
      </c>
      <c r="D1768">
        <v>100.08</v>
      </c>
      <c r="E1768" t="s">
        <v>17</v>
      </c>
      <c r="F1768">
        <v>28.31</v>
      </c>
      <c r="G1768">
        <v>26.96</v>
      </c>
      <c r="H1768" t="s">
        <v>17</v>
      </c>
      <c r="I1768" t="str">
        <f>"063864006479"</f>
        <v>063864006479</v>
      </c>
    </row>
    <row r="1769" spans="1:9" x14ac:dyDescent="0.25">
      <c r="A1769" t="s">
        <v>1582</v>
      </c>
      <c r="B1769" t="s">
        <v>13</v>
      </c>
      <c r="C1769">
        <v>28</v>
      </c>
      <c r="D1769">
        <v>27</v>
      </c>
      <c r="E1769" t="s">
        <v>17</v>
      </c>
      <c r="F1769">
        <v>28.11</v>
      </c>
      <c r="G1769">
        <v>28.56</v>
      </c>
      <c r="H1769" t="s">
        <v>17</v>
      </c>
      <c r="I1769" t="str">
        <f>"062955004562"</f>
        <v>062955004562</v>
      </c>
    </row>
    <row r="1770" spans="1:9" x14ac:dyDescent="0.25">
      <c r="A1770" t="s">
        <v>1583</v>
      </c>
      <c r="B1770" t="s">
        <v>13</v>
      </c>
      <c r="C1770">
        <v>35.29</v>
      </c>
      <c r="D1770">
        <v>31.5</v>
      </c>
      <c r="E1770" t="s">
        <v>17</v>
      </c>
      <c r="F1770">
        <v>25.81</v>
      </c>
      <c r="G1770">
        <v>26.79</v>
      </c>
      <c r="H1770" t="s">
        <v>17</v>
      </c>
      <c r="I1770" t="str">
        <f>"063386010043"</f>
        <v>063386010043</v>
      </c>
    </row>
    <row r="1771" spans="1:9" x14ac:dyDescent="0.25">
      <c r="A1771" t="s">
        <v>1584</v>
      </c>
      <c r="B1771" t="s">
        <v>13</v>
      </c>
      <c r="C1771">
        <v>31</v>
      </c>
      <c r="D1771">
        <v>30.5</v>
      </c>
      <c r="E1771" t="s">
        <v>17</v>
      </c>
      <c r="F1771">
        <v>22.9</v>
      </c>
      <c r="G1771">
        <v>23.77</v>
      </c>
      <c r="H1771" t="s">
        <v>17</v>
      </c>
      <c r="I1771" t="str">
        <f>"062271002919"</f>
        <v>062271002919</v>
      </c>
    </row>
    <row r="1772" spans="1:9" x14ac:dyDescent="0.25">
      <c r="A1772" t="s">
        <v>1584</v>
      </c>
      <c r="B1772" t="s">
        <v>13</v>
      </c>
      <c r="C1772">
        <v>1.91</v>
      </c>
      <c r="D1772">
        <v>1.91</v>
      </c>
      <c r="E1772" t="s">
        <v>17</v>
      </c>
      <c r="F1772">
        <v>15.71</v>
      </c>
      <c r="G1772">
        <v>12.57</v>
      </c>
      <c r="H1772" t="s">
        <v>17</v>
      </c>
      <c r="I1772" t="str">
        <f>"060864000883"</f>
        <v>060864000883</v>
      </c>
    </row>
    <row r="1773" spans="1:9" x14ac:dyDescent="0.25">
      <c r="A1773" t="s">
        <v>1585</v>
      </c>
      <c r="B1773" t="s">
        <v>13</v>
      </c>
      <c r="C1773">
        <v>17</v>
      </c>
      <c r="D1773">
        <v>17</v>
      </c>
      <c r="E1773" t="s">
        <v>17</v>
      </c>
      <c r="F1773">
        <v>19.88</v>
      </c>
      <c r="G1773">
        <v>18.82</v>
      </c>
      <c r="H1773" t="s">
        <v>17</v>
      </c>
      <c r="I1773" t="str">
        <f>"062271002920"</f>
        <v>062271002920</v>
      </c>
    </row>
    <row r="1774" spans="1:9" x14ac:dyDescent="0.25">
      <c r="A1774" t="s">
        <v>1586</v>
      </c>
      <c r="B1774" t="s">
        <v>13</v>
      </c>
      <c r="C1774">
        <v>30</v>
      </c>
      <c r="D1774">
        <v>29</v>
      </c>
      <c r="E1774" t="s">
        <v>17</v>
      </c>
      <c r="F1774">
        <v>28.23</v>
      </c>
      <c r="G1774">
        <v>29.52</v>
      </c>
      <c r="H1774" t="s">
        <v>17</v>
      </c>
      <c r="I1774" t="str">
        <f>"062958007129"</f>
        <v>062958007129</v>
      </c>
    </row>
    <row r="1775" spans="1:9" x14ac:dyDescent="0.25">
      <c r="A1775" t="s">
        <v>1587</v>
      </c>
      <c r="B1775" t="s">
        <v>13</v>
      </c>
      <c r="C1775">
        <v>8.4700000000000006</v>
      </c>
      <c r="D1775">
        <v>9.4700000000000006</v>
      </c>
      <c r="E1775" t="s">
        <v>17</v>
      </c>
      <c r="F1775">
        <v>19.48</v>
      </c>
      <c r="G1775">
        <v>18.27</v>
      </c>
      <c r="H1775" t="s">
        <v>17</v>
      </c>
      <c r="I1775" t="str">
        <f>"060870000884"</f>
        <v>060870000884</v>
      </c>
    </row>
    <row r="1776" spans="1:9" x14ac:dyDescent="0.25">
      <c r="A1776" t="s">
        <v>1588</v>
      </c>
      <c r="B1776" t="s">
        <v>13</v>
      </c>
      <c r="C1776">
        <v>1</v>
      </c>
      <c r="D1776" t="s">
        <v>14</v>
      </c>
      <c r="E1776" t="s">
        <v>14</v>
      </c>
      <c r="F1776">
        <v>9</v>
      </c>
      <c r="G1776" t="s">
        <v>14</v>
      </c>
      <c r="H1776" t="s">
        <v>14</v>
      </c>
      <c r="I1776" t="str">
        <f>"060870013043"</f>
        <v>060870013043</v>
      </c>
    </row>
    <row r="1777" spans="1:9" x14ac:dyDescent="0.25">
      <c r="A1777" t="s">
        <v>1589</v>
      </c>
      <c r="B1777" t="s">
        <v>13</v>
      </c>
      <c r="C1777">
        <v>22</v>
      </c>
      <c r="D1777">
        <v>23</v>
      </c>
      <c r="E1777" t="s">
        <v>17</v>
      </c>
      <c r="F1777">
        <v>24.86</v>
      </c>
      <c r="G1777">
        <v>25.17</v>
      </c>
      <c r="H1777" t="s">
        <v>17</v>
      </c>
      <c r="I1777" t="str">
        <f>"062136008709"</f>
        <v>062136008709</v>
      </c>
    </row>
    <row r="1778" spans="1:9" x14ac:dyDescent="0.25">
      <c r="A1778" t="s">
        <v>1590</v>
      </c>
      <c r="B1778" t="s">
        <v>13</v>
      </c>
      <c r="C1778">
        <v>16.329999999999998</v>
      </c>
      <c r="D1778">
        <v>18.329999999999998</v>
      </c>
      <c r="E1778" t="s">
        <v>17</v>
      </c>
      <c r="F1778">
        <v>22.54</v>
      </c>
      <c r="G1778">
        <v>21</v>
      </c>
      <c r="H1778" t="s">
        <v>17</v>
      </c>
      <c r="I1778" t="str">
        <f>"060453004019"</f>
        <v>060453004019</v>
      </c>
    </row>
    <row r="1779" spans="1:9" x14ac:dyDescent="0.25">
      <c r="A1779" t="s">
        <v>1591</v>
      </c>
      <c r="B1779" t="s">
        <v>13</v>
      </c>
      <c r="C1779">
        <v>9.6999999999999993</v>
      </c>
      <c r="D1779">
        <v>12.4</v>
      </c>
      <c r="E1779" t="s">
        <v>17</v>
      </c>
      <c r="F1779">
        <v>25.46</v>
      </c>
      <c r="G1779">
        <v>19.68</v>
      </c>
      <c r="H1779" t="s">
        <v>17</v>
      </c>
      <c r="I1779" t="str">
        <f>"061440007479"</f>
        <v>061440007479</v>
      </c>
    </row>
    <row r="1780" spans="1:9" x14ac:dyDescent="0.25">
      <c r="A1780" t="s">
        <v>1592</v>
      </c>
      <c r="B1780" t="s">
        <v>13</v>
      </c>
      <c r="C1780">
        <v>28.42</v>
      </c>
      <c r="D1780">
        <v>31.75</v>
      </c>
      <c r="E1780" t="s">
        <v>17</v>
      </c>
      <c r="F1780">
        <v>27.66</v>
      </c>
      <c r="G1780">
        <v>24.63</v>
      </c>
      <c r="H1780" t="s">
        <v>17</v>
      </c>
      <c r="I1780" t="str">
        <f>"062814004328"</f>
        <v>062814004328</v>
      </c>
    </row>
    <row r="1781" spans="1:9" x14ac:dyDescent="0.25">
      <c r="A1781" t="s">
        <v>1593</v>
      </c>
      <c r="B1781" t="s">
        <v>13</v>
      </c>
      <c r="C1781">
        <v>8.4</v>
      </c>
      <c r="D1781">
        <v>8</v>
      </c>
      <c r="E1781" t="s">
        <v>17</v>
      </c>
      <c r="F1781">
        <v>25.6</v>
      </c>
      <c r="G1781">
        <v>30.63</v>
      </c>
      <c r="H1781" t="s">
        <v>17</v>
      </c>
      <c r="I1781" t="str">
        <f>"062994012340"</f>
        <v>062994012340</v>
      </c>
    </row>
    <row r="1782" spans="1:9" x14ac:dyDescent="0.25">
      <c r="A1782" t="s">
        <v>1594</v>
      </c>
      <c r="B1782" t="s">
        <v>13</v>
      </c>
      <c r="C1782">
        <v>11.5</v>
      </c>
      <c r="D1782" t="s">
        <v>14</v>
      </c>
      <c r="E1782" t="s">
        <v>14</v>
      </c>
      <c r="F1782">
        <v>21.13</v>
      </c>
      <c r="G1782" t="s">
        <v>14</v>
      </c>
      <c r="H1782" t="s">
        <v>14</v>
      </c>
      <c r="I1782" t="str">
        <f>"062271013114"</f>
        <v>062271013114</v>
      </c>
    </row>
    <row r="1783" spans="1:9" x14ac:dyDescent="0.25">
      <c r="A1783" t="s">
        <v>1595</v>
      </c>
      <c r="B1783" t="s">
        <v>13</v>
      </c>
      <c r="C1783" t="s">
        <v>17</v>
      </c>
      <c r="D1783" t="s">
        <v>14</v>
      </c>
      <c r="E1783" t="s">
        <v>14</v>
      </c>
      <c r="F1783" t="s">
        <v>17</v>
      </c>
      <c r="G1783" t="s">
        <v>14</v>
      </c>
      <c r="H1783" t="s">
        <v>14</v>
      </c>
      <c r="I1783" t="str">
        <f>"062271013088"</f>
        <v>062271013088</v>
      </c>
    </row>
    <row r="1784" spans="1:9" x14ac:dyDescent="0.25">
      <c r="A1784" t="s">
        <v>1596</v>
      </c>
      <c r="B1784" t="s">
        <v>13</v>
      </c>
      <c r="C1784">
        <v>12</v>
      </c>
      <c r="D1784">
        <v>9</v>
      </c>
      <c r="E1784" t="s">
        <v>17</v>
      </c>
      <c r="F1784">
        <v>21.33</v>
      </c>
      <c r="G1784">
        <v>20</v>
      </c>
      <c r="H1784" t="s">
        <v>17</v>
      </c>
      <c r="I1784" t="str">
        <f>"062271012708"</f>
        <v>062271012708</v>
      </c>
    </row>
    <row r="1785" spans="1:9" x14ac:dyDescent="0.25">
      <c r="A1785" t="s">
        <v>1597</v>
      </c>
      <c r="B1785" t="s">
        <v>13</v>
      </c>
      <c r="C1785">
        <v>20.97</v>
      </c>
      <c r="D1785">
        <v>20.7</v>
      </c>
      <c r="E1785" t="s">
        <v>17</v>
      </c>
      <c r="F1785">
        <v>16.170000000000002</v>
      </c>
      <c r="G1785">
        <v>19.03</v>
      </c>
      <c r="H1785" t="s">
        <v>17</v>
      </c>
      <c r="I1785" t="str">
        <f>"060837000816"</f>
        <v>060837000816</v>
      </c>
    </row>
    <row r="1786" spans="1:9" x14ac:dyDescent="0.25">
      <c r="A1786" t="s">
        <v>1598</v>
      </c>
      <c r="B1786" t="s">
        <v>13</v>
      </c>
      <c r="C1786">
        <v>24</v>
      </c>
      <c r="D1786">
        <v>26.2</v>
      </c>
      <c r="E1786" t="s">
        <v>17</v>
      </c>
      <c r="F1786">
        <v>28.46</v>
      </c>
      <c r="G1786">
        <v>28.47</v>
      </c>
      <c r="H1786" t="s">
        <v>17</v>
      </c>
      <c r="I1786" t="str">
        <f>"060001609089"</f>
        <v>060001609089</v>
      </c>
    </row>
    <row r="1787" spans="1:9" x14ac:dyDescent="0.25">
      <c r="A1787" t="s">
        <v>1598</v>
      </c>
      <c r="B1787" t="s">
        <v>13</v>
      </c>
      <c r="C1787">
        <v>27.67</v>
      </c>
      <c r="D1787">
        <v>27.58</v>
      </c>
      <c r="E1787" t="s">
        <v>17</v>
      </c>
      <c r="F1787">
        <v>29.2</v>
      </c>
      <c r="G1787">
        <v>28.83</v>
      </c>
      <c r="H1787" t="s">
        <v>17</v>
      </c>
      <c r="I1787" t="str">
        <f>"061392008291"</f>
        <v>061392008291</v>
      </c>
    </row>
    <row r="1788" spans="1:9" x14ac:dyDescent="0.25">
      <c r="A1788" t="s">
        <v>1599</v>
      </c>
      <c r="B1788" t="s">
        <v>13</v>
      </c>
      <c r="C1788">
        <v>22.1</v>
      </c>
      <c r="D1788">
        <v>22.67</v>
      </c>
      <c r="E1788" t="s">
        <v>17</v>
      </c>
      <c r="F1788">
        <v>26.29</v>
      </c>
      <c r="G1788">
        <v>24.75</v>
      </c>
      <c r="H1788" t="s">
        <v>17</v>
      </c>
      <c r="I1788" t="str">
        <f>"064098008433"</f>
        <v>064098008433</v>
      </c>
    </row>
    <row r="1789" spans="1:9" x14ac:dyDescent="0.25">
      <c r="A1789" t="s">
        <v>1600</v>
      </c>
      <c r="B1789" t="s">
        <v>13</v>
      </c>
      <c r="C1789">
        <v>12.47</v>
      </c>
      <c r="D1789">
        <v>14.25</v>
      </c>
      <c r="E1789" t="s">
        <v>17</v>
      </c>
      <c r="F1789">
        <v>30.87</v>
      </c>
      <c r="G1789">
        <v>24.98</v>
      </c>
      <c r="H1789" t="s">
        <v>17</v>
      </c>
      <c r="I1789" t="str">
        <f>"063462005763"</f>
        <v>063462005763</v>
      </c>
    </row>
    <row r="1790" spans="1:9" x14ac:dyDescent="0.25">
      <c r="A1790" t="s">
        <v>1601</v>
      </c>
      <c r="B1790" t="s">
        <v>13</v>
      </c>
      <c r="C1790">
        <v>8.7100000000000009</v>
      </c>
      <c r="D1790">
        <v>9.61</v>
      </c>
      <c r="E1790" t="s">
        <v>17</v>
      </c>
      <c r="F1790">
        <v>20.67</v>
      </c>
      <c r="G1790">
        <v>19.88</v>
      </c>
      <c r="H1790" t="s">
        <v>17</v>
      </c>
      <c r="I1790" t="str">
        <f>"060006404878"</f>
        <v>060006404878</v>
      </c>
    </row>
    <row r="1791" spans="1:9" x14ac:dyDescent="0.25">
      <c r="A1791" t="s">
        <v>1602</v>
      </c>
      <c r="B1791" t="s">
        <v>13</v>
      </c>
      <c r="C1791">
        <v>29.77</v>
      </c>
      <c r="D1791">
        <v>22.5</v>
      </c>
      <c r="E1791" t="s">
        <v>17</v>
      </c>
      <c r="F1791">
        <v>19.350000000000001</v>
      </c>
      <c r="G1791">
        <v>19.420000000000002</v>
      </c>
      <c r="H1791" t="s">
        <v>17</v>
      </c>
      <c r="I1791" t="str">
        <f>"061392009367"</f>
        <v>061392009367</v>
      </c>
    </row>
    <row r="1792" spans="1:9" x14ac:dyDescent="0.25">
      <c r="A1792" t="s">
        <v>1603</v>
      </c>
      <c r="B1792" t="s">
        <v>13</v>
      </c>
      <c r="C1792">
        <v>87.7</v>
      </c>
      <c r="D1792">
        <v>86.72</v>
      </c>
      <c r="E1792" t="s">
        <v>17</v>
      </c>
      <c r="F1792">
        <v>25.11</v>
      </c>
      <c r="G1792">
        <v>25.8</v>
      </c>
      <c r="H1792" t="s">
        <v>17</v>
      </c>
      <c r="I1792" t="str">
        <f>"069113511047"</f>
        <v>069113511047</v>
      </c>
    </row>
    <row r="1793" spans="1:9" x14ac:dyDescent="0.25">
      <c r="A1793" t="s">
        <v>1604</v>
      </c>
      <c r="B1793" t="s">
        <v>13</v>
      </c>
      <c r="C1793">
        <v>55.01</v>
      </c>
      <c r="D1793">
        <v>56.5</v>
      </c>
      <c r="E1793" t="s">
        <v>17</v>
      </c>
      <c r="F1793">
        <v>23.03</v>
      </c>
      <c r="G1793">
        <v>25.24</v>
      </c>
      <c r="H1793" t="s">
        <v>17</v>
      </c>
      <c r="I1793" t="str">
        <f>"060985008263"</f>
        <v>060985008263</v>
      </c>
    </row>
    <row r="1794" spans="1:9" x14ac:dyDescent="0.25">
      <c r="A1794" t="s">
        <v>1605</v>
      </c>
      <c r="B1794" t="s">
        <v>13</v>
      </c>
      <c r="C1794">
        <v>29.6</v>
      </c>
      <c r="D1794">
        <v>30.7</v>
      </c>
      <c r="E1794" t="s">
        <v>17</v>
      </c>
      <c r="F1794">
        <v>20.84</v>
      </c>
      <c r="G1794">
        <v>20.03</v>
      </c>
      <c r="H1794" t="s">
        <v>17</v>
      </c>
      <c r="I1794" t="str">
        <f>"061970002364"</f>
        <v>061970002364</v>
      </c>
    </row>
    <row r="1795" spans="1:9" x14ac:dyDescent="0.25">
      <c r="A1795" t="s">
        <v>1606</v>
      </c>
      <c r="B1795" t="s">
        <v>13</v>
      </c>
      <c r="C1795">
        <v>3</v>
      </c>
      <c r="D1795">
        <v>3</v>
      </c>
      <c r="E1795" t="s">
        <v>17</v>
      </c>
      <c r="F1795">
        <v>17.670000000000002</v>
      </c>
      <c r="G1795">
        <v>17.670000000000002</v>
      </c>
      <c r="H1795" t="s">
        <v>17</v>
      </c>
      <c r="I1795" t="str">
        <f>"060873000885"</f>
        <v>060873000885</v>
      </c>
    </row>
    <row r="1796" spans="1:9" x14ac:dyDescent="0.25">
      <c r="A1796" t="s">
        <v>1607</v>
      </c>
      <c r="B1796" t="s">
        <v>13</v>
      </c>
      <c r="C1796">
        <v>90.27</v>
      </c>
      <c r="D1796">
        <v>87.9</v>
      </c>
      <c r="E1796" t="s">
        <v>17</v>
      </c>
      <c r="F1796">
        <v>24.68</v>
      </c>
      <c r="G1796">
        <v>24.94</v>
      </c>
      <c r="H1796" t="s">
        <v>17</v>
      </c>
      <c r="I1796" t="str">
        <f>"063207012254"</f>
        <v>063207012254</v>
      </c>
    </row>
    <row r="1797" spans="1:9" x14ac:dyDescent="0.25">
      <c r="A1797" t="s">
        <v>1608</v>
      </c>
      <c r="B1797" t="s">
        <v>13</v>
      </c>
      <c r="C1797">
        <v>17.55</v>
      </c>
      <c r="D1797">
        <v>18.55</v>
      </c>
      <c r="E1797" t="s">
        <v>17</v>
      </c>
      <c r="F1797">
        <v>22.62</v>
      </c>
      <c r="G1797">
        <v>22.59</v>
      </c>
      <c r="H1797" t="s">
        <v>17</v>
      </c>
      <c r="I1797" t="str">
        <f>"063441011408"</f>
        <v>063441011408</v>
      </c>
    </row>
    <row r="1798" spans="1:9" x14ac:dyDescent="0.25">
      <c r="A1798" t="s">
        <v>1609</v>
      </c>
      <c r="B1798" t="s">
        <v>13</v>
      </c>
      <c r="C1798" t="s">
        <v>17</v>
      </c>
      <c r="D1798" t="s">
        <v>14</v>
      </c>
      <c r="E1798" t="s">
        <v>14</v>
      </c>
      <c r="F1798" t="s">
        <v>17</v>
      </c>
      <c r="G1798" t="s">
        <v>14</v>
      </c>
      <c r="H1798" t="s">
        <v>14</v>
      </c>
      <c r="I1798" t="str">
        <f>"062271013642"</f>
        <v>062271013642</v>
      </c>
    </row>
    <row r="1799" spans="1:9" x14ac:dyDescent="0.25">
      <c r="A1799" t="s">
        <v>1610</v>
      </c>
      <c r="B1799" t="s">
        <v>13</v>
      </c>
      <c r="C1799">
        <v>9</v>
      </c>
      <c r="D1799" t="s">
        <v>14</v>
      </c>
      <c r="E1799" t="s">
        <v>14</v>
      </c>
      <c r="F1799">
        <v>17.559999999999999</v>
      </c>
      <c r="G1799" t="s">
        <v>14</v>
      </c>
      <c r="H1799" t="s">
        <v>14</v>
      </c>
      <c r="I1799" t="str">
        <f>"062271013067"</f>
        <v>062271013067</v>
      </c>
    </row>
    <row r="1800" spans="1:9" x14ac:dyDescent="0.25">
      <c r="A1800" t="s">
        <v>1611</v>
      </c>
      <c r="B1800" t="s">
        <v>13</v>
      </c>
      <c r="C1800">
        <v>3</v>
      </c>
      <c r="D1800" t="s">
        <v>14</v>
      </c>
      <c r="E1800" t="s">
        <v>14</v>
      </c>
      <c r="F1800">
        <v>15.33</v>
      </c>
      <c r="G1800" t="s">
        <v>14</v>
      </c>
      <c r="H1800" t="s">
        <v>14</v>
      </c>
      <c r="I1800" t="str">
        <f>"063432012961"</f>
        <v>063432012961</v>
      </c>
    </row>
    <row r="1801" spans="1:9" x14ac:dyDescent="0.25">
      <c r="A1801" t="s">
        <v>1612</v>
      </c>
      <c r="B1801" t="s">
        <v>13</v>
      </c>
      <c r="C1801">
        <v>16.75</v>
      </c>
      <c r="D1801">
        <v>18</v>
      </c>
      <c r="E1801" t="s">
        <v>17</v>
      </c>
      <c r="F1801">
        <v>25.73</v>
      </c>
      <c r="G1801">
        <v>24.17</v>
      </c>
      <c r="H1801" t="s">
        <v>17</v>
      </c>
      <c r="I1801" t="str">
        <f>"061839008716"</f>
        <v>061839008716</v>
      </c>
    </row>
    <row r="1802" spans="1:9" x14ac:dyDescent="0.25">
      <c r="A1802" t="s">
        <v>1613</v>
      </c>
      <c r="B1802" t="s">
        <v>13</v>
      </c>
      <c r="C1802">
        <v>78.03</v>
      </c>
      <c r="D1802">
        <v>80.52</v>
      </c>
      <c r="E1802" t="s">
        <v>17</v>
      </c>
      <c r="F1802">
        <v>24.48</v>
      </c>
      <c r="G1802">
        <v>21.16</v>
      </c>
      <c r="H1802" t="s">
        <v>17</v>
      </c>
      <c r="I1802" t="str">
        <f>"062271007118"</f>
        <v>062271007118</v>
      </c>
    </row>
    <row r="1803" spans="1:9" x14ac:dyDescent="0.25">
      <c r="A1803" t="s">
        <v>1614</v>
      </c>
      <c r="B1803" t="s">
        <v>13</v>
      </c>
      <c r="C1803">
        <v>20</v>
      </c>
      <c r="D1803">
        <v>20</v>
      </c>
      <c r="E1803" t="s">
        <v>17</v>
      </c>
      <c r="F1803">
        <v>21.75</v>
      </c>
      <c r="G1803">
        <v>23.25</v>
      </c>
      <c r="H1803" t="s">
        <v>17</v>
      </c>
      <c r="I1803" t="str">
        <f>"062271002921"</f>
        <v>062271002921</v>
      </c>
    </row>
    <row r="1804" spans="1:9" x14ac:dyDescent="0.25">
      <c r="A1804" t="s">
        <v>1615</v>
      </c>
      <c r="B1804" t="s">
        <v>13</v>
      </c>
      <c r="C1804">
        <v>4</v>
      </c>
      <c r="D1804">
        <v>4</v>
      </c>
      <c r="E1804" t="s">
        <v>17</v>
      </c>
      <c r="F1804">
        <v>24.75</v>
      </c>
      <c r="G1804">
        <v>26.25</v>
      </c>
      <c r="H1804" t="s">
        <v>17</v>
      </c>
      <c r="I1804" t="str">
        <f>"062805012056"</f>
        <v>062805012056</v>
      </c>
    </row>
    <row r="1805" spans="1:9" x14ac:dyDescent="0.25">
      <c r="A1805" t="s">
        <v>1616</v>
      </c>
      <c r="B1805" t="s">
        <v>13</v>
      </c>
      <c r="C1805" t="s">
        <v>14</v>
      </c>
      <c r="D1805" t="s">
        <v>17</v>
      </c>
      <c r="E1805" t="s">
        <v>17</v>
      </c>
      <c r="F1805" t="s">
        <v>17</v>
      </c>
      <c r="G1805" t="s">
        <v>17</v>
      </c>
      <c r="H1805" t="s">
        <v>17</v>
      </c>
      <c r="I1805" t="str">
        <f>"062805005632"</f>
        <v>062805005632</v>
      </c>
    </row>
    <row r="1806" spans="1:9" x14ac:dyDescent="0.25">
      <c r="A1806" t="s">
        <v>1617</v>
      </c>
      <c r="B1806" t="s">
        <v>13</v>
      </c>
      <c r="C1806" t="s">
        <v>14</v>
      </c>
      <c r="D1806" t="s">
        <v>14</v>
      </c>
      <c r="E1806" t="s">
        <v>17</v>
      </c>
      <c r="F1806" t="s">
        <v>14</v>
      </c>
      <c r="G1806" t="s">
        <v>14</v>
      </c>
      <c r="H1806" t="s">
        <v>17</v>
      </c>
      <c r="I1806" t="str">
        <f>"062805012497"</f>
        <v>062805012497</v>
      </c>
    </row>
    <row r="1807" spans="1:9" x14ac:dyDescent="0.25">
      <c r="A1807" t="s">
        <v>1618</v>
      </c>
      <c r="B1807" t="s">
        <v>13</v>
      </c>
      <c r="C1807">
        <v>65.03</v>
      </c>
      <c r="D1807">
        <v>68.709999999999994</v>
      </c>
      <c r="E1807" t="s">
        <v>17</v>
      </c>
      <c r="F1807">
        <v>18.670000000000002</v>
      </c>
      <c r="G1807">
        <v>17.96</v>
      </c>
      <c r="H1807" t="s">
        <v>17</v>
      </c>
      <c r="I1807" t="str">
        <f>"063432005434"</f>
        <v>063432005434</v>
      </c>
    </row>
    <row r="1808" spans="1:9" x14ac:dyDescent="0.25">
      <c r="A1808" t="s">
        <v>1619</v>
      </c>
      <c r="B1808" t="s">
        <v>13</v>
      </c>
      <c r="C1808">
        <v>16.73</v>
      </c>
      <c r="D1808">
        <v>17.7</v>
      </c>
      <c r="E1808" t="s">
        <v>17</v>
      </c>
      <c r="F1808">
        <v>26.6</v>
      </c>
      <c r="G1808">
        <v>25.2</v>
      </c>
      <c r="H1808" t="s">
        <v>17</v>
      </c>
      <c r="I1808" t="str">
        <f>"062223008152"</f>
        <v>062223008152</v>
      </c>
    </row>
    <row r="1809" spans="1:9" x14ac:dyDescent="0.25">
      <c r="A1809" t="s">
        <v>1620</v>
      </c>
      <c r="B1809" t="s">
        <v>13</v>
      </c>
      <c r="C1809">
        <v>53</v>
      </c>
      <c r="D1809">
        <v>56</v>
      </c>
      <c r="E1809" t="s">
        <v>17</v>
      </c>
      <c r="F1809">
        <v>28.02</v>
      </c>
      <c r="G1809">
        <v>26.07</v>
      </c>
      <c r="H1809" t="s">
        <v>17</v>
      </c>
      <c r="I1809" t="str">
        <f>"060985011246"</f>
        <v>060985011246</v>
      </c>
    </row>
    <row r="1810" spans="1:9" x14ac:dyDescent="0.25">
      <c r="A1810" t="s">
        <v>1621</v>
      </c>
      <c r="B1810" t="s">
        <v>13</v>
      </c>
      <c r="C1810">
        <v>25.25</v>
      </c>
      <c r="D1810">
        <v>25.39</v>
      </c>
      <c r="E1810" t="s">
        <v>17</v>
      </c>
      <c r="F1810">
        <v>22.38</v>
      </c>
      <c r="G1810">
        <v>21.9</v>
      </c>
      <c r="H1810" t="s">
        <v>17</v>
      </c>
      <c r="I1810" t="str">
        <f>"061044001169"</f>
        <v>061044001169</v>
      </c>
    </row>
    <row r="1811" spans="1:9" x14ac:dyDescent="0.25">
      <c r="A1811" t="s">
        <v>1622</v>
      </c>
      <c r="B1811" t="s">
        <v>13</v>
      </c>
      <c r="C1811">
        <v>92.4</v>
      </c>
      <c r="D1811">
        <v>90.9</v>
      </c>
      <c r="E1811" t="s">
        <v>17</v>
      </c>
      <c r="F1811">
        <v>25.9</v>
      </c>
      <c r="G1811">
        <v>26.2</v>
      </c>
      <c r="H1811" t="s">
        <v>17</v>
      </c>
      <c r="I1811" t="str">
        <f>"060876000887"</f>
        <v>060876000887</v>
      </c>
    </row>
    <row r="1812" spans="1:9" x14ac:dyDescent="0.25">
      <c r="A1812" t="s">
        <v>1623</v>
      </c>
      <c r="B1812" t="s">
        <v>13</v>
      </c>
      <c r="C1812">
        <v>30.01</v>
      </c>
      <c r="D1812">
        <v>30.01</v>
      </c>
      <c r="E1812" t="s">
        <v>17</v>
      </c>
      <c r="F1812">
        <v>13.5</v>
      </c>
      <c r="G1812">
        <v>15.16</v>
      </c>
      <c r="H1812" t="s">
        <v>17</v>
      </c>
      <c r="I1812" t="str">
        <f>"062805004250"</f>
        <v>062805004250</v>
      </c>
    </row>
    <row r="1813" spans="1:9" x14ac:dyDescent="0.25">
      <c r="A1813" t="s">
        <v>1624</v>
      </c>
      <c r="B1813" t="s">
        <v>13</v>
      </c>
      <c r="C1813">
        <v>17.329999999999998</v>
      </c>
      <c r="D1813">
        <v>17.850000000000001</v>
      </c>
      <c r="E1813" t="s">
        <v>17</v>
      </c>
      <c r="F1813">
        <v>25.45</v>
      </c>
      <c r="G1813">
        <v>25.94</v>
      </c>
      <c r="H1813" t="s">
        <v>17</v>
      </c>
      <c r="I1813" t="str">
        <f>"060744003373"</f>
        <v>060744003373</v>
      </c>
    </row>
    <row r="1814" spans="1:9" x14ac:dyDescent="0.25">
      <c r="A1814" t="s">
        <v>1625</v>
      </c>
      <c r="B1814" t="s">
        <v>13</v>
      </c>
      <c r="C1814">
        <v>29.47</v>
      </c>
      <c r="D1814">
        <v>30.47</v>
      </c>
      <c r="E1814" t="s">
        <v>17</v>
      </c>
      <c r="F1814">
        <v>21.07</v>
      </c>
      <c r="G1814">
        <v>20.48</v>
      </c>
      <c r="H1814" t="s">
        <v>17</v>
      </c>
      <c r="I1814" t="str">
        <f>"062241002689"</f>
        <v>062241002689</v>
      </c>
    </row>
    <row r="1815" spans="1:9" x14ac:dyDescent="0.25">
      <c r="A1815" t="s">
        <v>1626</v>
      </c>
      <c r="B1815" t="s">
        <v>13</v>
      </c>
      <c r="C1815">
        <v>26.03</v>
      </c>
      <c r="D1815">
        <v>24</v>
      </c>
      <c r="E1815" t="s">
        <v>17</v>
      </c>
      <c r="F1815">
        <v>22.47</v>
      </c>
      <c r="G1815">
        <v>23.88</v>
      </c>
      <c r="H1815" t="s">
        <v>17</v>
      </c>
      <c r="I1815" t="str">
        <f>"063441005666"</f>
        <v>063441005666</v>
      </c>
    </row>
    <row r="1816" spans="1:9" x14ac:dyDescent="0.25">
      <c r="A1816" t="s">
        <v>1627</v>
      </c>
      <c r="B1816" t="s">
        <v>13</v>
      </c>
      <c r="C1816">
        <v>58.76</v>
      </c>
      <c r="D1816">
        <v>60.94</v>
      </c>
      <c r="E1816" t="s">
        <v>17</v>
      </c>
      <c r="F1816">
        <v>25.34</v>
      </c>
      <c r="G1816">
        <v>23.94</v>
      </c>
      <c r="H1816" t="s">
        <v>17</v>
      </c>
      <c r="I1816" t="str">
        <f>"060903000903"</f>
        <v>060903000903</v>
      </c>
    </row>
    <row r="1817" spans="1:9" x14ac:dyDescent="0.25">
      <c r="A1817" t="s">
        <v>1628</v>
      </c>
      <c r="B1817" t="s">
        <v>13</v>
      </c>
      <c r="C1817">
        <v>56.02</v>
      </c>
      <c r="D1817">
        <v>58.72</v>
      </c>
      <c r="E1817" t="s">
        <v>17</v>
      </c>
      <c r="F1817">
        <v>19.46</v>
      </c>
      <c r="G1817">
        <v>19.329999999999998</v>
      </c>
      <c r="H1817" t="s">
        <v>17</v>
      </c>
      <c r="I1817" t="str">
        <f>"063432007316"</f>
        <v>063432007316</v>
      </c>
    </row>
    <row r="1818" spans="1:9" x14ac:dyDescent="0.25">
      <c r="A1818" t="s">
        <v>1629</v>
      </c>
      <c r="B1818" t="s">
        <v>13</v>
      </c>
      <c r="C1818">
        <v>10.53</v>
      </c>
      <c r="D1818">
        <v>12.3</v>
      </c>
      <c r="E1818" t="s">
        <v>17</v>
      </c>
      <c r="F1818">
        <v>22.41</v>
      </c>
      <c r="G1818">
        <v>19.190000000000001</v>
      </c>
      <c r="H1818" t="s">
        <v>17</v>
      </c>
      <c r="I1818" t="str">
        <f>"063311011731"</f>
        <v>063311011731</v>
      </c>
    </row>
    <row r="1819" spans="1:9" x14ac:dyDescent="0.25">
      <c r="A1819" t="s">
        <v>1630</v>
      </c>
      <c r="B1819" t="s">
        <v>13</v>
      </c>
      <c r="C1819">
        <v>16.5</v>
      </c>
      <c r="D1819">
        <v>14.33</v>
      </c>
      <c r="E1819" t="s">
        <v>17</v>
      </c>
      <c r="F1819">
        <v>16.239999999999998</v>
      </c>
      <c r="G1819">
        <v>25.54</v>
      </c>
      <c r="H1819" t="s">
        <v>17</v>
      </c>
      <c r="I1819" t="str">
        <f>"062271011353"</f>
        <v>062271011353</v>
      </c>
    </row>
    <row r="1820" spans="1:9" x14ac:dyDescent="0.25">
      <c r="A1820" t="s">
        <v>1631</v>
      </c>
      <c r="B1820" t="s">
        <v>13</v>
      </c>
      <c r="C1820">
        <v>40.25</v>
      </c>
      <c r="D1820">
        <v>37.979999999999997</v>
      </c>
      <c r="E1820" t="s">
        <v>17</v>
      </c>
      <c r="F1820">
        <v>25.59</v>
      </c>
      <c r="G1820">
        <v>24.72</v>
      </c>
      <c r="H1820" t="s">
        <v>17</v>
      </c>
      <c r="I1820" t="str">
        <f>"061288008300"</f>
        <v>061288008300</v>
      </c>
    </row>
    <row r="1821" spans="1:9" x14ac:dyDescent="0.25">
      <c r="A1821" t="s">
        <v>1632</v>
      </c>
      <c r="B1821" t="s">
        <v>13</v>
      </c>
      <c r="C1821">
        <v>26.35</v>
      </c>
      <c r="D1821">
        <v>23.7</v>
      </c>
      <c r="E1821" t="s">
        <v>17</v>
      </c>
      <c r="F1821">
        <v>22.66</v>
      </c>
      <c r="G1821">
        <v>20</v>
      </c>
      <c r="H1821" t="s">
        <v>17</v>
      </c>
      <c r="I1821" t="str">
        <f>"061291011756"</f>
        <v>061291011756</v>
      </c>
    </row>
    <row r="1822" spans="1:9" x14ac:dyDescent="0.25">
      <c r="A1822" t="s">
        <v>1633</v>
      </c>
      <c r="B1822" t="s">
        <v>13</v>
      </c>
      <c r="C1822">
        <v>25.3</v>
      </c>
      <c r="D1822">
        <v>27.8</v>
      </c>
      <c r="E1822" t="s">
        <v>17</v>
      </c>
      <c r="F1822">
        <v>25.89</v>
      </c>
      <c r="G1822">
        <v>24.5</v>
      </c>
      <c r="H1822" t="s">
        <v>17</v>
      </c>
      <c r="I1822" t="str">
        <f>"062169008875"</f>
        <v>062169008875</v>
      </c>
    </row>
    <row r="1823" spans="1:9" x14ac:dyDescent="0.25">
      <c r="A1823" t="s">
        <v>1634</v>
      </c>
      <c r="B1823" t="s">
        <v>13</v>
      </c>
      <c r="C1823">
        <v>15.55</v>
      </c>
      <c r="D1823">
        <v>18.100000000000001</v>
      </c>
      <c r="E1823" t="s">
        <v>17</v>
      </c>
      <c r="F1823">
        <v>19.04</v>
      </c>
      <c r="G1823">
        <v>16.350000000000001</v>
      </c>
      <c r="H1823" t="s">
        <v>17</v>
      </c>
      <c r="I1823" t="str">
        <f>"063432005435"</f>
        <v>063432005435</v>
      </c>
    </row>
    <row r="1824" spans="1:9" x14ac:dyDescent="0.25">
      <c r="A1824" t="s">
        <v>1634</v>
      </c>
      <c r="B1824" t="s">
        <v>13</v>
      </c>
      <c r="C1824">
        <v>9</v>
      </c>
      <c r="D1824">
        <v>10</v>
      </c>
      <c r="E1824" t="s">
        <v>17</v>
      </c>
      <c r="F1824">
        <v>28.67</v>
      </c>
      <c r="G1824">
        <v>26.3</v>
      </c>
      <c r="H1824" t="s">
        <v>17</v>
      </c>
      <c r="I1824" t="str">
        <f>"060885000897"</f>
        <v>060885000897</v>
      </c>
    </row>
    <row r="1825" spans="1:9" x14ac:dyDescent="0.25">
      <c r="A1825" t="s">
        <v>1635</v>
      </c>
      <c r="B1825" t="s">
        <v>13</v>
      </c>
      <c r="C1825">
        <v>21</v>
      </c>
      <c r="D1825">
        <v>20</v>
      </c>
      <c r="E1825" t="s">
        <v>17</v>
      </c>
      <c r="F1825">
        <v>24.57</v>
      </c>
      <c r="G1825">
        <v>24.9</v>
      </c>
      <c r="H1825" t="s">
        <v>17</v>
      </c>
      <c r="I1825" t="str">
        <f>"063444011033"</f>
        <v>063444011033</v>
      </c>
    </row>
    <row r="1826" spans="1:9" x14ac:dyDescent="0.25">
      <c r="A1826" t="s">
        <v>1636</v>
      </c>
      <c r="B1826" t="s">
        <v>13</v>
      </c>
      <c r="C1826">
        <v>15</v>
      </c>
      <c r="D1826">
        <v>16</v>
      </c>
      <c r="E1826" t="s">
        <v>17</v>
      </c>
      <c r="F1826">
        <v>29.67</v>
      </c>
      <c r="G1826">
        <v>29.06</v>
      </c>
      <c r="H1826" t="s">
        <v>17</v>
      </c>
      <c r="I1826" t="str">
        <f>"063384005232"</f>
        <v>063384005232</v>
      </c>
    </row>
    <row r="1827" spans="1:9" x14ac:dyDescent="0.25">
      <c r="A1827" t="s">
        <v>1637</v>
      </c>
      <c r="B1827" t="s">
        <v>13</v>
      </c>
      <c r="C1827" t="s">
        <v>17</v>
      </c>
      <c r="D1827" t="s">
        <v>14</v>
      </c>
      <c r="E1827" t="s">
        <v>14</v>
      </c>
      <c r="F1827" t="s">
        <v>17</v>
      </c>
      <c r="G1827" t="s">
        <v>14</v>
      </c>
      <c r="H1827" t="s">
        <v>14</v>
      </c>
      <c r="I1827" t="str">
        <f>"069100503940"</f>
        <v>069100503940</v>
      </c>
    </row>
    <row r="1828" spans="1:9" x14ac:dyDescent="0.25">
      <c r="A1828" t="s">
        <v>1638</v>
      </c>
      <c r="B1828" t="s">
        <v>13</v>
      </c>
      <c r="C1828" t="s">
        <v>14</v>
      </c>
      <c r="D1828">
        <v>79.650000000000006</v>
      </c>
      <c r="E1828" t="s">
        <v>17</v>
      </c>
      <c r="F1828" t="s">
        <v>14</v>
      </c>
      <c r="G1828">
        <v>23.54</v>
      </c>
      <c r="H1828" t="s">
        <v>17</v>
      </c>
      <c r="I1828" t="str">
        <f>"062637003940"</f>
        <v>062637003940</v>
      </c>
    </row>
    <row r="1829" spans="1:9" x14ac:dyDescent="0.25">
      <c r="A1829" t="s">
        <v>1639</v>
      </c>
      <c r="B1829" t="s">
        <v>13</v>
      </c>
      <c r="C1829">
        <v>7.4</v>
      </c>
      <c r="D1829">
        <v>7.13</v>
      </c>
      <c r="E1829" t="s">
        <v>17</v>
      </c>
      <c r="F1829">
        <v>22.43</v>
      </c>
      <c r="G1829">
        <v>22.44</v>
      </c>
      <c r="H1829" t="s">
        <v>17</v>
      </c>
      <c r="I1829" t="str">
        <f>"060888000898"</f>
        <v>060888000898</v>
      </c>
    </row>
    <row r="1830" spans="1:9" x14ac:dyDescent="0.25">
      <c r="A1830" t="s">
        <v>1640</v>
      </c>
      <c r="B1830" t="s">
        <v>13</v>
      </c>
      <c r="C1830">
        <v>22.6</v>
      </c>
      <c r="D1830">
        <v>22.6</v>
      </c>
      <c r="E1830" t="s">
        <v>17</v>
      </c>
      <c r="F1830">
        <v>18.98</v>
      </c>
      <c r="G1830">
        <v>22.08</v>
      </c>
      <c r="H1830" t="s">
        <v>17</v>
      </c>
      <c r="I1830" t="str">
        <f>"062067002484"</f>
        <v>062067002484</v>
      </c>
    </row>
    <row r="1831" spans="1:9" x14ac:dyDescent="0.25">
      <c r="A1831" t="s">
        <v>1641</v>
      </c>
      <c r="B1831" t="s">
        <v>13</v>
      </c>
      <c r="C1831">
        <v>26</v>
      </c>
      <c r="D1831">
        <v>26</v>
      </c>
      <c r="E1831" t="s">
        <v>17</v>
      </c>
      <c r="F1831">
        <v>20.149999999999999</v>
      </c>
      <c r="G1831">
        <v>19.88</v>
      </c>
      <c r="H1831" t="s">
        <v>17</v>
      </c>
      <c r="I1831" t="str">
        <f>"060861010307"</f>
        <v>060861010307</v>
      </c>
    </row>
    <row r="1832" spans="1:9" x14ac:dyDescent="0.25">
      <c r="A1832" t="s">
        <v>1642</v>
      </c>
      <c r="B1832" t="s">
        <v>13</v>
      </c>
      <c r="C1832">
        <v>1.1399999999999999</v>
      </c>
      <c r="D1832">
        <v>2.21</v>
      </c>
      <c r="E1832" t="s">
        <v>17</v>
      </c>
      <c r="F1832">
        <v>15.79</v>
      </c>
      <c r="G1832">
        <v>9.9499999999999993</v>
      </c>
      <c r="H1832" t="s">
        <v>17</v>
      </c>
      <c r="I1832" t="str">
        <f>"069101411608"</f>
        <v>069101411608</v>
      </c>
    </row>
    <row r="1833" spans="1:9" x14ac:dyDescent="0.25">
      <c r="A1833" t="s">
        <v>1643</v>
      </c>
      <c r="B1833" t="s">
        <v>13</v>
      </c>
      <c r="C1833">
        <v>39.47</v>
      </c>
      <c r="D1833">
        <v>40.119999999999997</v>
      </c>
      <c r="E1833" t="s">
        <v>17</v>
      </c>
      <c r="F1833">
        <v>25.13</v>
      </c>
      <c r="G1833">
        <v>25</v>
      </c>
      <c r="H1833" t="s">
        <v>17</v>
      </c>
      <c r="I1833" t="str">
        <f>"063207007274"</f>
        <v>063207007274</v>
      </c>
    </row>
    <row r="1834" spans="1:9" x14ac:dyDescent="0.25">
      <c r="A1834" t="s">
        <v>1644</v>
      </c>
      <c r="B1834" t="s">
        <v>13</v>
      </c>
      <c r="C1834" t="s">
        <v>14</v>
      </c>
      <c r="D1834" t="s">
        <v>14</v>
      </c>
      <c r="E1834" t="s">
        <v>17</v>
      </c>
      <c r="F1834" t="s">
        <v>14</v>
      </c>
      <c r="G1834" t="s">
        <v>14</v>
      </c>
      <c r="H1834" t="s">
        <v>17</v>
      </c>
      <c r="I1834" t="str">
        <f>"062223002640"</f>
        <v>062223002640</v>
      </c>
    </row>
    <row r="1835" spans="1:9" x14ac:dyDescent="0.25">
      <c r="A1835" t="s">
        <v>1645</v>
      </c>
      <c r="B1835" t="s">
        <v>13</v>
      </c>
      <c r="C1835">
        <v>14</v>
      </c>
      <c r="D1835">
        <v>15</v>
      </c>
      <c r="E1835" t="s">
        <v>17</v>
      </c>
      <c r="F1835">
        <v>27.29</v>
      </c>
      <c r="G1835">
        <v>26.27</v>
      </c>
      <c r="H1835" t="s">
        <v>17</v>
      </c>
      <c r="I1835" t="str">
        <f>"061209001346"</f>
        <v>061209001346</v>
      </c>
    </row>
    <row r="1836" spans="1:9" x14ac:dyDescent="0.25">
      <c r="A1836" t="s">
        <v>1646</v>
      </c>
      <c r="B1836" t="s">
        <v>13</v>
      </c>
      <c r="C1836">
        <v>21</v>
      </c>
      <c r="D1836">
        <v>23</v>
      </c>
      <c r="E1836" t="s">
        <v>17</v>
      </c>
      <c r="F1836">
        <v>31.71</v>
      </c>
      <c r="G1836">
        <v>29.43</v>
      </c>
      <c r="H1836" t="s">
        <v>17</v>
      </c>
      <c r="I1836" t="str">
        <f>"061336001520"</f>
        <v>061336001520</v>
      </c>
    </row>
    <row r="1837" spans="1:9" x14ac:dyDescent="0.25">
      <c r="A1837" t="s">
        <v>1647</v>
      </c>
      <c r="B1837" t="s">
        <v>13</v>
      </c>
      <c r="C1837">
        <v>23.44</v>
      </c>
      <c r="D1837">
        <v>30.17</v>
      </c>
      <c r="E1837" t="s">
        <v>17</v>
      </c>
      <c r="F1837">
        <v>28.5</v>
      </c>
      <c r="G1837">
        <v>23.77</v>
      </c>
      <c r="H1837" t="s">
        <v>17</v>
      </c>
      <c r="I1837" t="str">
        <f>"063801006400"</f>
        <v>063801006400</v>
      </c>
    </row>
    <row r="1838" spans="1:9" x14ac:dyDescent="0.25">
      <c r="A1838" t="s">
        <v>1647</v>
      </c>
      <c r="B1838" t="s">
        <v>13</v>
      </c>
      <c r="C1838">
        <v>18</v>
      </c>
      <c r="D1838">
        <v>19</v>
      </c>
      <c r="E1838" t="s">
        <v>17</v>
      </c>
      <c r="F1838">
        <v>19.22</v>
      </c>
      <c r="G1838">
        <v>17.79</v>
      </c>
      <c r="H1838" t="s">
        <v>17</v>
      </c>
      <c r="I1838" t="str">
        <f>"063441005597"</f>
        <v>063441005597</v>
      </c>
    </row>
    <row r="1839" spans="1:9" x14ac:dyDescent="0.25">
      <c r="A1839" t="s">
        <v>1647</v>
      </c>
      <c r="B1839" t="s">
        <v>13</v>
      </c>
      <c r="C1839" t="s">
        <v>14</v>
      </c>
      <c r="D1839" t="s">
        <v>14</v>
      </c>
      <c r="E1839" t="s">
        <v>17</v>
      </c>
      <c r="F1839" t="s">
        <v>14</v>
      </c>
      <c r="G1839" t="s">
        <v>14</v>
      </c>
      <c r="H1839" t="s">
        <v>17</v>
      </c>
      <c r="I1839" t="str">
        <f>"063536006016"</f>
        <v>063536006016</v>
      </c>
    </row>
    <row r="1840" spans="1:9" x14ac:dyDescent="0.25">
      <c r="A1840" t="s">
        <v>1647</v>
      </c>
      <c r="B1840" t="s">
        <v>13</v>
      </c>
      <c r="C1840">
        <v>15</v>
      </c>
      <c r="D1840">
        <v>15</v>
      </c>
      <c r="E1840" t="s">
        <v>17</v>
      </c>
      <c r="F1840">
        <v>23.27</v>
      </c>
      <c r="G1840">
        <v>24.33</v>
      </c>
      <c r="H1840" t="s">
        <v>17</v>
      </c>
      <c r="I1840" t="str">
        <f>"062805004251"</f>
        <v>062805004251</v>
      </c>
    </row>
    <row r="1841" spans="1:9" x14ac:dyDescent="0.25">
      <c r="A1841" t="s">
        <v>1647</v>
      </c>
      <c r="B1841" t="s">
        <v>13</v>
      </c>
      <c r="C1841">
        <v>19</v>
      </c>
      <c r="D1841">
        <v>20.5</v>
      </c>
      <c r="E1841" t="s">
        <v>17</v>
      </c>
      <c r="F1841">
        <v>23.37</v>
      </c>
      <c r="G1841">
        <v>23.8</v>
      </c>
      <c r="H1841" t="s">
        <v>17</v>
      </c>
      <c r="I1841" t="str">
        <f>"062250002707"</f>
        <v>062250002707</v>
      </c>
    </row>
    <row r="1842" spans="1:9" x14ac:dyDescent="0.25">
      <c r="A1842" t="s">
        <v>1647</v>
      </c>
      <c r="B1842" t="s">
        <v>13</v>
      </c>
      <c r="C1842">
        <v>10.33</v>
      </c>
      <c r="D1842">
        <v>12</v>
      </c>
      <c r="E1842" t="s">
        <v>17</v>
      </c>
      <c r="F1842">
        <v>24.39</v>
      </c>
      <c r="G1842">
        <v>24.42</v>
      </c>
      <c r="H1842" t="s">
        <v>17</v>
      </c>
      <c r="I1842" t="str">
        <f>"062994004664"</f>
        <v>062994004664</v>
      </c>
    </row>
    <row r="1843" spans="1:9" x14ac:dyDescent="0.25">
      <c r="A1843" t="s">
        <v>1647</v>
      </c>
      <c r="B1843" t="s">
        <v>13</v>
      </c>
      <c r="C1843">
        <v>18</v>
      </c>
      <c r="D1843">
        <v>18</v>
      </c>
      <c r="E1843" t="s">
        <v>14</v>
      </c>
      <c r="F1843">
        <v>23.28</v>
      </c>
      <c r="G1843">
        <v>24.83</v>
      </c>
      <c r="H1843" t="s">
        <v>14</v>
      </c>
      <c r="I1843" t="str">
        <f>"060141406016"</f>
        <v>060141406016</v>
      </c>
    </row>
    <row r="1844" spans="1:9" x14ac:dyDescent="0.25">
      <c r="A1844" t="s">
        <v>1648</v>
      </c>
      <c r="B1844" t="s">
        <v>13</v>
      </c>
      <c r="C1844">
        <v>29</v>
      </c>
      <c r="D1844">
        <v>29</v>
      </c>
      <c r="E1844" t="s">
        <v>17</v>
      </c>
      <c r="F1844">
        <v>19</v>
      </c>
      <c r="G1844">
        <v>19.41</v>
      </c>
      <c r="H1844" t="s">
        <v>17</v>
      </c>
      <c r="I1844" t="str">
        <f>"060360000280"</f>
        <v>060360000280</v>
      </c>
    </row>
    <row r="1845" spans="1:9" x14ac:dyDescent="0.25">
      <c r="A1845" t="s">
        <v>1649</v>
      </c>
      <c r="B1845" t="s">
        <v>13</v>
      </c>
      <c r="C1845">
        <v>33</v>
      </c>
      <c r="D1845">
        <v>33.26</v>
      </c>
      <c r="E1845" t="s">
        <v>17</v>
      </c>
      <c r="F1845">
        <v>22.06</v>
      </c>
      <c r="G1845">
        <v>22.31</v>
      </c>
      <c r="H1845" t="s">
        <v>17</v>
      </c>
      <c r="I1845" t="str">
        <f>"063213004962"</f>
        <v>063213004962</v>
      </c>
    </row>
    <row r="1846" spans="1:9" x14ac:dyDescent="0.25">
      <c r="A1846" t="s">
        <v>1650</v>
      </c>
      <c r="B1846" t="s">
        <v>13</v>
      </c>
      <c r="C1846">
        <v>7</v>
      </c>
      <c r="D1846">
        <v>8</v>
      </c>
      <c r="E1846" t="s">
        <v>17</v>
      </c>
      <c r="F1846">
        <v>20.43</v>
      </c>
      <c r="G1846">
        <v>23</v>
      </c>
      <c r="H1846" t="s">
        <v>17</v>
      </c>
      <c r="I1846" t="str">
        <f>"062271002924"</f>
        <v>062271002924</v>
      </c>
    </row>
    <row r="1847" spans="1:9" x14ac:dyDescent="0.25">
      <c r="A1847" t="s">
        <v>1651</v>
      </c>
      <c r="B1847" t="s">
        <v>13</v>
      </c>
      <c r="C1847">
        <v>30.25</v>
      </c>
      <c r="D1847">
        <v>29.2</v>
      </c>
      <c r="E1847" t="s">
        <v>17</v>
      </c>
      <c r="F1847">
        <v>23.37</v>
      </c>
      <c r="G1847">
        <v>24.49</v>
      </c>
      <c r="H1847" t="s">
        <v>17</v>
      </c>
      <c r="I1847" t="str">
        <f>"062532003777"</f>
        <v>062532003777</v>
      </c>
    </row>
    <row r="1848" spans="1:9" x14ac:dyDescent="0.25">
      <c r="A1848" t="s">
        <v>1652</v>
      </c>
      <c r="B1848" t="s">
        <v>13</v>
      </c>
      <c r="C1848">
        <v>34</v>
      </c>
      <c r="D1848">
        <v>33</v>
      </c>
      <c r="E1848" t="s">
        <v>17</v>
      </c>
      <c r="F1848">
        <v>30.21</v>
      </c>
      <c r="G1848">
        <v>28.67</v>
      </c>
      <c r="H1848" t="s">
        <v>17</v>
      </c>
      <c r="I1848" t="str">
        <f>"060962011323"</f>
        <v>060962011323</v>
      </c>
    </row>
    <row r="1849" spans="1:9" x14ac:dyDescent="0.25">
      <c r="A1849" t="s">
        <v>1653</v>
      </c>
      <c r="B1849" t="s">
        <v>13</v>
      </c>
      <c r="C1849">
        <v>30</v>
      </c>
      <c r="D1849">
        <v>29</v>
      </c>
      <c r="E1849" t="s">
        <v>17</v>
      </c>
      <c r="F1849">
        <v>24.5</v>
      </c>
      <c r="G1849">
        <v>22.86</v>
      </c>
      <c r="H1849" t="s">
        <v>17</v>
      </c>
      <c r="I1849" t="str">
        <f>"061488001833"</f>
        <v>061488001833</v>
      </c>
    </row>
    <row r="1850" spans="1:9" x14ac:dyDescent="0.25">
      <c r="A1850" t="s">
        <v>1654</v>
      </c>
      <c r="B1850" t="s">
        <v>13</v>
      </c>
      <c r="C1850" t="s">
        <v>17</v>
      </c>
      <c r="D1850" t="s">
        <v>17</v>
      </c>
      <c r="E1850" t="s">
        <v>17</v>
      </c>
      <c r="F1850" t="s">
        <v>17</v>
      </c>
      <c r="G1850" t="s">
        <v>17</v>
      </c>
      <c r="H1850" t="s">
        <v>17</v>
      </c>
      <c r="I1850" t="str">
        <f>"061524012596"</f>
        <v>061524012596</v>
      </c>
    </row>
    <row r="1851" spans="1:9" x14ac:dyDescent="0.25">
      <c r="A1851" t="s">
        <v>1655</v>
      </c>
      <c r="B1851" t="s">
        <v>13</v>
      </c>
      <c r="C1851">
        <v>26</v>
      </c>
      <c r="D1851">
        <v>22.5</v>
      </c>
      <c r="E1851" t="s">
        <v>17</v>
      </c>
      <c r="F1851">
        <v>23.27</v>
      </c>
      <c r="G1851">
        <v>25.69</v>
      </c>
      <c r="H1851" t="s">
        <v>17</v>
      </c>
      <c r="I1851" t="str">
        <f>"062271002925"</f>
        <v>062271002925</v>
      </c>
    </row>
    <row r="1852" spans="1:9" x14ac:dyDescent="0.25">
      <c r="A1852" t="s">
        <v>1656</v>
      </c>
      <c r="B1852" t="s">
        <v>13</v>
      </c>
      <c r="C1852">
        <v>8</v>
      </c>
      <c r="D1852">
        <v>8</v>
      </c>
      <c r="E1852" t="s">
        <v>17</v>
      </c>
      <c r="F1852">
        <v>19.38</v>
      </c>
      <c r="G1852">
        <v>19.75</v>
      </c>
      <c r="H1852" t="s">
        <v>17</v>
      </c>
      <c r="I1852" t="str">
        <f>"062610003901"</f>
        <v>062610003901</v>
      </c>
    </row>
    <row r="1853" spans="1:9" x14ac:dyDescent="0.25">
      <c r="A1853" t="s">
        <v>1657</v>
      </c>
      <c r="B1853" t="s">
        <v>13</v>
      </c>
      <c r="C1853" t="str">
        <f>"0.50"</f>
        <v>0.50</v>
      </c>
      <c r="D1853" t="str">
        <f>"0.50"</f>
        <v>0.50</v>
      </c>
      <c r="E1853" t="s">
        <v>17</v>
      </c>
      <c r="F1853">
        <v>34</v>
      </c>
      <c r="G1853">
        <v>44</v>
      </c>
      <c r="H1853" t="s">
        <v>17</v>
      </c>
      <c r="I1853" t="str">
        <f>"064050006695"</f>
        <v>064050006695</v>
      </c>
    </row>
    <row r="1854" spans="1:9" x14ac:dyDescent="0.25">
      <c r="A1854" t="s">
        <v>1658</v>
      </c>
      <c r="B1854" t="s">
        <v>13</v>
      </c>
      <c r="C1854">
        <v>25.01</v>
      </c>
      <c r="D1854">
        <v>28</v>
      </c>
      <c r="E1854" t="s">
        <v>17</v>
      </c>
      <c r="F1854">
        <v>29.51</v>
      </c>
      <c r="G1854">
        <v>28.39</v>
      </c>
      <c r="H1854" t="s">
        <v>17</v>
      </c>
      <c r="I1854" t="str">
        <f>"062580009162"</f>
        <v>062580009162</v>
      </c>
    </row>
    <row r="1855" spans="1:9" x14ac:dyDescent="0.25">
      <c r="A1855" t="s">
        <v>1659</v>
      </c>
      <c r="B1855" t="s">
        <v>13</v>
      </c>
      <c r="C1855">
        <v>19.100000000000001</v>
      </c>
      <c r="D1855">
        <v>19.149999999999999</v>
      </c>
      <c r="E1855" t="s">
        <v>17</v>
      </c>
      <c r="F1855">
        <v>22.83</v>
      </c>
      <c r="G1855">
        <v>22.3</v>
      </c>
      <c r="H1855" t="s">
        <v>17</v>
      </c>
      <c r="I1855" t="str">
        <f>"060897000899"</f>
        <v>060897000899</v>
      </c>
    </row>
    <row r="1856" spans="1:9" x14ac:dyDescent="0.25">
      <c r="A1856" t="s">
        <v>1660</v>
      </c>
      <c r="B1856" t="s">
        <v>13</v>
      </c>
      <c r="C1856">
        <v>25.5</v>
      </c>
      <c r="D1856">
        <v>26.5</v>
      </c>
      <c r="E1856" t="s">
        <v>17</v>
      </c>
      <c r="F1856">
        <v>20.55</v>
      </c>
      <c r="G1856">
        <v>21.43</v>
      </c>
      <c r="H1856" t="s">
        <v>17</v>
      </c>
      <c r="I1856" t="str">
        <f>"060006204233"</f>
        <v>060006204233</v>
      </c>
    </row>
    <row r="1857" spans="1:9" x14ac:dyDescent="0.25">
      <c r="A1857" t="s">
        <v>1661</v>
      </c>
      <c r="B1857" t="s">
        <v>13</v>
      </c>
      <c r="C1857">
        <v>16</v>
      </c>
      <c r="D1857">
        <v>16.5</v>
      </c>
      <c r="E1857" t="s">
        <v>17</v>
      </c>
      <c r="F1857">
        <v>29.38</v>
      </c>
      <c r="G1857">
        <v>27.58</v>
      </c>
      <c r="H1857" t="s">
        <v>17</v>
      </c>
      <c r="I1857" t="str">
        <f>"063898006534"</f>
        <v>063898006534</v>
      </c>
    </row>
    <row r="1858" spans="1:9" x14ac:dyDescent="0.25">
      <c r="A1858" t="s">
        <v>1662</v>
      </c>
      <c r="B1858" t="s">
        <v>13</v>
      </c>
      <c r="C1858">
        <v>1</v>
      </c>
      <c r="D1858">
        <v>1.2</v>
      </c>
      <c r="E1858" t="s">
        <v>17</v>
      </c>
      <c r="F1858">
        <v>6</v>
      </c>
      <c r="G1858">
        <v>10.83</v>
      </c>
      <c r="H1858" t="s">
        <v>17</v>
      </c>
      <c r="I1858" t="str">
        <f>"060903011359"</f>
        <v>060903011359</v>
      </c>
    </row>
    <row r="1859" spans="1:9" x14ac:dyDescent="0.25">
      <c r="A1859" t="s">
        <v>1663</v>
      </c>
      <c r="B1859" t="s">
        <v>13</v>
      </c>
      <c r="C1859">
        <v>7.71</v>
      </c>
      <c r="D1859">
        <v>5.64</v>
      </c>
      <c r="E1859" t="s">
        <v>17</v>
      </c>
      <c r="F1859">
        <v>7.52</v>
      </c>
      <c r="G1859">
        <v>11.7</v>
      </c>
      <c r="H1859" t="s">
        <v>17</v>
      </c>
      <c r="I1859" t="str">
        <f>"060903011586"</f>
        <v>060903011586</v>
      </c>
    </row>
    <row r="1860" spans="1:9" x14ac:dyDescent="0.25">
      <c r="A1860" t="s">
        <v>1664</v>
      </c>
      <c r="B1860" t="s">
        <v>13</v>
      </c>
      <c r="C1860">
        <v>80.900000000000006</v>
      </c>
      <c r="D1860">
        <v>80.73</v>
      </c>
      <c r="E1860" t="s">
        <v>17</v>
      </c>
      <c r="F1860">
        <v>25.8</v>
      </c>
      <c r="G1860">
        <v>27.05</v>
      </c>
      <c r="H1860" t="s">
        <v>17</v>
      </c>
      <c r="I1860" t="str">
        <f>"060903007959"</f>
        <v>060903007959</v>
      </c>
    </row>
    <row r="1861" spans="1:9" x14ac:dyDescent="0.25">
      <c r="A1861" t="s">
        <v>1665</v>
      </c>
      <c r="B1861" t="s">
        <v>13</v>
      </c>
      <c r="C1861">
        <v>23</v>
      </c>
      <c r="D1861">
        <v>24.51</v>
      </c>
      <c r="E1861" t="s">
        <v>17</v>
      </c>
      <c r="F1861">
        <v>26.04</v>
      </c>
      <c r="G1861">
        <v>23.99</v>
      </c>
      <c r="H1861" t="s">
        <v>17</v>
      </c>
      <c r="I1861" t="str">
        <f>"060903007960"</f>
        <v>060903007960</v>
      </c>
    </row>
    <row r="1862" spans="1:9" x14ac:dyDescent="0.25">
      <c r="A1862" t="s">
        <v>1666</v>
      </c>
      <c r="B1862" t="s">
        <v>13</v>
      </c>
      <c r="C1862">
        <v>113.38</v>
      </c>
      <c r="D1862">
        <v>111.79</v>
      </c>
      <c r="E1862" t="s">
        <v>17</v>
      </c>
      <c r="F1862">
        <v>25.15</v>
      </c>
      <c r="G1862">
        <v>24.71</v>
      </c>
      <c r="H1862" t="s">
        <v>17</v>
      </c>
      <c r="I1862" t="str">
        <f>"060903000904"</f>
        <v>060903000904</v>
      </c>
    </row>
    <row r="1863" spans="1:9" x14ac:dyDescent="0.25">
      <c r="A1863" t="s">
        <v>1667</v>
      </c>
      <c r="B1863" t="s">
        <v>13</v>
      </c>
      <c r="C1863">
        <v>78.790000000000006</v>
      </c>
      <c r="D1863">
        <v>52.27</v>
      </c>
      <c r="E1863" t="s">
        <v>17</v>
      </c>
      <c r="F1863">
        <v>26.27</v>
      </c>
      <c r="G1863">
        <v>36.020000000000003</v>
      </c>
      <c r="H1863" t="s">
        <v>17</v>
      </c>
      <c r="I1863" t="str">
        <f>"060903011855"</f>
        <v>060903011855</v>
      </c>
    </row>
    <row r="1864" spans="1:9" x14ac:dyDescent="0.25">
      <c r="A1864" t="s">
        <v>1668</v>
      </c>
      <c r="B1864" t="s">
        <v>13</v>
      </c>
      <c r="C1864">
        <v>9.84</v>
      </c>
      <c r="D1864">
        <v>5.53</v>
      </c>
      <c r="E1864" t="s">
        <v>17</v>
      </c>
      <c r="F1864">
        <v>36.479999999999997</v>
      </c>
      <c r="G1864" t="s">
        <v>17</v>
      </c>
      <c r="H1864" t="s">
        <v>17</v>
      </c>
      <c r="I1864" t="str">
        <f>"060903012267"</f>
        <v>060903012267</v>
      </c>
    </row>
    <row r="1865" spans="1:9" x14ac:dyDescent="0.25">
      <c r="A1865" t="s">
        <v>1669</v>
      </c>
      <c r="B1865" t="s">
        <v>13</v>
      </c>
      <c r="C1865">
        <v>91.1</v>
      </c>
      <c r="D1865">
        <v>94</v>
      </c>
      <c r="E1865" t="s">
        <v>17</v>
      </c>
      <c r="F1865">
        <v>23.96</v>
      </c>
      <c r="G1865">
        <v>23.93</v>
      </c>
      <c r="H1865" t="s">
        <v>17</v>
      </c>
      <c r="I1865" t="str">
        <f>"060903000906"</f>
        <v>060903000906</v>
      </c>
    </row>
    <row r="1866" spans="1:9" x14ac:dyDescent="0.25">
      <c r="A1866" t="s">
        <v>1670</v>
      </c>
      <c r="B1866" t="s">
        <v>13</v>
      </c>
      <c r="C1866">
        <v>20.49</v>
      </c>
      <c r="D1866">
        <v>23.92</v>
      </c>
      <c r="E1866" t="s">
        <v>17</v>
      </c>
      <c r="F1866">
        <v>18.350000000000001</v>
      </c>
      <c r="G1866">
        <v>17.809999999999999</v>
      </c>
      <c r="H1866" t="s">
        <v>17</v>
      </c>
      <c r="I1866" t="str">
        <f>"060231000100"</f>
        <v>060231000100</v>
      </c>
    </row>
    <row r="1867" spans="1:9" x14ac:dyDescent="0.25">
      <c r="A1867" t="s">
        <v>1671</v>
      </c>
      <c r="B1867" t="s">
        <v>13</v>
      </c>
      <c r="C1867">
        <v>33.93</v>
      </c>
      <c r="D1867">
        <v>32.5</v>
      </c>
      <c r="E1867" t="s">
        <v>17</v>
      </c>
      <c r="F1867">
        <v>17.36</v>
      </c>
      <c r="G1867">
        <v>19.510000000000002</v>
      </c>
      <c r="H1867" t="s">
        <v>17</v>
      </c>
      <c r="I1867" t="str">
        <f>"060231000104"</f>
        <v>060231000104</v>
      </c>
    </row>
    <row r="1868" spans="1:9" x14ac:dyDescent="0.25">
      <c r="A1868" t="s">
        <v>1672</v>
      </c>
      <c r="B1868" t="s">
        <v>13</v>
      </c>
      <c r="C1868">
        <v>17.93</v>
      </c>
      <c r="D1868">
        <v>14.87</v>
      </c>
      <c r="E1868" t="s">
        <v>17</v>
      </c>
      <c r="F1868">
        <v>17.23</v>
      </c>
      <c r="G1868">
        <v>19.3</v>
      </c>
      <c r="H1868" t="s">
        <v>17</v>
      </c>
      <c r="I1868" t="str">
        <f>"062223011322"</f>
        <v>062223011322</v>
      </c>
    </row>
    <row r="1869" spans="1:9" x14ac:dyDescent="0.25">
      <c r="A1869" t="s">
        <v>1673</v>
      </c>
      <c r="B1869" t="s">
        <v>13</v>
      </c>
      <c r="C1869">
        <v>127.8</v>
      </c>
      <c r="D1869">
        <v>129.1</v>
      </c>
      <c r="E1869" t="s">
        <v>17</v>
      </c>
      <c r="F1869">
        <v>20.41</v>
      </c>
      <c r="G1869">
        <v>20.71</v>
      </c>
      <c r="H1869" t="s">
        <v>17</v>
      </c>
      <c r="I1869" t="str">
        <f>"060907000920"</f>
        <v>060907000920</v>
      </c>
    </row>
    <row r="1870" spans="1:9" x14ac:dyDescent="0.25">
      <c r="A1870" t="s">
        <v>1674</v>
      </c>
      <c r="B1870" t="s">
        <v>13</v>
      </c>
      <c r="C1870" t="s">
        <v>17</v>
      </c>
      <c r="D1870" t="s">
        <v>17</v>
      </c>
      <c r="E1870" t="s">
        <v>17</v>
      </c>
      <c r="F1870" t="s">
        <v>17</v>
      </c>
      <c r="G1870" t="s">
        <v>17</v>
      </c>
      <c r="H1870" t="s">
        <v>17</v>
      </c>
      <c r="I1870" t="str">
        <f>"060907012593"</f>
        <v>060907012593</v>
      </c>
    </row>
    <row r="1871" spans="1:9" x14ac:dyDescent="0.25">
      <c r="A1871" t="s">
        <v>1675</v>
      </c>
      <c r="B1871" t="s">
        <v>13</v>
      </c>
      <c r="C1871">
        <v>47.42</v>
      </c>
      <c r="D1871">
        <v>45.42</v>
      </c>
      <c r="E1871" t="s">
        <v>17</v>
      </c>
      <c r="F1871">
        <v>23.3</v>
      </c>
      <c r="G1871">
        <v>24.33</v>
      </c>
      <c r="H1871" t="s">
        <v>17</v>
      </c>
      <c r="I1871" t="str">
        <f>"060912000933"</f>
        <v>060912000933</v>
      </c>
    </row>
    <row r="1872" spans="1:9" x14ac:dyDescent="0.25">
      <c r="A1872" t="s">
        <v>1676</v>
      </c>
      <c r="B1872" t="s">
        <v>13</v>
      </c>
      <c r="C1872">
        <v>24.1</v>
      </c>
      <c r="D1872">
        <v>28</v>
      </c>
      <c r="E1872" t="s">
        <v>17</v>
      </c>
      <c r="F1872">
        <v>25.6</v>
      </c>
      <c r="G1872">
        <v>22.89</v>
      </c>
      <c r="H1872" t="s">
        <v>17</v>
      </c>
      <c r="I1872" t="str">
        <f>"060912007686"</f>
        <v>060912007686</v>
      </c>
    </row>
    <row r="1873" spans="1:9" x14ac:dyDescent="0.25">
      <c r="A1873" t="s">
        <v>1677</v>
      </c>
      <c r="B1873" t="s">
        <v>13</v>
      </c>
      <c r="C1873">
        <v>20.16</v>
      </c>
      <c r="D1873">
        <v>20.58</v>
      </c>
      <c r="E1873" t="s">
        <v>17</v>
      </c>
      <c r="F1873">
        <v>23.07</v>
      </c>
      <c r="G1873">
        <v>22.35</v>
      </c>
      <c r="H1873" t="s">
        <v>17</v>
      </c>
      <c r="I1873" t="str">
        <f>"060016000936"</f>
        <v>060016000936</v>
      </c>
    </row>
    <row r="1874" spans="1:9" x14ac:dyDescent="0.25">
      <c r="A1874" t="s">
        <v>1678</v>
      </c>
      <c r="B1874" t="s">
        <v>13</v>
      </c>
      <c r="C1874">
        <v>6</v>
      </c>
      <c r="D1874">
        <v>7</v>
      </c>
      <c r="E1874" t="s">
        <v>17</v>
      </c>
      <c r="F1874">
        <v>18</v>
      </c>
      <c r="G1874">
        <v>16.29</v>
      </c>
      <c r="H1874" t="s">
        <v>17</v>
      </c>
      <c r="I1874" t="str">
        <f>"061806008856"</f>
        <v>061806008856</v>
      </c>
    </row>
    <row r="1875" spans="1:9" x14ac:dyDescent="0.25">
      <c r="A1875" t="s">
        <v>1679</v>
      </c>
      <c r="B1875" t="s">
        <v>13</v>
      </c>
      <c r="C1875">
        <v>14.95</v>
      </c>
      <c r="D1875">
        <v>16.510000000000002</v>
      </c>
      <c r="E1875" t="s">
        <v>17</v>
      </c>
      <c r="F1875">
        <v>16.12</v>
      </c>
      <c r="G1875">
        <v>13.33</v>
      </c>
      <c r="H1875" t="s">
        <v>17</v>
      </c>
      <c r="I1875" t="str">
        <f>"060004907414"</f>
        <v>060004907414</v>
      </c>
    </row>
    <row r="1876" spans="1:9" x14ac:dyDescent="0.25">
      <c r="A1876" t="s">
        <v>1680</v>
      </c>
      <c r="B1876" t="s">
        <v>13</v>
      </c>
      <c r="C1876">
        <v>33.869999999999997</v>
      </c>
      <c r="D1876">
        <v>33.03</v>
      </c>
      <c r="E1876" t="s">
        <v>17</v>
      </c>
      <c r="F1876">
        <v>27.22</v>
      </c>
      <c r="G1876">
        <v>24.28</v>
      </c>
      <c r="H1876" t="s">
        <v>17</v>
      </c>
      <c r="I1876" t="str">
        <f>"062825011265"</f>
        <v>062825011265</v>
      </c>
    </row>
    <row r="1877" spans="1:9" x14ac:dyDescent="0.25">
      <c r="A1877" t="s">
        <v>1681</v>
      </c>
      <c r="B1877" t="s">
        <v>13</v>
      </c>
      <c r="C1877" t="s">
        <v>14</v>
      </c>
      <c r="D1877" t="s">
        <v>17</v>
      </c>
      <c r="E1877" t="s">
        <v>17</v>
      </c>
      <c r="F1877" t="s">
        <v>17</v>
      </c>
      <c r="G1877" t="s">
        <v>17</v>
      </c>
      <c r="H1877" t="s">
        <v>17</v>
      </c>
      <c r="I1877" t="str">
        <f>"061407012609"</f>
        <v>061407012609</v>
      </c>
    </row>
    <row r="1878" spans="1:9" x14ac:dyDescent="0.25">
      <c r="A1878" t="s">
        <v>1682</v>
      </c>
      <c r="B1878" t="s">
        <v>13</v>
      </c>
      <c r="C1878">
        <v>12.71</v>
      </c>
      <c r="D1878">
        <v>15.8</v>
      </c>
      <c r="E1878" t="s">
        <v>17</v>
      </c>
      <c r="F1878">
        <v>17.55</v>
      </c>
      <c r="G1878">
        <v>13.29</v>
      </c>
      <c r="H1878" t="s">
        <v>17</v>
      </c>
      <c r="I1878" t="str">
        <f>"060300010500"</f>
        <v>060300010500</v>
      </c>
    </row>
    <row r="1879" spans="1:9" x14ac:dyDescent="0.25">
      <c r="A1879" t="s">
        <v>1683</v>
      </c>
      <c r="B1879" t="s">
        <v>13</v>
      </c>
      <c r="C1879" t="s">
        <v>17</v>
      </c>
      <c r="D1879" t="s">
        <v>17</v>
      </c>
      <c r="E1879" t="s">
        <v>17</v>
      </c>
      <c r="F1879" t="s">
        <v>17</v>
      </c>
      <c r="G1879" t="s">
        <v>17</v>
      </c>
      <c r="H1879" t="s">
        <v>17</v>
      </c>
      <c r="I1879" t="str">
        <f>"060012310998"</f>
        <v>060012310998</v>
      </c>
    </row>
    <row r="1880" spans="1:9" x14ac:dyDescent="0.25">
      <c r="A1880" t="s">
        <v>1684</v>
      </c>
      <c r="B1880" t="s">
        <v>13</v>
      </c>
      <c r="C1880">
        <v>23.71</v>
      </c>
      <c r="D1880">
        <v>25.83</v>
      </c>
      <c r="E1880" t="s">
        <v>17</v>
      </c>
      <c r="F1880">
        <v>23.91</v>
      </c>
      <c r="G1880">
        <v>23.54</v>
      </c>
      <c r="H1880" t="s">
        <v>17</v>
      </c>
      <c r="I1880" t="str">
        <f>"063697207281"</f>
        <v>063697207281</v>
      </c>
    </row>
    <row r="1881" spans="1:9" x14ac:dyDescent="0.25">
      <c r="A1881" t="s">
        <v>1685</v>
      </c>
      <c r="B1881" t="s">
        <v>13</v>
      </c>
      <c r="C1881">
        <v>14.37</v>
      </c>
      <c r="D1881">
        <v>11</v>
      </c>
      <c r="E1881" t="s">
        <v>17</v>
      </c>
      <c r="F1881">
        <v>13.99</v>
      </c>
      <c r="G1881">
        <v>17.82</v>
      </c>
      <c r="H1881" t="s">
        <v>17</v>
      </c>
      <c r="I1881" t="str">
        <f>"063441005681"</f>
        <v>063441005681</v>
      </c>
    </row>
    <row r="1882" spans="1:9" x14ac:dyDescent="0.25">
      <c r="A1882" t="s">
        <v>1686</v>
      </c>
      <c r="B1882" t="s">
        <v>13</v>
      </c>
      <c r="C1882">
        <v>7</v>
      </c>
      <c r="D1882">
        <v>8</v>
      </c>
      <c r="E1882" t="s">
        <v>17</v>
      </c>
      <c r="F1882">
        <v>23.43</v>
      </c>
      <c r="G1882">
        <v>22.75</v>
      </c>
      <c r="H1882" t="s">
        <v>17</v>
      </c>
      <c r="I1882" t="str">
        <f>"062475008901"</f>
        <v>062475008901</v>
      </c>
    </row>
    <row r="1883" spans="1:9" x14ac:dyDescent="0.25">
      <c r="A1883" t="s">
        <v>1687</v>
      </c>
      <c r="B1883" t="s">
        <v>13</v>
      </c>
      <c r="C1883">
        <v>15</v>
      </c>
      <c r="D1883">
        <v>14.5</v>
      </c>
      <c r="E1883" t="s">
        <v>17</v>
      </c>
      <c r="F1883">
        <v>19.53</v>
      </c>
      <c r="G1883">
        <v>19.66</v>
      </c>
      <c r="H1883" t="s">
        <v>17</v>
      </c>
      <c r="I1883" t="str">
        <f>"063118012166"</f>
        <v>063118012166</v>
      </c>
    </row>
    <row r="1884" spans="1:9" x14ac:dyDescent="0.25">
      <c r="A1884" t="s">
        <v>1687</v>
      </c>
      <c r="B1884" t="s">
        <v>13</v>
      </c>
      <c r="C1884">
        <v>15.04</v>
      </c>
      <c r="D1884">
        <v>16.04</v>
      </c>
      <c r="E1884" t="s">
        <v>17</v>
      </c>
      <c r="F1884">
        <v>27.39</v>
      </c>
      <c r="G1884">
        <v>25</v>
      </c>
      <c r="H1884" t="s">
        <v>17</v>
      </c>
      <c r="I1884" t="str">
        <f>"060001310270"</f>
        <v>060001310270</v>
      </c>
    </row>
    <row r="1885" spans="1:9" x14ac:dyDescent="0.25">
      <c r="A1885" t="s">
        <v>1688</v>
      </c>
      <c r="B1885" t="s">
        <v>13</v>
      </c>
      <c r="C1885">
        <v>20.5</v>
      </c>
      <c r="D1885">
        <v>19.010000000000002</v>
      </c>
      <c r="E1885" t="s">
        <v>17</v>
      </c>
      <c r="F1885">
        <v>24.29</v>
      </c>
      <c r="G1885">
        <v>25.72</v>
      </c>
      <c r="H1885" t="s">
        <v>17</v>
      </c>
      <c r="I1885" t="str">
        <f>"062271002926"</f>
        <v>062271002926</v>
      </c>
    </row>
    <row r="1886" spans="1:9" x14ac:dyDescent="0.25">
      <c r="A1886" t="s">
        <v>1689</v>
      </c>
      <c r="B1886" t="s">
        <v>13</v>
      </c>
      <c r="C1886">
        <v>2</v>
      </c>
      <c r="D1886">
        <v>2</v>
      </c>
      <c r="E1886" t="s">
        <v>17</v>
      </c>
      <c r="F1886">
        <v>7</v>
      </c>
      <c r="G1886">
        <v>5</v>
      </c>
      <c r="H1886" t="s">
        <v>17</v>
      </c>
      <c r="I1886" t="str">
        <f>"060924000938"</f>
        <v>060924000938</v>
      </c>
    </row>
    <row r="1887" spans="1:9" x14ac:dyDescent="0.25">
      <c r="A1887" t="s">
        <v>1690</v>
      </c>
      <c r="B1887" t="s">
        <v>13</v>
      </c>
      <c r="C1887">
        <v>18</v>
      </c>
      <c r="D1887">
        <v>19.5</v>
      </c>
      <c r="E1887" t="s">
        <v>17</v>
      </c>
      <c r="F1887">
        <v>28.83</v>
      </c>
      <c r="G1887">
        <v>28.05</v>
      </c>
      <c r="H1887" t="s">
        <v>17</v>
      </c>
      <c r="I1887" t="str">
        <f>"062619003913"</f>
        <v>062619003913</v>
      </c>
    </row>
    <row r="1888" spans="1:9" x14ac:dyDescent="0.25">
      <c r="A1888" t="s">
        <v>1691</v>
      </c>
      <c r="B1888" t="s">
        <v>13</v>
      </c>
      <c r="C1888">
        <v>26</v>
      </c>
      <c r="D1888">
        <v>26</v>
      </c>
      <c r="E1888" t="s">
        <v>17</v>
      </c>
      <c r="F1888">
        <v>22.58</v>
      </c>
      <c r="G1888">
        <v>23.35</v>
      </c>
      <c r="H1888" t="s">
        <v>17</v>
      </c>
      <c r="I1888" t="str">
        <f>"062271002927"</f>
        <v>062271002927</v>
      </c>
    </row>
    <row r="1889" spans="1:9" x14ac:dyDescent="0.25">
      <c r="A1889" t="s">
        <v>1692</v>
      </c>
      <c r="B1889" t="s">
        <v>13</v>
      </c>
      <c r="C1889">
        <v>28.43</v>
      </c>
      <c r="D1889">
        <v>28.22</v>
      </c>
      <c r="E1889" t="s">
        <v>17</v>
      </c>
      <c r="F1889">
        <v>25.89</v>
      </c>
      <c r="G1889">
        <v>25.94</v>
      </c>
      <c r="H1889" t="s">
        <v>17</v>
      </c>
      <c r="I1889" t="str">
        <f>"063066004772"</f>
        <v>063066004772</v>
      </c>
    </row>
    <row r="1890" spans="1:9" x14ac:dyDescent="0.25">
      <c r="A1890" t="s">
        <v>1693</v>
      </c>
      <c r="B1890" t="s">
        <v>13</v>
      </c>
      <c r="C1890">
        <v>14.4</v>
      </c>
      <c r="D1890">
        <v>12.7</v>
      </c>
      <c r="E1890" t="s">
        <v>17</v>
      </c>
      <c r="F1890">
        <v>12.15</v>
      </c>
      <c r="G1890">
        <v>11.97</v>
      </c>
      <c r="H1890" t="s">
        <v>17</v>
      </c>
      <c r="I1890" t="str">
        <f>"060927000939"</f>
        <v>060927000939</v>
      </c>
    </row>
    <row r="1891" spans="1:9" x14ac:dyDescent="0.25">
      <c r="A1891" t="s">
        <v>1694</v>
      </c>
      <c r="B1891" t="s">
        <v>13</v>
      </c>
      <c r="C1891">
        <v>1.98</v>
      </c>
      <c r="D1891">
        <v>1.64</v>
      </c>
      <c r="E1891" t="s">
        <v>17</v>
      </c>
      <c r="F1891" t="str">
        <f>"0.51"</f>
        <v>0.51</v>
      </c>
      <c r="G1891" t="str">
        <f>"0.61"</f>
        <v>0.61</v>
      </c>
      <c r="H1891" t="s">
        <v>17</v>
      </c>
      <c r="I1891" t="str">
        <f>"063828010338"</f>
        <v>063828010338</v>
      </c>
    </row>
    <row r="1892" spans="1:9" x14ac:dyDescent="0.25">
      <c r="A1892" t="s">
        <v>1695</v>
      </c>
      <c r="B1892" t="s">
        <v>13</v>
      </c>
      <c r="C1892">
        <v>3</v>
      </c>
      <c r="D1892">
        <v>2.5</v>
      </c>
      <c r="E1892" t="s">
        <v>17</v>
      </c>
      <c r="F1892">
        <v>10</v>
      </c>
      <c r="G1892">
        <v>10.4</v>
      </c>
      <c r="H1892" t="s">
        <v>17</v>
      </c>
      <c r="I1892" t="str">
        <f>"063877006175"</f>
        <v>063877006175</v>
      </c>
    </row>
    <row r="1893" spans="1:9" x14ac:dyDescent="0.25">
      <c r="A1893" t="s">
        <v>1696</v>
      </c>
      <c r="B1893" t="s">
        <v>13</v>
      </c>
      <c r="C1893">
        <v>30</v>
      </c>
      <c r="D1893">
        <v>31</v>
      </c>
      <c r="E1893" t="s">
        <v>17</v>
      </c>
      <c r="F1893">
        <v>24.77</v>
      </c>
      <c r="G1893">
        <v>23.58</v>
      </c>
      <c r="H1893" t="s">
        <v>17</v>
      </c>
      <c r="I1893" t="str">
        <f>"062271002928"</f>
        <v>062271002928</v>
      </c>
    </row>
    <row r="1894" spans="1:9" x14ac:dyDescent="0.25">
      <c r="A1894" t="s">
        <v>1697</v>
      </c>
      <c r="B1894" t="s">
        <v>13</v>
      </c>
      <c r="C1894">
        <v>37</v>
      </c>
      <c r="D1894">
        <v>44</v>
      </c>
      <c r="E1894" t="s">
        <v>17</v>
      </c>
      <c r="F1894">
        <v>31.16</v>
      </c>
      <c r="G1894">
        <v>25.64</v>
      </c>
      <c r="H1894" t="s">
        <v>17</v>
      </c>
      <c r="I1894" t="str">
        <f>"060002908565"</f>
        <v>060002908565</v>
      </c>
    </row>
    <row r="1895" spans="1:9" x14ac:dyDescent="0.25">
      <c r="A1895" t="s">
        <v>1698</v>
      </c>
      <c r="B1895" t="s">
        <v>13</v>
      </c>
      <c r="C1895">
        <v>27</v>
      </c>
      <c r="D1895">
        <v>29</v>
      </c>
      <c r="E1895" t="s">
        <v>17</v>
      </c>
      <c r="F1895">
        <v>28.59</v>
      </c>
      <c r="G1895">
        <v>26.14</v>
      </c>
      <c r="H1895" t="s">
        <v>17</v>
      </c>
      <c r="I1895" t="str">
        <f>"060903000907"</f>
        <v>060903000907</v>
      </c>
    </row>
    <row r="1896" spans="1:9" x14ac:dyDescent="0.25">
      <c r="A1896" t="s">
        <v>1698</v>
      </c>
      <c r="B1896" t="s">
        <v>13</v>
      </c>
      <c r="C1896">
        <v>15</v>
      </c>
      <c r="D1896">
        <v>14</v>
      </c>
      <c r="E1896" t="s">
        <v>17</v>
      </c>
      <c r="F1896">
        <v>28.33</v>
      </c>
      <c r="G1896">
        <v>29.29</v>
      </c>
      <c r="H1896" t="s">
        <v>17</v>
      </c>
      <c r="I1896" t="str">
        <f>"063417005353"</f>
        <v>063417005353</v>
      </c>
    </row>
    <row r="1897" spans="1:9" x14ac:dyDescent="0.25">
      <c r="A1897" t="s">
        <v>1699</v>
      </c>
      <c r="B1897" t="s">
        <v>13</v>
      </c>
      <c r="C1897" t="s">
        <v>14</v>
      </c>
      <c r="D1897">
        <v>9.5</v>
      </c>
      <c r="E1897" t="s">
        <v>17</v>
      </c>
      <c r="F1897" t="s">
        <v>17</v>
      </c>
      <c r="G1897">
        <v>9.16</v>
      </c>
      <c r="H1897" t="s">
        <v>17</v>
      </c>
      <c r="I1897" t="str">
        <f>"062250012381"</f>
        <v>062250012381</v>
      </c>
    </row>
    <row r="1898" spans="1:9" x14ac:dyDescent="0.25">
      <c r="A1898" t="s">
        <v>1700</v>
      </c>
      <c r="B1898" t="s">
        <v>13</v>
      </c>
      <c r="C1898">
        <v>16.5</v>
      </c>
      <c r="D1898">
        <v>16</v>
      </c>
      <c r="E1898" t="s">
        <v>17</v>
      </c>
      <c r="F1898">
        <v>23.88</v>
      </c>
      <c r="G1898">
        <v>23.94</v>
      </c>
      <c r="H1898" t="s">
        <v>17</v>
      </c>
      <c r="I1898" t="str">
        <f>"063509005933"</f>
        <v>063509005933</v>
      </c>
    </row>
    <row r="1899" spans="1:9" x14ac:dyDescent="0.25">
      <c r="A1899" t="s">
        <v>1701</v>
      </c>
      <c r="B1899" t="s">
        <v>13</v>
      </c>
      <c r="C1899">
        <v>17</v>
      </c>
      <c r="D1899">
        <v>14</v>
      </c>
      <c r="E1899" t="s">
        <v>17</v>
      </c>
      <c r="F1899">
        <v>26.12</v>
      </c>
      <c r="G1899">
        <v>29</v>
      </c>
      <c r="H1899" t="s">
        <v>17</v>
      </c>
      <c r="I1899" t="str">
        <f>"063867006497"</f>
        <v>063867006497</v>
      </c>
    </row>
    <row r="1900" spans="1:9" x14ac:dyDescent="0.25">
      <c r="A1900" t="s">
        <v>1702</v>
      </c>
      <c r="B1900" t="s">
        <v>13</v>
      </c>
      <c r="C1900">
        <v>9.1</v>
      </c>
      <c r="D1900">
        <v>7.5</v>
      </c>
      <c r="E1900" t="s">
        <v>17</v>
      </c>
      <c r="F1900">
        <v>14.84</v>
      </c>
      <c r="G1900">
        <v>11.2</v>
      </c>
      <c r="H1900" t="s">
        <v>17</v>
      </c>
      <c r="I1900" t="str">
        <f>"063432012640"</f>
        <v>063432012640</v>
      </c>
    </row>
    <row r="1901" spans="1:9" x14ac:dyDescent="0.25">
      <c r="A1901" t="s">
        <v>1703</v>
      </c>
      <c r="B1901" t="s">
        <v>13</v>
      </c>
      <c r="C1901">
        <v>5.53</v>
      </c>
      <c r="D1901">
        <v>5.26</v>
      </c>
      <c r="E1901" t="s">
        <v>17</v>
      </c>
      <c r="F1901">
        <v>11.93</v>
      </c>
      <c r="G1901">
        <v>13.5</v>
      </c>
      <c r="H1901" t="s">
        <v>17</v>
      </c>
      <c r="I1901" t="str">
        <f>"061187001325"</f>
        <v>061187001325</v>
      </c>
    </row>
    <row r="1902" spans="1:9" x14ac:dyDescent="0.25">
      <c r="A1902" t="s">
        <v>1704</v>
      </c>
      <c r="B1902" t="s">
        <v>13</v>
      </c>
      <c r="C1902">
        <v>26</v>
      </c>
      <c r="D1902">
        <v>24.75</v>
      </c>
      <c r="E1902" t="s">
        <v>17</v>
      </c>
      <c r="F1902">
        <v>25.23</v>
      </c>
      <c r="G1902">
        <v>25.74</v>
      </c>
      <c r="H1902" t="s">
        <v>17</v>
      </c>
      <c r="I1902" t="str">
        <f>"062271002929"</f>
        <v>062271002929</v>
      </c>
    </row>
    <row r="1903" spans="1:9" x14ac:dyDescent="0.25">
      <c r="A1903" t="s">
        <v>1705</v>
      </c>
      <c r="B1903" t="s">
        <v>13</v>
      </c>
      <c r="C1903">
        <v>17</v>
      </c>
      <c r="D1903">
        <v>17.5</v>
      </c>
      <c r="E1903" t="s">
        <v>17</v>
      </c>
      <c r="F1903">
        <v>21.29</v>
      </c>
      <c r="G1903">
        <v>20.23</v>
      </c>
      <c r="H1903" t="s">
        <v>17</v>
      </c>
      <c r="I1903" t="str">
        <f>"060930000940"</f>
        <v>060930000940</v>
      </c>
    </row>
    <row r="1904" spans="1:9" x14ac:dyDescent="0.25">
      <c r="A1904" t="s">
        <v>1706</v>
      </c>
      <c r="B1904" t="s">
        <v>13</v>
      </c>
      <c r="C1904">
        <v>28.56</v>
      </c>
      <c r="D1904">
        <v>31.54</v>
      </c>
      <c r="E1904" t="s">
        <v>17</v>
      </c>
      <c r="F1904">
        <v>25.39</v>
      </c>
      <c r="G1904">
        <v>24.89</v>
      </c>
      <c r="H1904" t="s">
        <v>17</v>
      </c>
      <c r="I1904" t="str">
        <f>"063075004781"</f>
        <v>063075004781</v>
      </c>
    </row>
    <row r="1905" spans="1:9" x14ac:dyDescent="0.25">
      <c r="A1905" t="s">
        <v>1707</v>
      </c>
      <c r="B1905" t="s">
        <v>13</v>
      </c>
      <c r="C1905">
        <v>44.5</v>
      </c>
      <c r="D1905">
        <v>45.5</v>
      </c>
      <c r="E1905" t="s">
        <v>17</v>
      </c>
      <c r="F1905">
        <v>24.07</v>
      </c>
      <c r="G1905">
        <v>23.25</v>
      </c>
      <c r="H1905" t="s">
        <v>17</v>
      </c>
      <c r="I1905" t="str">
        <f>"060964001007"</f>
        <v>060964001007</v>
      </c>
    </row>
    <row r="1906" spans="1:9" x14ac:dyDescent="0.25">
      <c r="A1906" t="s">
        <v>1708</v>
      </c>
      <c r="B1906" t="s">
        <v>13</v>
      </c>
      <c r="C1906">
        <v>22.8</v>
      </c>
      <c r="D1906">
        <v>20.62</v>
      </c>
      <c r="E1906" t="s">
        <v>17</v>
      </c>
      <c r="F1906">
        <v>19.78</v>
      </c>
      <c r="G1906">
        <v>21.58</v>
      </c>
      <c r="H1906" t="s">
        <v>17</v>
      </c>
      <c r="I1906" t="str">
        <f>"062805011920"</f>
        <v>062805011920</v>
      </c>
    </row>
    <row r="1907" spans="1:9" x14ac:dyDescent="0.25">
      <c r="A1907" t="s">
        <v>1709</v>
      </c>
      <c r="B1907" t="s">
        <v>13</v>
      </c>
      <c r="C1907">
        <v>13</v>
      </c>
      <c r="D1907">
        <v>14</v>
      </c>
      <c r="E1907" t="s">
        <v>17</v>
      </c>
      <c r="F1907">
        <v>20.46</v>
      </c>
      <c r="G1907">
        <v>20.43</v>
      </c>
      <c r="H1907" t="s">
        <v>17</v>
      </c>
      <c r="I1907" t="str">
        <f>"062271002930"</f>
        <v>062271002930</v>
      </c>
    </row>
    <row r="1908" spans="1:9" x14ac:dyDescent="0.25">
      <c r="A1908" t="s">
        <v>1710</v>
      </c>
      <c r="B1908" t="s">
        <v>13</v>
      </c>
      <c r="C1908" t="s">
        <v>17</v>
      </c>
      <c r="D1908" t="s">
        <v>14</v>
      </c>
      <c r="E1908" t="s">
        <v>14</v>
      </c>
      <c r="F1908" t="s">
        <v>17</v>
      </c>
      <c r="G1908" t="s">
        <v>14</v>
      </c>
      <c r="H1908" t="s">
        <v>14</v>
      </c>
      <c r="I1908" t="str">
        <f>"061437013199"</f>
        <v>061437013199</v>
      </c>
    </row>
    <row r="1909" spans="1:9" x14ac:dyDescent="0.25">
      <c r="A1909" t="s">
        <v>1711</v>
      </c>
      <c r="B1909" t="s">
        <v>13</v>
      </c>
      <c r="C1909">
        <v>3.73</v>
      </c>
      <c r="D1909">
        <v>3.83</v>
      </c>
      <c r="E1909" t="s">
        <v>17</v>
      </c>
      <c r="F1909">
        <v>12.6</v>
      </c>
      <c r="G1909">
        <v>14.62</v>
      </c>
      <c r="H1909" t="s">
        <v>17</v>
      </c>
      <c r="I1909" t="str">
        <f>"060933007425"</f>
        <v>060933007425</v>
      </c>
    </row>
    <row r="1910" spans="1:9" x14ac:dyDescent="0.25">
      <c r="A1910" t="s">
        <v>1712</v>
      </c>
      <c r="B1910" t="s">
        <v>13</v>
      </c>
      <c r="C1910">
        <v>50.6</v>
      </c>
      <c r="D1910">
        <v>46.39</v>
      </c>
      <c r="E1910" t="s">
        <v>17</v>
      </c>
      <c r="F1910">
        <v>18.32</v>
      </c>
      <c r="G1910">
        <v>18.82</v>
      </c>
      <c r="H1910" t="s">
        <v>17</v>
      </c>
      <c r="I1910" t="str">
        <f>"060363000293"</f>
        <v>060363000293</v>
      </c>
    </row>
    <row r="1911" spans="1:9" x14ac:dyDescent="0.25">
      <c r="A1911" t="s">
        <v>1713</v>
      </c>
      <c r="B1911" t="s">
        <v>13</v>
      </c>
      <c r="C1911">
        <v>26.45</v>
      </c>
      <c r="D1911">
        <v>25.55</v>
      </c>
      <c r="E1911" t="s">
        <v>17</v>
      </c>
      <c r="F1911">
        <v>22.68</v>
      </c>
      <c r="G1911">
        <v>22.86</v>
      </c>
      <c r="H1911" t="s">
        <v>17</v>
      </c>
      <c r="I1911" t="str">
        <f>"062724004107"</f>
        <v>062724004107</v>
      </c>
    </row>
    <row r="1912" spans="1:9" x14ac:dyDescent="0.25">
      <c r="A1912" t="s">
        <v>1713</v>
      </c>
      <c r="B1912" t="s">
        <v>13</v>
      </c>
      <c r="C1912">
        <v>27.01</v>
      </c>
      <c r="D1912">
        <v>25</v>
      </c>
      <c r="E1912" t="s">
        <v>17</v>
      </c>
      <c r="F1912">
        <v>30.91</v>
      </c>
      <c r="G1912">
        <v>31.68</v>
      </c>
      <c r="H1912" t="s">
        <v>17</v>
      </c>
      <c r="I1912" t="str">
        <f>"068450007052"</f>
        <v>068450007052</v>
      </c>
    </row>
    <row r="1913" spans="1:9" x14ac:dyDescent="0.25">
      <c r="A1913" t="s">
        <v>1713</v>
      </c>
      <c r="B1913" t="s">
        <v>13</v>
      </c>
      <c r="C1913">
        <v>15</v>
      </c>
      <c r="D1913">
        <v>14</v>
      </c>
      <c r="E1913" t="s">
        <v>17</v>
      </c>
      <c r="F1913">
        <v>25.67</v>
      </c>
      <c r="G1913">
        <v>25.14</v>
      </c>
      <c r="H1913" t="s">
        <v>17</v>
      </c>
      <c r="I1913" t="str">
        <f>"063492005912"</f>
        <v>063492005912</v>
      </c>
    </row>
    <row r="1914" spans="1:9" x14ac:dyDescent="0.25">
      <c r="A1914" t="s">
        <v>1714</v>
      </c>
      <c r="B1914" t="s">
        <v>13</v>
      </c>
      <c r="C1914">
        <v>76.599999999999994</v>
      </c>
      <c r="D1914">
        <v>78</v>
      </c>
      <c r="E1914" t="s">
        <v>17</v>
      </c>
      <c r="F1914">
        <v>24.7</v>
      </c>
      <c r="G1914">
        <v>25</v>
      </c>
      <c r="H1914" t="s">
        <v>17</v>
      </c>
      <c r="I1914" t="str">
        <f>"062637003941"</f>
        <v>062637003941</v>
      </c>
    </row>
    <row r="1915" spans="1:9" x14ac:dyDescent="0.25">
      <c r="A1915" t="s">
        <v>1715</v>
      </c>
      <c r="B1915" t="s">
        <v>13</v>
      </c>
      <c r="C1915" t="s">
        <v>14</v>
      </c>
      <c r="D1915">
        <v>15.02</v>
      </c>
      <c r="E1915" t="s">
        <v>17</v>
      </c>
      <c r="F1915" t="s">
        <v>17</v>
      </c>
      <c r="G1915">
        <v>24.03</v>
      </c>
      <c r="H1915" t="s">
        <v>17</v>
      </c>
      <c r="I1915" t="str">
        <f>"062805011289"</f>
        <v>062805011289</v>
      </c>
    </row>
    <row r="1916" spans="1:9" x14ac:dyDescent="0.25">
      <c r="A1916" t="s">
        <v>1716</v>
      </c>
      <c r="B1916" t="s">
        <v>13</v>
      </c>
      <c r="C1916">
        <v>11.12</v>
      </c>
      <c r="D1916">
        <v>9.1199999999999992</v>
      </c>
      <c r="E1916" t="s">
        <v>17</v>
      </c>
      <c r="F1916">
        <v>18.170000000000002</v>
      </c>
      <c r="G1916">
        <v>18.09</v>
      </c>
      <c r="H1916" t="s">
        <v>17</v>
      </c>
      <c r="I1916" t="str">
        <f>"062610012759"</f>
        <v>062610012759</v>
      </c>
    </row>
    <row r="1917" spans="1:9" x14ac:dyDescent="0.25">
      <c r="A1917" t="s">
        <v>1717</v>
      </c>
      <c r="B1917" t="s">
        <v>13</v>
      </c>
      <c r="C1917">
        <v>14</v>
      </c>
      <c r="D1917">
        <v>12</v>
      </c>
      <c r="E1917" t="s">
        <v>17</v>
      </c>
      <c r="F1917">
        <v>10.36</v>
      </c>
      <c r="G1917">
        <v>9.75</v>
      </c>
      <c r="H1917" t="s">
        <v>17</v>
      </c>
      <c r="I1917" t="str">
        <f>"061524001930"</f>
        <v>061524001930</v>
      </c>
    </row>
    <row r="1918" spans="1:9" x14ac:dyDescent="0.25">
      <c r="A1918" t="s">
        <v>1718</v>
      </c>
      <c r="B1918" t="s">
        <v>13</v>
      </c>
      <c r="C1918">
        <v>16.329999999999998</v>
      </c>
      <c r="D1918">
        <v>19</v>
      </c>
      <c r="E1918" t="s">
        <v>17</v>
      </c>
      <c r="F1918">
        <v>28.84</v>
      </c>
      <c r="G1918">
        <v>26.63</v>
      </c>
      <c r="H1918" t="s">
        <v>17</v>
      </c>
      <c r="I1918" t="str">
        <f>"062814004329"</f>
        <v>062814004329</v>
      </c>
    </row>
    <row r="1919" spans="1:9" x14ac:dyDescent="0.25">
      <c r="A1919" t="s">
        <v>1719</v>
      </c>
      <c r="B1919" t="s">
        <v>13</v>
      </c>
      <c r="C1919">
        <v>6.85</v>
      </c>
      <c r="D1919">
        <v>5</v>
      </c>
      <c r="E1919" t="s">
        <v>17</v>
      </c>
      <c r="F1919">
        <v>20.440000000000001</v>
      </c>
      <c r="G1919">
        <v>27.4</v>
      </c>
      <c r="H1919" t="s">
        <v>17</v>
      </c>
      <c r="I1919" t="str">
        <f>"061284009364"</f>
        <v>061284009364</v>
      </c>
    </row>
    <row r="1920" spans="1:9" x14ac:dyDescent="0.25">
      <c r="A1920" t="s">
        <v>1720</v>
      </c>
      <c r="B1920" t="s">
        <v>13</v>
      </c>
      <c r="C1920">
        <v>24</v>
      </c>
      <c r="D1920">
        <v>26</v>
      </c>
      <c r="E1920" t="s">
        <v>17</v>
      </c>
      <c r="F1920">
        <v>27.17</v>
      </c>
      <c r="G1920">
        <v>25.15</v>
      </c>
      <c r="H1920" t="s">
        <v>17</v>
      </c>
      <c r="I1920" t="str">
        <f>"064128006835"</f>
        <v>064128006835</v>
      </c>
    </row>
    <row r="1921" spans="1:9" x14ac:dyDescent="0.25">
      <c r="A1921" t="s">
        <v>1721</v>
      </c>
      <c r="B1921" t="s">
        <v>13</v>
      </c>
      <c r="C1921">
        <v>28</v>
      </c>
      <c r="D1921">
        <v>29</v>
      </c>
      <c r="E1921" t="s">
        <v>17</v>
      </c>
      <c r="F1921">
        <v>26.04</v>
      </c>
      <c r="G1921">
        <v>26.28</v>
      </c>
      <c r="H1921" t="s">
        <v>17</v>
      </c>
      <c r="I1921" t="str">
        <f>"060243000131"</f>
        <v>060243000131</v>
      </c>
    </row>
    <row r="1922" spans="1:9" x14ac:dyDescent="0.25">
      <c r="A1922" t="s">
        <v>1722</v>
      </c>
      <c r="B1922" t="s">
        <v>13</v>
      </c>
      <c r="C1922">
        <v>17</v>
      </c>
      <c r="D1922">
        <v>18</v>
      </c>
      <c r="E1922" t="s">
        <v>17</v>
      </c>
      <c r="F1922">
        <v>21.71</v>
      </c>
      <c r="G1922">
        <v>20.56</v>
      </c>
      <c r="H1922" t="s">
        <v>17</v>
      </c>
      <c r="I1922" t="str">
        <f>"063255005014"</f>
        <v>063255005014</v>
      </c>
    </row>
    <row r="1923" spans="1:9" x14ac:dyDescent="0.25">
      <c r="A1923" t="s">
        <v>1723</v>
      </c>
      <c r="B1923" t="s">
        <v>13</v>
      </c>
      <c r="C1923">
        <v>9</v>
      </c>
      <c r="D1923">
        <v>7</v>
      </c>
      <c r="E1923" t="s">
        <v>17</v>
      </c>
      <c r="F1923">
        <v>26.33</v>
      </c>
      <c r="G1923">
        <v>38</v>
      </c>
      <c r="H1923" t="s">
        <v>17</v>
      </c>
      <c r="I1923" t="str">
        <f>"063384005233"</f>
        <v>063384005233</v>
      </c>
    </row>
    <row r="1924" spans="1:9" x14ac:dyDescent="0.25">
      <c r="A1924" t="s">
        <v>1724</v>
      </c>
      <c r="B1924" t="s">
        <v>13</v>
      </c>
      <c r="C1924">
        <v>30.4</v>
      </c>
      <c r="D1924">
        <v>30.4</v>
      </c>
      <c r="E1924" t="s">
        <v>17</v>
      </c>
      <c r="F1924">
        <v>21.25</v>
      </c>
      <c r="G1924">
        <v>20.46</v>
      </c>
      <c r="H1924" t="s">
        <v>17</v>
      </c>
      <c r="I1924" t="str">
        <f>"060363000311"</f>
        <v>060363000311</v>
      </c>
    </row>
    <row r="1925" spans="1:9" x14ac:dyDescent="0.25">
      <c r="A1925" t="s">
        <v>1725</v>
      </c>
      <c r="B1925" t="s">
        <v>13</v>
      </c>
      <c r="C1925">
        <v>30.01</v>
      </c>
      <c r="D1925">
        <v>30</v>
      </c>
      <c r="E1925" t="s">
        <v>17</v>
      </c>
      <c r="F1925">
        <v>28.02</v>
      </c>
      <c r="G1925">
        <v>28.67</v>
      </c>
      <c r="H1925" t="s">
        <v>17</v>
      </c>
      <c r="I1925" t="str">
        <f>"063417012143"</f>
        <v>063417012143</v>
      </c>
    </row>
    <row r="1926" spans="1:9" x14ac:dyDescent="0.25">
      <c r="A1926" t="s">
        <v>1726</v>
      </c>
      <c r="B1926" t="s">
        <v>13</v>
      </c>
      <c r="C1926">
        <v>38.21</v>
      </c>
      <c r="D1926">
        <v>36.200000000000003</v>
      </c>
      <c r="E1926" t="s">
        <v>17</v>
      </c>
      <c r="F1926">
        <v>27.19</v>
      </c>
      <c r="G1926">
        <v>26.6</v>
      </c>
      <c r="H1926" t="s">
        <v>17</v>
      </c>
      <c r="I1926" t="str">
        <f>"061111011714"</f>
        <v>061111011714</v>
      </c>
    </row>
    <row r="1927" spans="1:9" x14ac:dyDescent="0.25">
      <c r="A1927" t="s">
        <v>1727</v>
      </c>
      <c r="B1927" t="s">
        <v>13</v>
      </c>
      <c r="C1927">
        <v>28.5</v>
      </c>
      <c r="D1927">
        <v>28.6</v>
      </c>
      <c r="E1927" t="s">
        <v>17</v>
      </c>
      <c r="F1927">
        <v>23.68</v>
      </c>
      <c r="G1927">
        <v>22.66</v>
      </c>
      <c r="H1927" t="s">
        <v>17</v>
      </c>
      <c r="I1927" t="str">
        <f>"063471005847"</f>
        <v>063471005847</v>
      </c>
    </row>
    <row r="1928" spans="1:9" x14ac:dyDescent="0.25">
      <c r="A1928" t="s">
        <v>1728</v>
      </c>
      <c r="B1928" t="s">
        <v>13</v>
      </c>
      <c r="C1928">
        <v>24.19</v>
      </c>
      <c r="D1928">
        <v>27.5</v>
      </c>
      <c r="E1928" t="s">
        <v>17</v>
      </c>
      <c r="F1928">
        <v>23.81</v>
      </c>
      <c r="G1928">
        <v>21.27</v>
      </c>
      <c r="H1928" t="s">
        <v>17</v>
      </c>
      <c r="I1928" t="str">
        <f>"062169002575"</f>
        <v>062169002575</v>
      </c>
    </row>
    <row r="1929" spans="1:9" x14ac:dyDescent="0.25">
      <c r="A1929" t="s">
        <v>1729</v>
      </c>
      <c r="B1929" t="s">
        <v>13</v>
      </c>
      <c r="C1929" t="str">
        <f>"0.10"</f>
        <v>0.10</v>
      </c>
      <c r="D1929" t="str">
        <f>"0.10"</f>
        <v>0.10</v>
      </c>
      <c r="E1929" t="s">
        <v>17</v>
      </c>
      <c r="F1929">
        <v>140</v>
      </c>
      <c r="G1929">
        <v>50</v>
      </c>
      <c r="H1929" t="s">
        <v>17</v>
      </c>
      <c r="I1929" t="str">
        <f>"061722007180"</f>
        <v>061722007180</v>
      </c>
    </row>
    <row r="1930" spans="1:9" x14ac:dyDescent="0.25">
      <c r="A1930" t="s">
        <v>1730</v>
      </c>
      <c r="B1930" t="s">
        <v>13</v>
      </c>
      <c r="C1930">
        <v>86.23</v>
      </c>
      <c r="D1930">
        <v>83.31</v>
      </c>
      <c r="E1930" t="s">
        <v>17</v>
      </c>
      <c r="F1930">
        <v>25.06</v>
      </c>
      <c r="G1930">
        <v>26.65</v>
      </c>
      <c r="H1930" t="s">
        <v>17</v>
      </c>
      <c r="I1930" t="str">
        <f>"060816010606"</f>
        <v>060816010606</v>
      </c>
    </row>
    <row r="1931" spans="1:9" x14ac:dyDescent="0.25">
      <c r="A1931" t="s">
        <v>1731</v>
      </c>
      <c r="B1931" t="s">
        <v>13</v>
      </c>
      <c r="C1931">
        <v>15.58</v>
      </c>
      <c r="D1931">
        <v>16.690000000000001</v>
      </c>
      <c r="E1931" t="s">
        <v>17</v>
      </c>
      <c r="F1931">
        <v>26.32</v>
      </c>
      <c r="G1931">
        <v>27.14</v>
      </c>
      <c r="H1931" t="s">
        <v>17</v>
      </c>
      <c r="I1931" t="str">
        <f>"063288010027"</f>
        <v>063288010027</v>
      </c>
    </row>
    <row r="1932" spans="1:9" x14ac:dyDescent="0.25">
      <c r="A1932" t="s">
        <v>1732</v>
      </c>
      <c r="B1932" t="s">
        <v>13</v>
      </c>
      <c r="C1932">
        <v>100.87</v>
      </c>
      <c r="D1932">
        <v>126.04</v>
      </c>
      <c r="E1932" t="s">
        <v>17</v>
      </c>
      <c r="F1932">
        <v>22.13</v>
      </c>
      <c r="G1932">
        <v>26.51</v>
      </c>
      <c r="H1932" t="s">
        <v>17</v>
      </c>
      <c r="I1932" t="str">
        <f>"060939000946"</f>
        <v>060939000946</v>
      </c>
    </row>
    <row r="1933" spans="1:9" x14ac:dyDescent="0.25">
      <c r="A1933" t="s">
        <v>1733</v>
      </c>
      <c r="B1933" t="s">
        <v>13</v>
      </c>
      <c r="C1933">
        <v>48.21</v>
      </c>
      <c r="D1933">
        <v>46.2</v>
      </c>
      <c r="E1933" t="s">
        <v>17</v>
      </c>
      <c r="F1933">
        <v>20.41</v>
      </c>
      <c r="G1933">
        <v>22.62</v>
      </c>
      <c r="H1933" t="s">
        <v>17</v>
      </c>
      <c r="I1933" t="str">
        <f>"060939000947"</f>
        <v>060939000947</v>
      </c>
    </row>
    <row r="1934" spans="1:9" x14ac:dyDescent="0.25">
      <c r="A1934" t="s">
        <v>1734</v>
      </c>
      <c r="B1934" t="s">
        <v>13</v>
      </c>
      <c r="C1934" t="s">
        <v>17</v>
      </c>
      <c r="D1934" t="s">
        <v>17</v>
      </c>
      <c r="E1934" t="s">
        <v>17</v>
      </c>
      <c r="F1934" t="s">
        <v>17</v>
      </c>
      <c r="G1934" t="s">
        <v>17</v>
      </c>
      <c r="H1934" t="s">
        <v>17</v>
      </c>
      <c r="I1934" t="str">
        <f>"060013011115"</f>
        <v>060013011115</v>
      </c>
    </row>
    <row r="1935" spans="1:9" x14ac:dyDescent="0.25">
      <c r="A1935" t="s">
        <v>1735</v>
      </c>
      <c r="B1935" t="s">
        <v>13</v>
      </c>
      <c r="C1935">
        <v>1</v>
      </c>
      <c r="D1935">
        <v>1</v>
      </c>
      <c r="E1935" t="s">
        <v>17</v>
      </c>
      <c r="F1935">
        <v>6</v>
      </c>
      <c r="G1935">
        <v>8</v>
      </c>
      <c r="H1935" t="s">
        <v>17</v>
      </c>
      <c r="I1935" t="str">
        <f>"060978007459"</f>
        <v>060978007459</v>
      </c>
    </row>
    <row r="1936" spans="1:9" x14ac:dyDescent="0.25">
      <c r="A1936" t="s">
        <v>1736</v>
      </c>
      <c r="B1936" t="s">
        <v>13</v>
      </c>
      <c r="C1936">
        <v>25</v>
      </c>
      <c r="D1936">
        <v>26</v>
      </c>
      <c r="E1936" t="s">
        <v>17</v>
      </c>
      <c r="F1936">
        <v>23.24</v>
      </c>
      <c r="G1936">
        <v>22.35</v>
      </c>
      <c r="H1936" t="s">
        <v>17</v>
      </c>
      <c r="I1936" t="str">
        <f>"060948000962"</f>
        <v>060948000962</v>
      </c>
    </row>
    <row r="1937" spans="1:9" x14ac:dyDescent="0.25">
      <c r="A1937" t="s">
        <v>1736</v>
      </c>
      <c r="B1937" t="s">
        <v>13</v>
      </c>
      <c r="C1937">
        <v>27</v>
      </c>
      <c r="D1937">
        <v>26</v>
      </c>
      <c r="E1937" t="s">
        <v>17</v>
      </c>
      <c r="F1937">
        <v>26.93</v>
      </c>
      <c r="G1937">
        <v>26.38</v>
      </c>
      <c r="H1937" t="s">
        <v>17</v>
      </c>
      <c r="I1937" t="str">
        <f>"069113511045"</f>
        <v>069113511045</v>
      </c>
    </row>
    <row r="1938" spans="1:9" x14ac:dyDescent="0.25">
      <c r="A1938" t="s">
        <v>1736</v>
      </c>
      <c r="B1938" t="s">
        <v>13</v>
      </c>
      <c r="C1938">
        <v>23</v>
      </c>
      <c r="D1938">
        <v>26.5</v>
      </c>
      <c r="E1938" t="s">
        <v>17</v>
      </c>
      <c r="F1938">
        <v>20.48</v>
      </c>
      <c r="G1938">
        <v>19.739999999999998</v>
      </c>
      <c r="H1938" t="s">
        <v>17</v>
      </c>
      <c r="I1938" t="str">
        <f>"060945000961"</f>
        <v>060945000961</v>
      </c>
    </row>
    <row r="1939" spans="1:9" x14ac:dyDescent="0.25">
      <c r="A1939" t="s">
        <v>1736</v>
      </c>
      <c r="B1939" t="s">
        <v>13</v>
      </c>
      <c r="C1939">
        <v>25.24</v>
      </c>
      <c r="D1939">
        <v>24.24</v>
      </c>
      <c r="E1939" t="s">
        <v>17</v>
      </c>
      <c r="F1939">
        <v>21.39</v>
      </c>
      <c r="G1939">
        <v>22.77</v>
      </c>
      <c r="H1939" t="s">
        <v>17</v>
      </c>
      <c r="I1939" t="str">
        <f>"061470004514"</f>
        <v>061470004514</v>
      </c>
    </row>
    <row r="1940" spans="1:9" x14ac:dyDescent="0.25">
      <c r="A1940" t="s">
        <v>1736</v>
      </c>
      <c r="B1940" t="s">
        <v>13</v>
      </c>
      <c r="C1940">
        <v>46.99</v>
      </c>
      <c r="D1940">
        <v>45</v>
      </c>
      <c r="E1940" t="s">
        <v>17</v>
      </c>
      <c r="F1940">
        <v>18.75</v>
      </c>
      <c r="G1940">
        <v>19.399999999999999</v>
      </c>
      <c r="H1940" t="s">
        <v>17</v>
      </c>
      <c r="I1940" t="str">
        <f>"061209001347"</f>
        <v>061209001347</v>
      </c>
    </row>
    <row r="1941" spans="1:9" x14ac:dyDescent="0.25">
      <c r="A1941" t="s">
        <v>1736</v>
      </c>
      <c r="B1941" t="s">
        <v>13</v>
      </c>
      <c r="C1941">
        <v>37.01</v>
      </c>
      <c r="D1941">
        <v>38</v>
      </c>
      <c r="E1941" t="s">
        <v>17</v>
      </c>
      <c r="F1941">
        <v>23.78</v>
      </c>
      <c r="G1941">
        <v>22.58</v>
      </c>
      <c r="H1941" t="s">
        <v>17</v>
      </c>
      <c r="I1941" t="str">
        <f>"061191009131"</f>
        <v>061191009131</v>
      </c>
    </row>
    <row r="1942" spans="1:9" x14ac:dyDescent="0.25">
      <c r="A1942" t="s">
        <v>1736</v>
      </c>
      <c r="B1942" t="s">
        <v>13</v>
      </c>
      <c r="C1942">
        <v>32</v>
      </c>
      <c r="D1942">
        <v>29</v>
      </c>
      <c r="E1942" t="s">
        <v>17</v>
      </c>
      <c r="F1942">
        <v>18.559999999999999</v>
      </c>
      <c r="G1942">
        <v>20.38</v>
      </c>
      <c r="H1942" t="s">
        <v>17</v>
      </c>
      <c r="I1942" t="str">
        <f>"061455001716"</f>
        <v>061455001716</v>
      </c>
    </row>
    <row r="1943" spans="1:9" x14ac:dyDescent="0.25">
      <c r="A1943" t="s">
        <v>1737</v>
      </c>
      <c r="B1943" t="s">
        <v>13</v>
      </c>
      <c r="C1943">
        <v>20.010000000000002</v>
      </c>
      <c r="D1943">
        <v>23.85</v>
      </c>
      <c r="E1943" t="s">
        <v>17</v>
      </c>
      <c r="F1943">
        <v>24.79</v>
      </c>
      <c r="G1943">
        <v>23.23</v>
      </c>
      <c r="H1943" t="s">
        <v>17</v>
      </c>
      <c r="I1943" t="str">
        <f>"060171011090"</f>
        <v>060171011090</v>
      </c>
    </row>
    <row r="1944" spans="1:9" x14ac:dyDescent="0.25">
      <c r="A1944" t="s">
        <v>1738</v>
      </c>
      <c r="B1944" t="s">
        <v>13</v>
      </c>
      <c r="C1944">
        <v>35.21</v>
      </c>
      <c r="D1944">
        <v>35.11</v>
      </c>
      <c r="E1944" t="s">
        <v>17</v>
      </c>
      <c r="F1944">
        <v>22.44</v>
      </c>
      <c r="G1944">
        <v>23.24</v>
      </c>
      <c r="H1944" t="s">
        <v>17</v>
      </c>
      <c r="I1944" t="str">
        <f>"063846006464"</f>
        <v>063846006464</v>
      </c>
    </row>
    <row r="1945" spans="1:9" x14ac:dyDescent="0.25">
      <c r="A1945" t="s">
        <v>1739</v>
      </c>
      <c r="B1945" t="s">
        <v>13</v>
      </c>
      <c r="C1945">
        <v>1</v>
      </c>
      <c r="D1945">
        <v>1</v>
      </c>
      <c r="E1945" t="s">
        <v>17</v>
      </c>
      <c r="F1945">
        <v>5</v>
      </c>
      <c r="G1945">
        <v>6</v>
      </c>
      <c r="H1945" t="s">
        <v>17</v>
      </c>
      <c r="I1945" t="str">
        <f>"060945010672"</f>
        <v>060945010672</v>
      </c>
    </row>
    <row r="1946" spans="1:9" x14ac:dyDescent="0.25">
      <c r="A1946" t="s">
        <v>1740</v>
      </c>
      <c r="B1946" t="s">
        <v>13</v>
      </c>
      <c r="C1946" t="s">
        <v>17</v>
      </c>
      <c r="D1946" t="s">
        <v>17</v>
      </c>
      <c r="E1946" t="s">
        <v>17</v>
      </c>
      <c r="F1946" t="s">
        <v>17</v>
      </c>
      <c r="G1946" t="s">
        <v>17</v>
      </c>
      <c r="H1946" t="s">
        <v>17</v>
      </c>
      <c r="I1946" t="str">
        <f>"060945011272"</f>
        <v>060945011272</v>
      </c>
    </row>
    <row r="1947" spans="1:9" x14ac:dyDescent="0.25">
      <c r="A1947" t="s">
        <v>1741</v>
      </c>
      <c r="B1947" t="s">
        <v>13</v>
      </c>
      <c r="C1947">
        <v>10.32</v>
      </c>
      <c r="D1947">
        <v>9.15</v>
      </c>
      <c r="E1947" t="s">
        <v>17</v>
      </c>
      <c r="F1947">
        <v>17.829999999999998</v>
      </c>
      <c r="G1947">
        <v>23.83</v>
      </c>
      <c r="H1947" t="s">
        <v>17</v>
      </c>
      <c r="I1947" t="str">
        <f>"060951000965"</f>
        <v>060951000965</v>
      </c>
    </row>
    <row r="1948" spans="1:9" x14ac:dyDescent="0.25">
      <c r="A1948" t="s">
        <v>1742</v>
      </c>
      <c r="B1948" t="s">
        <v>13</v>
      </c>
      <c r="C1948">
        <v>25</v>
      </c>
      <c r="D1948">
        <v>25</v>
      </c>
      <c r="E1948" t="s">
        <v>17</v>
      </c>
      <c r="F1948">
        <v>23.28</v>
      </c>
      <c r="G1948">
        <v>22.56</v>
      </c>
      <c r="H1948" t="s">
        <v>17</v>
      </c>
      <c r="I1948" t="str">
        <f>"062271010527"</f>
        <v>062271010527</v>
      </c>
    </row>
    <row r="1949" spans="1:9" x14ac:dyDescent="0.25">
      <c r="A1949" t="s">
        <v>1743</v>
      </c>
      <c r="B1949" t="s">
        <v>13</v>
      </c>
      <c r="C1949">
        <v>19.5</v>
      </c>
      <c r="D1949">
        <v>16</v>
      </c>
      <c r="E1949" t="s">
        <v>17</v>
      </c>
      <c r="F1949">
        <v>17.79</v>
      </c>
      <c r="G1949">
        <v>24.13</v>
      </c>
      <c r="H1949" t="s">
        <v>17</v>
      </c>
      <c r="I1949" t="str">
        <f>"061146001262"</f>
        <v>061146001262</v>
      </c>
    </row>
    <row r="1950" spans="1:9" x14ac:dyDescent="0.25">
      <c r="A1950" t="s">
        <v>1744</v>
      </c>
      <c r="B1950" t="s">
        <v>13</v>
      </c>
      <c r="C1950">
        <v>23.5</v>
      </c>
      <c r="D1950">
        <v>24</v>
      </c>
      <c r="E1950" t="s">
        <v>17</v>
      </c>
      <c r="F1950">
        <v>24.04</v>
      </c>
      <c r="G1950">
        <v>23.33</v>
      </c>
      <c r="H1950" t="s">
        <v>17</v>
      </c>
      <c r="I1950" t="str">
        <f>"061524001922"</f>
        <v>061524001922</v>
      </c>
    </row>
    <row r="1951" spans="1:9" x14ac:dyDescent="0.25">
      <c r="A1951" t="s">
        <v>1745</v>
      </c>
      <c r="B1951" t="s">
        <v>13</v>
      </c>
      <c r="C1951">
        <v>31.66</v>
      </c>
      <c r="D1951">
        <v>31.65</v>
      </c>
      <c r="E1951" t="s">
        <v>17</v>
      </c>
      <c r="F1951">
        <v>30.2</v>
      </c>
      <c r="G1951">
        <v>29.57</v>
      </c>
      <c r="H1951" t="s">
        <v>17</v>
      </c>
      <c r="I1951" t="str">
        <f>"064015006635"</f>
        <v>064015006635</v>
      </c>
    </row>
    <row r="1952" spans="1:9" x14ac:dyDescent="0.25">
      <c r="A1952" t="s">
        <v>1746</v>
      </c>
      <c r="B1952" t="s">
        <v>13</v>
      </c>
      <c r="C1952" t="str">
        <f>"0.66"</f>
        <v>0.66</v>
      </c>
      <c r="D1952">
        <v>1.1599999999999999</v>
      </c>
      <c r="E1952" t="s">
        <v>17</v>
      </c>
      <c r="F1952">
        <v>37.880000000000003</v>
      </c>
      <c r="G1952">
        <v>21.55</v>
      </c>
      <c r="H1952" t="s">
        <v>17</v>
      </c>
      <c r="I1952" t="str">
        <f>"060957008128"</f>
        <v>060957008128</v>
      </c>
    </row>
    <row r="1953" spans="1:9" x14ac:dyDescent="0.25">
      <c r="A1953" t="s">
        <v>1747</v>
      </c>
      <c r="B1953" t="s">
        <v>13</v>
      </c>
      <c r="C1953">
        <v>3</v>
      </c>
      <c r="D1953">
        <v>3</v>
      </c>
      <c r="E1953" t="s">
        <v>17</v>
      </c>
      <c r="F1953">
        <v>26.33</v>
      </c>
      <c r="G1953">
        <v>26</v>
      </c>
      <c r="H1953" t="s">
        <v>17</v>
      </c>
      <c r="I1953" t="str">
        <f>"060957004434"</f>
        <v>060957004434</v>
      </c>
    </row>
    <row r="1954" spans="1:9" x14ac:dyDescent="0.25">
      <c r="A1954" t="s">
        <v>1748</v>
      </c>
      <c r="B1954" t="s">
        <v>13</v>
      </c>
      <c r="C1954">
        <v>1</v>
      </c>
      <c r="D1954">
        <v>1</v>
      </c>
      <c r="E1954" t="s">
        <v>17</v>
      </c>
      <c r="F1954">
        <v>12</v>
      </c>
      <c r="G1954" t="s">
        <v>17</v>
      </c>
      <c r="H1954" t="s">
        <v>17</v>
      </c>
      <c r="I1954" t="str">
        <f>"069100407491"</f>
        <v>069100407491</v>
      </c>
    </row>
    <row r="1955" spans="1:9" x14ac:dyDescent="0.25">
      <c r="A1955" t="s">
        <v>1749</v>
      </c>
      <c r="B1955" t="s">
        <v>13</v>
      </c>
      <c r="C1955">
        <v>2.0099999999999998</v>
      </c>
      <c r="D1955">
        <v>2</v>
      </c>
      <c r="E1955" t="s">
        <v>17</v>
      </c>
      <c r="F1955">
        <v>7.96</v>
      </c>
      <c r="G1955" t="s">
        <v>17</v>
      </c>
      <c r="H1955" t="s">
        <v>17</v>
      </c>
      <c r="I1955" t="str">
        <f>"069100404431"</f>
        <v>069100404431</v>
      </c>
    </row>
    <row r="1956" spans="1:9" x14ac:dyDescent="0.25">
      <c r="A1956" t="s">
        <v>1750</v>
      </c>
      <c r="B1956" t="s">
        <v>13</v>
      </c>
      <c r="C1956" t="s">
        <v>17</v>
      </c>
      <c r="D1956" t="s">
        <v>17</v>
      </c>
      <c r="E1956" t="s">
        <v>17</v>
      </c>
      <c r="F1956" t="s">
        <v>17</v>
      </c>
      <c r="G1956" t="s">
        <v>17</v>
      </c>
      <c r="H1956" t="s">
        <v>17</v>
      </c>
      <c r="I1956" t="str">
        <f>"069100407910"</f>
        <v>069100407910</v>
      </c>
    </row>
    <row r="1957" spans="1:9" x14ac:dyDescent="0.25">
      <c r="A1957" t="s">
        <v>1751</v>
      </c>
      <c r="B1957" t="s">
        <v>13</v>
      </c>
      <c r="C1957">
        <v>19.010000000000002</v>
      </c>
      <c r="D1957">
        <v>18.18</v>
      </c>
      <c r="E1957" t="s">
        <v>17</v>
      </c>
      <c r="F1957">
        <v>18.2</v>
      </c>
      <c r="G1957">
        <v>19.420000000000002</v>
      </c>
      <c r="H1957" t="s">
        <v>17</v>
      </c>
      <c r="I1957" t="str">
        <f>"060957000966"</f>
        <v>060957000966</v>
      </c>
    </row>
    <row r="1958" spans="1:9" x14ac:dyDescent="0.25">
      <c r="A1958" t="s">
        <v>1752</v>
      </c>
      <c r="B1958" t="s">
        <v>13</v>
      </c>
      <c r="C1958">
        <v>34.270000000000003</v>
      </c>
      <c r="D1958">
        <v>36.93</v>
      </c>
      <c r="E1958" t="s">
        <v>17</v>
      </c>
      <c r="F1958">
        <v>30.58</v>
      </c>
      <c r="G1958">
        <v>29.19</v>
      </c>
      <c r="H1958" t="s">
        <v>17</v>
      </c>
      <c r="I1958" t="str">
        <f>"063801006401"</f>
        <v>063801006401</v>
      </c>
    </row>
    <row r="1959" spans="1:9" x14ac:dyDescent="0.25">
      <c r="A1959" t="s">
        <v>1753</v>
      </c>
      <c r="B1959" t="s">
        <v>13</v>
      </c>
      <c r="C1959">
        <v>33</v>
      </c>
      <c r="D1959">
        <v>36</v>
      </c>
      <c r="E1959" t="s">
        <v>17</v>
      </c>
      <c r="F1959">
        <v>23.3</v>
      </c>
      <c r="G1959">
        <v>24.28</v>
      </c>
      <c r="H1959" t="s">
        <v>17</v>
      </c>
      <c r="I1959" t="str">
        <f>"062271002934"</f>
        <v>062271002934</v>
      </c>
    </row>
    <row r="1960" spans="1:9" x14ac:dyDescent="0.25">
      <c r="A1960" t="s">
        <v>1754</v>
      </c>
      <c r="B1960" t="s">
        <v>13</v>
      </c>
      <c r="C1960">
        <v>18</v>
      </c>
      <c r="D1960">
        <v>19</v>
      </c>
      <c r="E1960" t="s">
        <v>17</v>
      </c>
      <c r="F1960">
        <v>21.94</v>
      </c>
      <c r="G1960">
        <v>21.26</v>
      </c>
      <c r="H1960" t="s">
        <v>17</v>
      </c>
      <c r="I1960" t="str">
        <f>"061473001791"</f>
        <v>061473001791</v>
      </c>
    </row>
    <row r="1961" spans="1:9" x14ac:dyDescent="0.25">
      <c r="A1961" t="s">
        <v>1755</v>
      </c>
      <c r="B1961" t="s">
        <v>13</v>
      </c>
      <c r="C1961">
        <v>19.05</v>
      </c>
      <c r="D1961">
        <v>12.41</v>
      </c>
      <c r="E1961" t="s">
        <v>14</v>
      </c>
      <c r="F1961">
        <v>21.63</v>
      </c>
      <c r="G1961">
        <v>24.74</v>
      </c>
      <c r="H1961" t="s">
        <v>14</v>
      </c>
      <c r="I1961" t="str">
        <f>"062271012973"</f>
        <v>062271012973</v>
      </c>
    </row>
    <row r="1962" spans="1:9" x14ac:dyDescent="0.25">
      <c r="A1962" t="s">
        <v>1756</v>
      </c>
      <c r="B1962" t="s">
        <v>13</v>
      </c>
      <c r="C1962">
        <v>4</v>
      </c>
      <c r="D1962" t="s">
        <v>14</v>
      </c>
      <c r="E1962" t="s">
        <v>14</v>
      </c>
      <c r="F1962">
        <v>15</v>
      </c>
      <c r="G1962" t="s">
        <v>14</v>
      </c>
      <c r="H1962" t="s">
        <v>14</v>
      </c>
      <c r="I1962" t="str">
        <f>"069103513000"</f>
        <v>069103513000</v>
      </c>
    </row>
    <row r="1963" spans="1:9" x14ac:dyDescent="0.25">
      <c r="A1963" t="s">
        <v>1757</v>
      </c>
      <c r="B1963" t="s">
        <v>13</v>
      </c>
      <c r="C1963">
        <v>1</v>
      </c>
      <c r="D1963">
        <v>1</v>
      </c>
      <c r="E1963" t="s">
        <v>17</v>
      </c>
      <c r="F1963">
        <v>13</v>
      </c>
      <c r="G1963">
        <v>13</v>
      </c>
      <c r="H1963" t="s">
        <v>17</v>
      </c>
      <c r="I1963" t="str">
        <f>"063459001503"</f>
        <v>063459001503</v>
      </c>
    </row>
    <row r="1964" spans="1:9" x14ac:dyDescent="0.25">
      <c r="A1964" t="s">
        <v>1758</v>
      </c>
      <c r="B1964" t="s">
        <v>13</v>
      </c>
      <c r="C1964">
        <v>57</v>
      </c>
      <c r="D1964">
        <v>50</v>
      </c>
      <c r="E1964" t="s">
        <v>17</v>
      </c>
      <c r="F1964">
        <v>19.53</v>
      </c>
      <c r="G1964">
        <v>20.32</v>
      </c>
      <c r="H1964" t="s">
        <v>17</v>
      </c>
      <c r="I1964" t="str">
        <f>"060133211072"</f>
        <v>060133211072</v>
      </c>
    </row>
    <row r="1965" spans="1:9" x14ac:dyDescent="0.25">
      <c r="A1965" t="s">
        <v>1759</v>
      </c>
      <c r="B1965" t="s">
        <v>13</v>
      </c>
      <c r="C1965">
        <v>1</v>
      </c>
      <c r="D1965">
        <v>1</v>
      </c>
      <c r="E1965" t="s">
        <v>17</v>
      </c>
      <c r="F1965">
        <v>12</v>
      </c>
      <c r="G1965">
        <v>10</v>
      </c>
      <c r="H1965" t="s">
        <v>17</v>
      </c>
      <c r="I1965" t="str">
        <f>"060462012327"</f>
        <v>060462012327</v>
      </c>
    </row>
    <row r="1966" spans="1:9" x14ac:dyDescent="0.25">
      <c r="A1966" t="s">
        <v>1759</v>
      </c>
      <c r="B1966" t="s">
        <v>13</v>
      </c>
      <c r="C1966">
        <v>3.6</v>
      </c>
      <c r="D1966">
        <v>4.2</v>
      </c>
      <c r="E1966" t="s">
        <v>17</v>
      </c>
      <c r="F1966">
        <v>2.2200000000000002</v>
      </c>
      <c r="G1966">
        <v>2.86</v>
      </c>
      <c r="H1966" t="s">
        <v>17</v>
      </c>
      <c r="I1966" t="str">
        <f>"061443008353"</f>
        <v>061443008353</v>
      </c>
    </row>
    <row r="1967" spans="1:9" x14ac:dyDescent="0.25">
      <c r="A1967" t="s">
        <v>1759</v>
      </c>
      <c r="B1967" t="s">
        <v>13</v>
      </c>
      <c r="C1967">
        <v>2.5</v>
      </c>
      <c r="D1967">
        <v>1.51</v>
      </c>
      <c r="E1967" t="s">
        <v>17</v>
      </c>
      <c r="F1967">
        <v>11.6</v>
      </c>
      <c r="G1967">
        <v>18.54</v>
      </c>
      <c r="H1967" t="s">
        <v>17</v>
      </c>
      <c r="I1967" t="str">
        <f>"062805010718"</f>
        <v>062805010718</v>
      </c>
    </row>
    <row r="1968" spans="1:9" x14ac:dyDescent="0.25">
      <c r="A1968" t="s">
        <v>1759</v>
      </c>
      <c r="B1968" t="s">
        <v>13</v>
      </c>
      <c r="C1968" t="s">
        <v>14</v>
      </c>
      <c r="D1968" t="s">
        <v>14</v>
      </c>
      <c r="E1968" t="s">
        <v>17</v>
      </c>
      <c r="F1968" t="s">
        <v>14</v>
      </c>
      <c r="G1968" t="s">
        <v>14</v>
      </c>
      <c r="H1968" t="s">
        <v>17</v>
      </c>
      <c r="I1968" t="str">
        <f>"060001511179"</f>
        <v>060001511179</v>
      </c>
    </row>
    <row r="1969" spans="1:9" x14ac:dyDescent="0.25">
      <c r="A1969" t="s">
        <v>1759</v>
      </c>
      <c r="B1969" t="s">
        <v>13</v>
      </c>
      <c r="C1969" t="s">
        <v>17</v>
      </c>
      <c r="D1969">
        <v>1</v>
      </c>
      <c r="E1969" t="s">
        <v>17</v>
      </c>
      <c r="F1969" t="s">
        <v>17</v>
      </c>
      <c r="G1969">
        <v>2</v>
      </c>
      <c r="H1969" t="s">
        <v>17</v>
      </c>
      <c r="I1969" t="str">
        <f>"060720011794"</f>
        <v>060720011794</v>
      </c>
    </row>
    <row r="1970" spans="1:9" x14ac:dyDescent="0.25">
      <c r="A1970" t="s">
        <v>1759</v>
      </c>
      <c r="B1970" t="s">
        <v>13</v>
      </c>
      <c r="C1970">
        <v>7</v>
      </c>
      <c r="D1970">
        <v>3.1</v>
      </c>
      <c r="E1970" t="s">
        <v>17</v>
      </c>
      <c r="F1970">
        <v>1.43</v>
      </c>
      <c r="G1970">
        <v>5.16</v>
      </c>
      <c r="H1970" t="s">
        <v>17</v>
      </c>
      <c r="I1970" t="str">
        <f>"060876008015"</f>
        <v>060876008015</v>
      </c>
    </row>
    <row r="1971" spans="1:9" x14ac:dyDescent="0.25">
      <c r="A1971" t="s">
        <v>1759</v>
      </c>
      <c r="B1971" t="s">
        <v>13</v>
      </c>
      <c r="C1971">
        <v>4</v>
      </c>
      <c r="D1971">
        <v>4</v>
      </c>
      <c r="E1971" t="s">
        <v>17</v>
      </c>
      <c r="F1971">
        <v>13</v>
      </c>
      <c r="G1971">
        <v>12</v>
      </c>
      <c r="H1971" t="s">
        <v>17</v>
      </c>
      <c r="I1971" t="str">
        <f>"063525008473"</f>
        <v>063525008473</v>
      </c>
    </row>
    <row r="1972" spans="1:9" x14ac:dyDescent="0.25">
      <c r="A1972" t="s">
        <v>1759</v>
      </c>
      <c r="B1972" t="s">
        <v>13</v>
      </c>
      <c r="C1972" t="s">
        <v>17</v>
      </c>
      <c r="D1972" t="s">
        <v>14</v>
      </c>
      <c r="E1972" t="s">
        <v>14</v>
      </c>
      <c r="F1972" t="s">
        <v>17</v>
      </c>
      <c r="G1972" t="s">
        <v>14</v>
      </c>
      <c r="H1972" t="s">
        <v>14</v>
      </c>
      <c r="I1972" t="str">
        <f>"063753013304"</f>
        <v>063753013304</v>
      </c>
    </row>
    <row r="1973" spans="1:9" x14ac:dyDescent="0.25">
      <c r="A1973" t="s">
        <v>1760</v>
      </c>
      <c r="B1973" t="s">
        <v>13</v>
      </c>
      <c r="C1973">
        <v>6</v>
      </c>
      <c r="D1973">
        <v>7</v>
      </c>
      <c r="E1973" t="s">
        <v>17</v>
      </c>
      <c r="F1973">
        <v>9.33</v>
      </c>
      <c r="G1973">
        <v>12.29</v>
      </c>
      <c r="H1973" t="s">
        <v>17</v>
      </c>
      <c r="I1973" t="str">
        <f>"063531007593"</f>
        <v>063531007593</v>
      </c>
    </row>
    <row r="1974" spans="1:9" x14ac:dyDescent="0.25">
      <c r="A1974" t="s">
        <v>1761</v>
      </c>
      <c r="B1974" t="s">
        <v>13</v>
      </c>
      <c r="C1974">
        <v>1</v>
      </c>
      <c r="D1974">
        <v>1</v>
      </c>
      <c r="E1974" t="s">
        <v>17</v>
      </c>
      <c r="F1974">
        <v>6</v>
      </c>
      <c r="G1974">
        <v>2</v>
      </c>
      <c r="H1974" t="s">
        <v>17</v>
      </c>
      <c r="I1974" t="str">
        <f>"061035012781"</f>
        <v>061035012781</v>
      </c>
    </row>
    <row r="1975" spans="1:9" x14ac:dyDescent="0.25">
      <c r="A1975" t="s">
        <v>1762</v>
      </c>
      <c r="B1975" t="s">
        <v>13</v>
      </c>
      <c r="C1975">
        <v>1.3</v>
      </c>
      <c r="D1975">
        <v>1</v>
      </c>
      <c r="E1975" t="s">
        <v>14</v>
      </c>
      <c r="F1975">
        <v>4.62</v>
      </c>
      <c r="G1975">
        <v>3</v>
      </c>
      <c r="H1975" t="s">
        <v>14</v>
      </c>
      <c r="I1975" t="str">
        <f>"060140913022"</f>
        <v>060140913022</v>
      </c>
    </row>
    <row r="1976" spans="1:9" x14ac:dyDescent="0.25">
      <c r="A1976" t="s">
        <v>1763</v>
      </c>
      <c r="B1976" t="s">
        <v>13</v>
      </c>
      <c r="C1976">
        <v>8.5</v>
      </c>
      <c r="D1976">
        <v>8</v>
      </c>
      <c r="E1976" t="s">
        <v>17</v>
      </c>
      <c r="F1976">
        <v>7.76</v>
      </c>
      <c r="G1976">
        <v>9.1300000000000008</v>
      </c>
      <c r="H1976" t="s">
        <v>17</v>
      </c>
      <c r="I1976" t="str">
        <f>"060263010982"</f>
        <v>060263010982</v>
      </c>
    </row>
    <row r="1977" spans="1:9" x14ac:dyDescent="0.25">
      <c r="A1977" t="s">
        <v>1764</v>
      </c>
      <c r="B1977" t="s">
        <v>13</v>
      </c>
      <c r="C1977" t="s">
        <v>14</v>
      </c>
      <c r="D1977">
        <v>10</v>
      </c>
      <c r="E1977" t="s">
        <v>17</v>
      </c>
      <c r="F1977" t="s">
        <v>17</v>
      </c>
      <c r="G1977">
        <v>25.3</v>
      </c>
      <c r="H1977" t="s">
        <v>17</v>
      </c>
      <c r="I1977" t="str">
        <f>"062271010518"</f>
        <v>062271010518</v>
      </c>
    </row>
    <row r="1978" spans="1:9" x14ac:dyDescent="0.25">
      <c r="A1978" t="s">
        <v>1765</v>
      </c>
      <c r="B1978" t="s">
        <v>13</v>
      </c>
      <c r="C1978">
        <v>7.25</v>
      </c>
      <c r="D1978">
        <v>8</v>
      </c>
      <c r="E1978" t="s">
        <v>17</v>
      </c>
      <c r="F1978">
        <v>15.86</v>
      </c>
      <c r="G1978">
        <v>16.25</v>
      </c>
      <c r="H1978" t="s">
        <v>17</v>
      </c>
      <c r="I1978" t="str">
        <f>"062569008166"</f>
        <v>062569008166</v>
      </c>
    </row>
    <row r="1979" spans="1:9" x14ac:dyDescent="0.25">
      <c r="A1979" t="s">
        <v>1766</v>
      </c>
      <c r="B1979" t="s">
        <v>13</v>
      </c>
      <c r="C1979">
        <v>2</v>
      </c>
      <c r="D1979">
        <v>2</v>
      </c>
      <c r="E1979" t="s">
        <v>17</v>
      </c>
      <c r="F1979">
        <v>5.5</v>
      </c>
      <c r="G1979">
        <v>5</v>
      </c>
      <c r="H1979" t="s">
        <v>17</v>
      </c>
      <c r="I1979" t="str">
        <f>"062937007329"</f>
        <v>062937007329</v>
      </c>
    </row>
    <row r="1980" spans="1:9" x14ac:dyDescent="0.25">
      <c r="A1980" t="s">
        <v>1767</v>
      </c>
      <c r="B1980" t="s">
        <v>13</v>
      </c>
      <c r="C1980">
        <v>17</v>
      </c>
      <c r="D1980">
        <v>17</v>
      </c>
      <c r="E1980" t="s">
        <v>17</v>
      </c>
      <c r="F1980">
        <v>27.88</v>
      </c>
      <c r="G1980">
        <v>27.65</v>
      </c>
      <c r="H1980" t="s">
        <v>17</v>
      </c>
      <c r="I1980" t="str">
        <f>"062271002935"</f>
        <v>062271002935</v>
      </c>
    </row>
    <row r="1981" spans="1:9" x14ac:dyDescent="0.25">
      <c r="A1981" t="s">
        <v>1768</v>
      </c>
      <c r="B1981" t="s">
        <v>13</v>
      </c>
      <c r="C1981" t="s">
        <v>17</v>
      </c>
      <c r="D1981" t="s">
        <v>14</v>
      </c>
      <c r="E1981" t="s">
        <v>14</v>
      </c>
      <c r="F1981" t="s">
        <v>17</v>
      </c>
      <c r="G1981" t="s">
        <v>14</v>
      </c>
      <c r="H1981" t="s">
        <v>14</v>
      </c>
      <c r="I1981" t="str">
        <f>"061071013054"</f>
        <v>061071013054</v>
      </c>
    </row>
    <row r="1982" spans="1:9" x14ac:dyDescent="0.25">
      <c r="A1982" t="s">
        <v>1769</v>
      </c>
      <c r="B1982" t="s">
        <v>13</v>
      </c>
      <c r="C1982">
        <v>62.5</v>
      </c>
      <c r="D1982">
        <v>49.4</v>
      </c>
      <c r="E1982" t="s">
        <v>17</v>
      </c>
      <c r="F1982">
        <v>22.75</v>
      </c>
      <c r="G1982">
        <v>25.1</v>
      </c>
      <c r="H1982" t="s">
        <v>17</v>
      </c>
      <c r="I1982" t="str">
        <f>"060133211200"</f>
        <v>060133211200</v>
      </c>
    </row>
    <row r="1983" spans="1:9" x14ac:dyDescent="0.25">
      <c r="A1983" t="s">
        <v>1770</v>
      </c>
      <c r="B1983" t="s">
        <v>13</v>
      </c>
      <c r="C1983">
        <v>12</v>
      </c>
      <c r="D1983">
        <v>8</v>
      </c>
      <c r="E1983" t="s">
        <v>14</v>
      </c>
      <c r="F1983">
        <v>17.75</v>
      </c>
      <c r="G1983">
        <v>12.25</v>
      </c>
      <c r="H1983" t="s">
        <v>14</v>
      </c>
      <c r="I1983" t="str">
        <f>"060744012651"</f>
        <v>060744012651</v>
      </c>
    </row>
    <row r="1984" spans="1:9" x14ac:dyDescent="0.25">
      <c r="A1984" t="s">
        <v>1771</v>
      </c>
      <c r="B1984" t="s">
        <v>13</v>
      </c>
      <c r="C1984">
        <v>6</v>
      </c>
      <c r="D1984">
        <v>5</v>
      </c>
      <c r="E1984" t="s">
        <v>14</v>
      </c>
      <c r="F1984">
        <v>23</v>
      </c>
      <c r="G1984">
        <v>15.8</v>
      </c>
      <c r="H1984" t="s">
        <v>14</v>
      </c>
      <c r="I1984" t="str">
        <f>"069105112844"</f>
        <v>069105112844</v>
      </c>
    </row>
    <row r="1985" spans="1:9" x14ac:dyDescent="0.25">
      <c r="A1985" t="s">
        <v>1772</v>
      </c>
      <c r="B1985" t="s">
        <v>13</v>
      </c>
      <c r="C1985">
        <v>9.86</v>
      </c>
      <c r="D1985">
        <v>4.3</v>
      </c>
      <c r="E1985" t="s">
        <v>17</v>
      </c>
      <c r="F1985">
        <v>19.98</v>
      </c>
      <c r="G1985">
        <v>58.6</v>
      </c>
      <c r="H1985" t="s">
        <v>17</v>
      </c>
      <c r="I1985" t="str">
        <f>"069102911088"</f>
        <v>069102911088</v>
      </c>
    </row>
    <row r="1986" spans="1:9" x14ac:dyDescent="0.25">
      <c r="A1986" t="s">
        <v>1773</v>
      </c>
      <c r="B1986" t="s">
        <v>13</v>
      </c>
      <c r="C1986">
        <v>16</v>
      </c>
      <c r="D1986">
        <v>16</v>
      </c>
      <c r="E1986" t="s">
        <v>17</v>
      </c>
      <c r="F1986">
        <v>24.75</v>
      </c>
      <c r="G1986">
        <v>21.94</v>
      </c>
      <c r="H1986" t="s">
        <v>17</v>
      </c>
      <c r="I1986" t="str">
        <f>"062805012058"</f>
        <v>062805012058</v>
      </c>
    </row>
    <row r="1987" spans="1:9" x14ac:dyDescent="0.25">
      <c r="A1987" t="s">
        <v>1774</v>
      </c>
      <c r="B1987" t="s">
        <v>13</v>
      </c>
      <c r="C1987">
        <v>28.97</v>
      </c>
      <c r="D1987">
        <v>22.67</v>
      </c>
      <c r="E1987" t="s">
        <v>14</v>
      </c>
      <c r="F1987">
        <v>22.44</v>
      </c>
      <c r="G1987">
        <v>20.51</v>
      </c>
      <c r="H1987" t="s">
        <v>14</v>
      </c>
      <c r="I1987" t="str">
        <f>"064356012910"</f>
        <v>064356012910</v>
      </c>
    </row>
    <row r="1988" spans="1:9" x14ac:dyDescent="0.25">
      <c r="A1988" t="s">
        <v>1775</v>
      </c>
      <c r="B1988" t="s">
        <v>13</v>
      </c>
      <c r="C1988">
        <v>1</v>
      </c>
      <c r="D1988">
        <v>1</v>
      </c>
      <c r="E1988" t="s">
        <v>17</v>
      </c>
      <c r="F1988">
        <v>16</v>
      </c>
      <c r="G1988">
        <v>14</v>
      </c>
      <c r="H1988" t="s">
        <v>17</v>
      </c>
      <c r="I1988" t="str">
        <f>"062448003656"</f>
        <v>062448003656</v>
      </c>
    </row>
    <row r="1989" spans="1:9" x14ac:dyDescent="0.25">
      <c r="A1989" t="s">
        <v>1776</v>
      </c>
      <c r="B1989" t="s">
        <v>13</v>
      </c>
      <c r="C1989">
        <v>17</v>
      </c>
      <c r="D1989">
        <v>17</v>
      </c>
      <c r="E1989" t="s">
        <v>17</v>
      </c>
      <c r="F1989">
        <v>20.94</v>
      </c>
      <c r="G1989">
        <v>21.47</v>
      </c>
      <c r="H1989" t="s">
        <v>17</v>
      </c>
      <c r="I1989" t="str">
        <f>"062271002936"</f>
        <v>062271002936</v>
      </c>
    </row>
    <row r="1990" spans="1:9" x14ac:dyDescent="0.25">
      <c r="A1990" t="s">
        <v>1777</v>
      </c>
      <c r="B1990" t="s">
        <v>13</v>
      </c>
      <c r="C1990">
        <v>2.5</v>
      </c>
      <c r="D1990">
        <v>3.5</v>
      </c>
      <c r="E1990" t="s">
        <v>17</v>
      </c>
      <c r="F1990">
        <v>5.6</v>
      </c>
      <c r="G1990">
        <v>4.29</v>
      </c>
      <c r="H1990" t="s">
        <v>17</v>
      </c>
      <c r="I1990" t="str">
        <f>"060962007148"</f>
        <v>060962007148</v>
      </c>
    </row>
    <row r="1991" spans="1:9" x14ac:dyDescent="0.25">
      <c r="A1991" t="s">
        <v>1778</v>
      </c>
      <c r="B1991" t="s">
        <v>13</v>
      </c>
      <c r="C1991">
        <v>1.5</v>
      </c>
      <c r="D1991" t="s">
        <v>17</v>
      </c>
      <c r="E1991" t="s">
        <v>17</v>
      </c>
      <c r="F1991">
        <v>3.33</v>
      </c>
      <c r="G1991" t="s">
        <v>17</v>
      </c>
      <c r="H1991" t="s">
        <v>17</v>
      </c>
      <c r="I1991" t="str">
        <f>"060962007158"</f>
        <v>060962007158</v>
      </c>
    </row>
    <row r="1992" spans="1:9" x14ac:dyDescent="0.25">
      <c r="A1992" t="s">
        <v>1779</v>
      </c>
      <c r="B1992" t="s">
        <v>13</v>
      </c>
      <c r="C1992">
        <v>95.84</v>
      </c>
      <c r="D1992">
        <v>96</v>
      </c>
      <c r="E1992" t="s">
        <v>17</v>
      </c>
      <c r="F1992">
        <v>23.21</v>
      </c>
      <c r="G1992">
        <v>24.06</v>
      </c>
      <c r="H1992" t="s">
        <v>17</v>
      </c>
      <c r="I1992" t="str">
        <f>"060962000976"</f>
        <v>060962000976</v>
      </c>
    </row>
    <row r="1993" spans="1:9" x14ac:dyDescent="0.25">
      <c r="A1993" t="s">
        <v>1780</v>
      </c>
      <c r="B1993" t="s">
        <v>13</v>
      </c>
      <c r="C1993">
        <v>24.03</v>
      </c>
      <c r="D1993">
        <v>23.74</v>
      </c>
      <c r="E1993" t="s">
        <v>17</v>
      </c>
      <c r="F1993">
        <v>28.13</v>
      </c>
      <c r="G1993">
        <v>26.83</v>
      </c>
      <c r="H1993" t="s">
        <v>17</v>
      </c>
      <c r="I1993" t="str">
        <f>"060363000294"</f>
        <v>060363000294</v>
      </c>
    </row>
    <row r="1994" spans="1:9" x14ac:dyDescent="0.25">
      <c r="A1994" t="s">
        <v>1781</v>
      </c>
      <c r="B1994" t="s">
        <v>13</v>
      </c>
      <c r="C1994" t="s">
        <v>17</v>
      </c>
      <c r="D1994" t="s">
        <v>17</v>
      </c>
      <c r="E1994" t="s">
        <v>17</v>
      </c>
      <c r="F1994" t="s">
        <v>17</v>
      </c>
      <c r="G1994" t="s">
        <v>17</v>
      </c>
      <c r="H1994" t="s">
        <v>17</v>
      </c>
      <c r="I1994" t="str">
        <f>"060011310926"</f>
        <v>060011310926</v>
      </c>
    </row>
    <row r="1995" spans="1:9" x14ac:dyDescent="0.25">
      <c r="A1995" t="s">
        <v>1782</v>
      </c>
      <c r="B1995" t="s">
        <v>13</v>
      </c>
      <c r="C1995">
        <v>67.099999999999994</v>
      </c>
      <c r="D1995">
        <v>70.5</v>
      </c>
      <c r="E1995" t="s">
        <v>17</v>
      </c>
      <c r="F1995">
        <v>22.35</v>
      </c>
      <c r="G1995">
        <v>22.14</v>
      </c>
      <c r="H1995" t="s">
        <v>17</v>
      </c>
      <c r="I1995" t="str">
        <f>"062637003942"</f>
        <v>062637003942</v>
      </c>
    </row>
    <row r="1996" spans="1:9" x14ac:dyDescent="0.25">
      <c r="A1996" t="s">
        <v>1783</v>
      </c>
      <c r="B1996" t="s">
        <v>13</v>
      </c>
      <c r="C1996">
        <v>21.43</v>
      </c>
      <c r="D1996">
        <v>21.85</v>
      </c>
      <c r="E1996" t="s">
        <v>17</v>
      </c>
      <c r="F1996">
        <v>30.75</v>
      </c>
      <c r="G1996">
        <v>29.61</v>
      </c>
      <c r="H1996" t="s">
        <v>17</v>
      </c>
      <c r="I1996" t="str">
        <f>"060744000687"</f>
        <v>060744000687</v>
      </c>
    </row>
    <row r="1997" spans="1:9" x14ac:dyDescent="0.25">
      <c r="A1997" t="s">
        <v>1784</v>
      </c>
      <c r="B1997" t="s">
        <v>13</v>
      </c>
      <c r="C1997">
        <v>6.5</v>
      </c>
      <c r="D1997">
        <v>6.5</v>
      </c>
      <c r="E1997" t="s">
        <v>17</v>
      </c>
      <c r="F1997">
        <v>16.77</v>
      </c>
      <c r="G1997">
        <v>17.690000000000001</v>
      </c>
      <c r="H1997" t="s">
        <v>17</v>
      </c>
      <c r="I1997" t="str">
        <f>"061548001964"</f>
        <v>061548001964</v>
      </c>
    </row>
    <row r="1998" spans="1:9" x14ac:dyDescent="0.25">
      <c r="A1998" t="s">
        <v>1785</v>
      </c>
      <c r="B1998" t="s">
        <v>13</v>
      </c>
      <c r="C1998">
        <v>26.14</v>
      </c>
      <c r="D1998">
        <v>26.15</v>
      </c>
      <c r="E1998" t="s">
        <v>17</v>
      </c>
      <c r="F1998">
        <v>24.94</v>
      </c>
      <c r="G1998">
        <v>24.63</v>
      </c>
      <c r="H1998" t="s">
        <v>17</v>
      </c>
      <c r="I1998" t="str">
        <f>"060876000888"</f>
        <v>060876000888</v>
      </c>
    </row>
    <row r="1999" spans="1:9" x14ac:dyDescent="0.25">
      <c r="A1999" t="s">
        <v>1786</v>
      </c>
      <c r="B1999" t="s">
        <v>13</v>
      </c>
      <c r="C1999">
        <v>22.65</v>
      </c>
      <c r="D1999">
        <v>22.65</v>
      </c>
      <c r="E1999" t="s">
        <v>17</v>
      </c>
      <c r="F1999">
        <v>27.81</v>
      </c>
      <c r="G1999">
        <v>26.05</v>
      </c>
      <c r="H1999" t="s">
        <v>17</v>
      </c>
      <c r="I1999" t="str">
        <f>"062586009939"</f>
        <v>062586009939</v>
      </c>
    </row>
    <row r="2000" spans="1:9" x14ac:dyDescent="0.25">
      <c r="A2000" t="s">
        <v>1787</v>
      </c>
      <c r="B2000" t="s">
        <v>13</v>
      </c>
      <c r="C2000">
        <v>3.41</v>
      </c>
      <c r="D2000" t="s">
        <v>17</v>
      </c>
      <c r="E2000" t="s">
        <v>14</v>
      </c>
      <c r="F2000">
        <v>56.89</v>
      </c>
      <c r="G2000" t="s">
        <v>17</v>
      </c>
      <c r="H2000" t="s">
        <v>14</v>
      </c>
      <c r="I2000" t="str">
        <f>"062927013007"</f>
        <v>062927013007</v>
      </c>
    </row>
    <row r="2001" spans="1:9" x14ac:dyDescent="0.25">
      <c r="A2001" t="s">
        <v>1788</v>
      </c>
      <c r="B2001" t="s">
        <v>13</v>
      </c>
      <c r="C2001">
        <v>18</v>
      </c>
      <c r="D2001">
        <v>19</v>
      </c>
      <c r="E2001" t="s">
        <v>17</v>
      </c>
      <c r="F2001">
        <v>24.06</v>
      </c>
      <c r="G2001">
        <v>22.11</v>
      </c>
      <c r="H2001" t="s">
        <v>17</v>
      </c>
      <c r="I2001" t="str">
        <f>"060964001008"</f>
        <v>060964001008</v>
      </c>
    </row>
    <row r="2002" spans="1:9" x14ac:dyDescent="0.25">
      <c r="A2002" t="s">
        <v>1789</v>
      </c>
      <c r="B2002" t="s">
        <v>13</v>
      </c>
      <c r="C2002">
        <v>7.64</v>
      </c>
      <c r="D2002">
        <v>7.3</v>
      </c>
      <c r="E2002" t="s">
        <v>17</v>
      </c>
      <c r="F2002">
        <v>20.03</v>
      </c>
      <c r="G2002">
        <v>19.86</v>
      </c>
      <c r="H2002" t="s">
        <v>17</v>
      </c>
      <c r="I2002" t="str">
        <f>"062115002534"</f>
        <v>062115002534</v>
      </c>
    </row>
    <row r="2003" spans="1:9" x14ac:dyDescent="0.25">
      <c r="A2003" t="s">
        <v>1790</v>
      </c>
      <c r="B2003" t="s">
        <v>13</v>
      </c>
      <c r="C2003">
        <v>15.53</v>
      </c>
      <c r="D2003">
        <v>16.64</v>
      </c>
      <c r="E2003" t="s">
        <v>17</v>
      </c>
      <c r="F2003">
        <v>10.75</v>
      </c>
      <c r="G2003">
        <v>11.18</v>
      </c>
      <c r="H2003" t="s">
        <v>17</v>
      </c>
      <c r="I2003" t="str">
        <f>"060964001010"</f>
        <v>060964001010</v>
      </c>
    </row>
    <row r="2004" spans="1:9" x14ac:dyDescent="0.25">
      <c r="A2004" t="s">
        <v>1791</v>
      </c>
      <c r="B2004" t="s">
        <v>13</v>
      </c>
      <c r="C2004">
        <v>30</v>
      </c>
      <c r="D2004">
        <v>31</v>
      </c>
      <c r="E2004" t="s">
        <v>17</v>
      </c>
      <c r="F2004">
        <v>21.17</v>
      </c>
      <c r="G2004">
        <v>19.739999999999998</v>
      </c>
      <c r="H2004" t="s">
        <v>17</v>
      </c>
      <c r="I2004" t="str">
        <f>"063682007873"</f>
        <v>063682007873</v>
      </c>
    </row>
    <row r="2005" spans="1:9" x14ac:dyDescent="0.25">
      <c r="A2005" t="s">
        <v>1792</v>
      </c>
      <c r="B2005" t="s">
        <v>13</v>
      </c>
      <c r="C2005">
        <v>8</v>
      </c>
      <c r="D2005">
        <v>8</v>
      </c>
      <c r="E2005" t="s">
        <v>17</v>
      </c>
      <c r="F2005">
        <v>28.63</v>
      </c>
      <c r="G2005">
        <v>29</v>
      </c>
      <c r="H2005" t="s">
        <v>17</v>
      </c>
      <c r="I2005" t="str">
        <f>"063870006504"</f>
        <v>063870006504</v>
      </c>
    </row>
    <row r="2006" spans="1:9" x14ac:dyDescent="0.25">
      <c r="A2006" t="s">
        <v>1793</v>
      </c>
      <c r="B2006" t="s">
        <v>13</v>
      </c>
      <c r="C2006" t="s">
        <v>17</v>
      </c>
      <c r="D2006" t="s">
        <v>14</v>
      </c>
      <c r="E2006" t="s">
        <v>14</v>
      </c>
      <c r="F2006" t="s">
        <v>17</v>
      </c>
      <c r="G2006" t="s">
        <v>14</v>
      </c>
      <c r="H2006" t="s">
        <v>14</v>
      </c>
      <c r="I2006" t="str">
        <f>"063213013060"</f>
        <v>063213013060</v>
      </c>
    </row>
    <row r="2007" spans="1:9" x14ac:dyDescent="0.25">
      <c r="A2007" t="s">
        <v>1794</v>
      </c>
      <c r="B2007" t="s">
        <v>13</v>
      </c>
      <c r="C2007">
        <v>83.32</v>
      </c>
      <c r="D2007">
        <v>85.78</v>
      </c>
      <c r="E2007" t="s">
        <v>17</v>
      </c>
      <c r="F2007">
        <v>24.89</v>
      </c>
      <c r="G2007">
        <v>24.78</v>
      </c>
      <c r="H2007" t="s">
        <v>17</v>
      </c>
      <c r="I2007" t="str">
        <f>"060006310698"</f>
        <v>060006310698</v>
      </c>
    </row>
    <row r="2008" spans="1:9" x14ac:dyDescent="0.25">
      <c r="A2008" t="s">
        <v>1795</v>
      </c>
      <c r="B2008" t="s">
        <v>13</v>
      </c>
      <c r="C2008" t="s">
        <v>17</v>
      </c>
      <c r="D2008" t="s">
        <v>17</v>
      </c>
      <c r="E2008" t="s">
        <v>17</v>
      </c>
      <c r="F2008" t="s">
        <v>17</v>
      </c>
      <c r="G2008" t="s">
        <v>17</v>
      </c>
      <c r="H2008" t="s">
        <v>17</v>
      </c>
      <c r="I2008" t="str">
        <f>"063828010707"</f>
        <v>063828010707</v>
      </c>
    </row>
    <row r="2009" spans="1:9" x14ac:dyDescent="0.25">
      <c r="A2009" t="s">
        <v>1796</v>
      </c>
      <c r="B2009" t="s">
        <v>13</v>
      </c>
      <c r="C2009">
        <v>10</v>
      </c>
      <c r="D2009" t="s">
        <v>17</v>
      </c>
      <c r="E2009" t="s">
        <v>17</v>
      </c>
      <c r="F2009">
        <v>23.2</v>
      </c>
      <c r="G2009" t="s">
        <v>17</v>
      </c>
      <c r="H2009" t="s">
        <v>17</v>
      </c>
      <c r="I2009" t="str">
        <f>"062805012006"</f>
        <v>062805012006</v>
      </c>
    </row>
    <row r="2010" spans="1:9" x14ac:dyDescent="0.25">
      <c r="A2010" t="s">
        <v>1797</v>
      </c>
      <c r="B2010" t="s">
        <v>13</v>
      </c>
      <c r="C2010" t="s">
        <v>14</v>
      </c>
      <c r="D2010">
        <v>3</v>
      </c>
      <c r="E2010" t="s">
        <v>17</v>
      </c>
      <c r="F2010" t="s">
        <v>17</v>
      </c>
      <c r="G2010">
        <v>31</v>
      </c>
      <c r="H2010" t="s">
        <v>17</v>
      </c>
      <c r="I2010" t="str">
        <f>"062250004590"</f>
        <v>062250004590</v>
      </c>
    </row>
    <row r="2011" spans="1:9" x14ac:dyDescent="0.25">
      <c r="A2011" t="s">
        <v>1798</v>
      </c>
      <c r="B2011" t="s">
        <v>13</v>
      </c>
      <c r="C2011" t="s">
        <v>14</v>
      </c>
      <c r="D2011">
        <v>16</v>
      </c>
      <c r="E2011" t="s">
        <v>14</v>
      </c>
      <c r="F2011" t="s">
        <v>17</v>
      </c>
      <c r="G2011">
        <v>16</v>
      </c>
      <c r="H2011" t="s">
        <v>14</v>
      </c>
      <c r="I2011" t="str">
        <f>"060002812778"</f>
        <v>060002812778</v>
      </c>
    </row>
    <row r="2012" spans="1:9" x14ac:dyDescent="0.25">
      <c r="A2012" t="s">
        <v>1799</v>
      </c>
      <c r="B2012" t="s">
        <v>13</v>
      </c>
      <c r="C2012" t="s">
        <v>17</v>
      </c>
      <c r="D2012" t="s">
        <v>17</v>
      </c>
      <c r="E2012" t="s">
        <v>17</v>
      </c>
      <c r="F2012" t="s">
        <v>17</v>
      </c>
      <c r="G2012" t="s">
        <v>17</v>
      </c>
      <c r="H2012" t="s">
        <v>17</v>
      </c>
      <c r="I2012" t="str">
        <f>"060009210761"</f>
        <v>060009210761</v>
      </c>
    </row>
    <row r="2013" spans="1:9" x14ac:dyDescent="0.25">
      <c r="A2013" t="s">
        <v>1800</v>
      </c>
      <c r="B2013" t="s">
        <v>13</v>
      </c>
      <c r="C2013">
        <v>19.25</v>
      </c>
      <c r="D2013">
        <v>22.03</v>
      </c>
      <c r="E2013" t="s">
        <v>17</v>
      </c>
      <c r="F2013">
        <v>22.55</v>
      </c>
      <c r="G2013">
        <v>18.79</v>
      </c>
      <c r="H2013" t="s">
        <v>17</v>
      </c>
      <c r="I2013" t="str">
        <f>"062271012314"</f>
        <v>062271012314</v>
      </c>
    </row>
    <row r="2014" spans="1:9" x14ac:dyDescent="0.25">
      <c r="A2014" t="s">
        <v>1801</v>
      </c>
      <c r="B2014" t="s">
        <v>13</v>
      </c>
      <c r="C2014" t="s">
        <v>17</v>
      </c>
      <c r="D2014" t="s">
        <v>14</v>
      </c>
      <c r="E2014" t="s">
        <v>14</v>
      </c>
      <c r="F2014" t="s">
        <v>17</v>
      </c>
      <c r="G2014" t="s">
        <v>14</v>
      </c>
      <c r="H2014" t="s">
        <v>14</v>
      </c>
      <c r="I2014" t="str">
        <f>"062271013271"</f>
        <v>062271013271</v>
      </c>
    </row>
    <row r="2015" spans="1:9" x14ac:dyDescent="0.25">
      <c r="A2015" t="s">
        <v>1802</v>
      </c>
      <c r="B2015" t="s">
        <v>13</v>
      </c>
      <c r="C2015">
        <v>16.5</v>
      </c>
      <c r="D2015">
        <v>17.62</v>
      </c>
      <c r="E2015" t="s">
        <v>17</v>
      </c>
      <c r="F2015">
        <v>22.24</v>
      </c>
      <c r="G2015">
        <v>21</v>
      </c>
      <c r="H2015" t="s">
        <v>17</v>
      </c>
      <c r="I2015" t="str">
        <f>"062271011888"</f>
        <v>062271011888</v>
      </c>
    </row>
    <row r="2016" spans="1:9" x14ac:dyDescent="0.25">
      <c r="A2016" t="s">
        <v>1803</v>
      </c>
      <c r="B2016" t="s">
        <v>13</v>
      </c>
      <c r="C2016">
        <v>29</v>
      </c>
      <c r="D2016">
        <v>27</v>
      </c>
      <c r="E2016" t="s">
        <v>17</v>
      </c>
      <c r="F2016">
        <v>26.07</v>
      </c>
      <c r="G2016">
        <v>26.7</v>
      </c>
      <c r="H2016" t="s">
        <v>17</v>
      </c>
      <c r="I2016" t="str">
        <f>"061288001452"</f>
        <v>061288001452</v>
      </c>
    </row>
    <row r="2017" spans="1:9" x14ac:dyDescent="0.25">
      <c r="A2017" t="s">
        <v>1804</v>
      </c>
      <c r="B2017" t="s">
        <v>13</v>
      </c>
      <c r="C2017">
        <v>16</v>
      </c>
      <c r="D2017">
        <v>18</v>
      </c>
      <c r="E2017" t="s">
        <v>17</v>
      </c>
      <c r="F2017">
        <v>28.13</v>
      </c>
      <c r="G2017">
        <v>27.17</v>
      </c>
      <c r="H2017" t="s">
        <v>17</v>
      </c>
      <c r="I2017" t="str">
        <f>"064116006785"</f>
        <v>064116006785</v>
      </c>
    </row>
    <row r="2018" spans="1:9" x14ac:dyDescent="0.25">
      <c r="A2018" t="s">
        <v>1805</v>
      </c>
      <c r="B2018" t="s">
        <v>13</v>
      </c>
      <c r="C2018">
        <v>21</v>
      </c>
      <c r="D2018">
        <v>25</v>
      </c>
      <c r="E2018" t="s">
        <v>17</v>
      </c>
      <c r="F2018">
        <v>21.19</v>
      </c>
      <c r="G2018">
        <v>19.239999999999998</v>
      </c>
      <c r="H2018" t="s">
        <v>17</v>
      </c>
      <c r="I2018" t="str">
        <f>"060861000857"</f>
        <v>060861000857</v>
      </c>
    </row>
    <row r="2019" spans="1:9" x14ac:dyDescent="0.25">
      <c r="A2019" t="s">
        <v>1806</v>
      </c>
      <c r="B2019" t="s">
        <v>13</v>
      </c>
      <c r="C2019">
        <v>30</v>
      </c>
      <c r="D2019">
        <v>28</v>
      </c>
      <c r="E2019" t="s">
        <v>17</v>
      </c>
      <c r="F2019">
        <v>22.8</v>
      </c>
      <c r="G2019">
        <v>23.39</v>
      </c>
      <c r="H2019" t="s">
        <v>17</v>
      </c>
      <c r="I2019" t="str">
        <f>"060939010300"</f>
        <v>060939010300</v>
      </c>
    </row>
    <row r="2020" spans="1:9" x14ac:dyDescent="0.25">
      <c r="A2020" t="s">
        <v>1807</v>
      </c>
      <c r="B2020" t="s">
        <v>13</v>
      </c>
      <c r="C2020">
        <v>14.43</v>
      </c>
      <c r="D2020">
        <v>15.8</v>
      </c>
      <c r="E2020" t="s">
        <v>17</v>
      </c>
      <c r="F2020">
        <v>28.69</v>
      </c>
      <c r="G2020">
        <v>25.19</v>
      </c>
      <c r="H2020" t="s">
        <v>17</v>
      </c>
      <c r="I2020" t="str">
        <f>"063442500523"</f>
        <v>063442500523</v>
      </c>
    </row>
    <row r="2021" spans="1:9" x14ac:dyDescent="0.25">
      <c r="A2021" t="s">
        <v>1808</v>
      </c>
      <c r="B2021" t="s">
        <v>13</v>
      </c>
      <c r="C2021" t="s">
        <v>17</v>
      </c>
      <c r="D2021" t="s">
        <v>14</v>
      </c>
      <c r="E2021" t="s">
        <v>14</v>
      </c>
      <c r="F2021" t="s">
        <v>17</v>
      </c>
      <c r="G2021" t="s">
        <v>14</v>
      </c>
      <c r="H2021" t="s">
        <v>14</v>
      </c>
      <c r="I2021" t="str">
        <f>"063441013393"</f>
        <v>063441013393</v>
      </c>
    </row>
    <row r="2022" spans="1:9" x14ac:dyDescent="0.25">
      <c r="A2022" t="s">
        <v>1809</v>
      </c>
      <c r="B2022" t="s">
        <v>13</v>
      </c>
      <c r="C2022">
        <v>33.89</v>
      </c>
      <c r="D2022">
        <v>35.380000000000003</v>
      </c>
      <c r="E2022" t="s">
        <v>17</v>
      </c>
      <c r="F2022">
        <v>27.21</v>
      </c>
      <c r="G2022">
        <v>26.51</v>
      </c>
      <c r="H2022" t="s">
        <v>17</v>
      </c>
      <c r="I2022" t="str">
        <f>"064059010330"</f>
        <v>064059010330</v>
      </c>
    </row>
    <row r="2023" spans="1:9" x14ac:dyDescent="0.25">
      <c r="A2023" t="s">
        <v>1810</v>
      </c>
      <c r="B2023" t="s">
        <v>13</v>
      </c>
      <c r="C2023">
        <v>18</v>
      </c>
      <c r="D2023">
        <v>24.5</v>
      </c>
      <c r="E2023" t="s">
        <v>17</v>
      </c>
      <c r="F2023">
        <v>23.44</v>
      </c>
      <c r="G2023">
        <v>20.57</v>
      </c>
      <c r="H2023" t="s">
        <v>17</v>
      </c>
      <c r="I2023" t="str">
        <f>"061455001717"</f>
        <v>061455001717</v>
      </c>
    </row>
    <row r="2024" spans="1:9" x14ac:dyDescent="0.25">
      <c r="A2024" t="s">
        <v>1811</v>
      </c>
      <c r="B2024" t="s">
        <v>13</v>
      </c>
      <c r="C2024">
        <v>54.35</v>
      </c>
      <c r="D2024">
        <v>52.44</v>
      </c>
      <c r="E2024" t="s">
        <v>17</v>
      </c>
      <c r="F2024">
        <v>25.5</v>
      </c>
      <c r="G2024">
        <v>25.69</v>
      </c>
      <c r="H2024" t="s">
        <v>17</v>
      </c>
      <c r="I2024" t="str">
        <f>"063207004932"</f>
        <v>063207004932</v>
      </c>
    </row>
    <row r="2025" spans="1:9" x14ac:dyDescent="0.25">
      <c r="A2025" t="s">
        <v>1812</v>
      </c>
      <c r="B2025" t="s">
        <v>13</v>
      </c>
      <c r="C2025">
        <v>19</v>
      </c>
      <c r="D2025">
        <v>21</v>
      </c>
      <c r="E2025" t="s">
        <v>17</v>
      </c>
      <c r="F2025">
        <v>28.47</v>
      </c>
      <c r="G2025">
        <v>25.67</v>
      </c>
      <c r="H2025" t="s">
        <v>17</v>
      </c>
      <c r="I2025" t="str">
        <f>"060903005747"</f>
        <v>060903005747</v>
      </c>
    </row>
    <row r="2026" spans="1:9" x14ac:dyDescent="0.25">
      <c r="A2026" t="s">
        <v>1813</v>
      </c>
      <c r="B2026" t="s">
        <v>13</v>
      </c>
      <c r="C2026">
        <v>11.67</v>
      </c>
      <c r="D2026">
        <v>12</v>
      </c>
      <c r="E2026" t="s">
        <v>17</v>
      </c>
      <c r="F2026">
        <v>23.05</v>
      </c>
      <c r="G2026">
        <v>22</v>
      </c>
      <c r="H2026" t="s">
        <v>17</v>
      </c>
      <c r="I2026" t="str">
        <f>"062397009578"</f>
        <v>062397009578</v>
      </c>
    </row>
    <row r="2027" spans="1:9" x14ac:dyDescent="0.25">
      <c r="A2027" t="s">
        <v>1814</v>
      </c>
      <c r="B2027" t="s">
        <v>13</v>
      </c>
      <c r="C2027">
        <v>40.1</v>
      </c>
      <c r="D2027">
        <v>36.15</v>
      </c>
      <c r="E2027" t="s">
        <v>17</v>
      </c>
      <c r="F2027">
        <v>26.76</v>
      </c>
      <c r="G2027">
        <v>26.45</v>
      </c>
      <c r="H2027" t="s">
        <v>17</v>
      </c>
      <c r="I2027" t="str">
        <f>"060907011720"</f>
        <v>060907011720</v>
      </c>
    </row>
    <row r="2028" spans="1:9" x14ac:dyDescent="0.25">
      <c r="A2028" t="s">
        <v>1815</v>
      </c>
      <c r="B2028" t="s">
        <v>13</v>
      </c>
      <c r="C2028">
        <v>1</v>
      </c>
      <c r="D2028" t="str">
        <f>"0.25"</f>
        <v>0.25</v>
      </c>
      <c r="E2028" t="s">
        <v>17</v>
      </c>
      <c r="F2028">
        <v>2</v>
      </c>
      <c r="G2028">
        <v>32</v>
      </c>
      <c r="H2028" t="s">
        <v>17</v>
      </c>
      <c r="I2028" t="str">
        <f>"060969011955"</f>
        <v>060969011955</v>
      </c>
    </row>
    <row r="2029" spans="1:9" x14ac:dyDescent="0.25">
      <c r="A2029" t="s">
        <v>1816</v>
      </c>
      <c r="B2029" t="s">
        <v>13</v>
      </c>
      <c r="C2029" t="s">
        <v>14</v>
      </c>
      <c r="D2029" t="s">
        <v>17</v>
      </c>
      <c r="E2029" t="s">
        <v>17</v>
      </c>
      <c r="F2029" t="s">
        <v>17</v>
      </c>
      <c r="G2029" t="s">
        <v>17</v>
      </c>
      <c r="H2029" t="s">
        <v>17</v>
      </c>
      <c r="I2029" t="str">
        <f>"060969012581"</f>
        <v>060969012581</v>
      </c>
    </row>
    <row r="2030" spans="1:9" x14ac:dyDescent="0.25">
      <c r="A2030" t="s">
        <v>1817</v>
      </c>
      <c r="B2030" t="s">
        <v>13</v>
      </c>
      <c r="C2030">
        <v>45.34</v>
      </c>
      <c r="D2030">
        <v>50.5</v>
      </c>
      <c r="E2030" t="s">
        <v>17</v>
      </c>
      <c r="F2030">
        <v>20.29</v>
      </c>
      <c r="G2030">
        <v>19.03</v>
      </c>
      <c r="H2030" t="s">
        <v>17</v>
      </c>
      <c r="I2030" t="str">
        <f>"060969001035"</f>
        <v>060969001035</v>
      </c>
    </row>
    <row r="2031" spans="1:9" x14ac:dyDescent="0.25">
      <c r="A2031" t="s">
        <v>1818</v>
      </c>
      <c r="B2031" t="s">
        <v>13</v>
      </c>
      <c r="C2031">
        <v>22</v>
      </c>
      <c r="D2031">
        <v>23</v>
      </c>
      <c r="E2031" t="s">
        <v>17</v>
      </c>
      <c r="F2031">
        <v>30.09</v>
      </c>
      <c r="G2031">
        <v>31.09</v>
      </c>
      <c r="H2031" t="s">
        <v>17</v>
      </c>
      <c r="I2031" t="str">
        <f>"061336011938"</f>
        <v>061336011938</v>
      </c>
    </row>
    <row r="2032" spans="1:9" x14ac:dyDescent="0.25">
      <c r="A2032" t="s">
        <v>1819</v>
      </c>
      <c r="B2032" t="s">
        <v>13</v>
      </c>
      <c r="C2032">
        <v>25</v>
      </c>
      <c r="D2032">
        <v>25.2</v>
      </c>
      <c r="E2032" t="s">
        <v>17</v>
      </c>
      <c r="F2032">
        <v>26.48</v>
      </c>
      <c r="G2032">
        <v>26.23</v>
      </c>
      <c r="H2032" t="s">
        <v>17</v>
      </c>
      <c r="I2032" t="str">
        <f>"063386005293"</f>
        <v>063386005293</v>
      </c>
    </row>
    <row r="2033" spans="1:9" x14ac:dyDescent="0.25">
      <c r="A2033" t="s">
        <v>1820</v>
      </c>
      <c r="B2033" t="s">
        <v>13</v>
      </c>
      <c r="C2033">
        <v>17.600000000000001</v>
      </c>
      <c r="D2033">
        <v>18.7</v>
      </c>
      <c r="E2033" t="s">
        <v>17</v>
      </c>
      <c r="F2033">
        <v>22.16</v>
      </c>
      <c r="G2033">
        <v>20.91</v>
      </c>
      <c r="H2033" t="s">
        <v>17</v>
      </c>
      <c r="I2033" t="str">
        <f>"061389001565"</f>
        <v>061389001565</v>
      </c>
    </row>
    <row r="2034" spans="1:9" x14ac:dyDescent="0.25">
      <c r="A2034" t="s">
        <v>1821</v>
      </c>
      <c r="B2034" t="s">
        <v>13</v>
      </c>
      <c r="C2034">
        <v>68.010000000000005</v>
      </c>
      <c r="D2034">
        <v>65.8</v>
      </c>
      <c r="E2034" t="s">
        <v>17</v>
      </c>
      <c r="F2034">
        <v>25.53</v>
      </c>
      <c r="G2034">
        <v>26.9</v>
      </c>
      <c r="H2034" t="s">
        <v>17</v>
      </c>
      <c r="I2034" t="str">
        <f>"061389001568"</f>
        <v>061389001568</v>
      </c>
    </row>
    <row r="2035" spans="1:9" x14ac:dyDescent="0.25">
      <c r="A2035" t="s">
        <v>1822</v>
      </c>
      <c r="B2035" t="s">
        <v>13</v>
      </c>
      <c r="C2035" t="s">
        <v>17</v>
      </c>
      <c r="D2035" t="s">
        <v>14</v>
      </c>
      <c r="E2035" t="s">
        <v>14</v>
      </c>
      <c r="F2035" t="s">
        <v>17</v>
      </c>
      <c r="G2035" t="s">
        <v>14</v>
      </c>
      <c r="H2035" t="s">
        <v>14</v>
      </c>
      <c r="I2035" t="str">
        <f>"061389013490"</f>
        <v>061389013490</v>
      </c>
    </row>
    <row r="2036" spans="1:9" x14ac:dyDescent="0.25">
      <c r="A2036" t="s">
        <v>1823</v>
      </c>
      <c r="B2036" t="s">
        <v>13</v>
      </c>
      <c r="C2036">
        <v>14.6</v>
      </c>
      <c r="D2036">
        <v>14</v>
      </c>
      <c r="E2036" t="s">
        <v>17</v>
      </c>
      <c r="F2036">
        <v>24.18</v>
      </c>
      <c r="G2036">
        <v>25.71</v>
      </c>
      <c r="H2036" t="s">
        <v>17</v>
      </c>
      <c r="I2036" t="str">
        <f>"061389001567"</f>
        <v>061389001567</v>
      </c>
    </row>
    <row r="2037" spans="1:9" x14ac:dyDescent="0.25">
      <c r="A2037" t="s">
        <v>1824</v>
      </c>
      <c r="B2037" t="s">
        <v>13</v>
      </c>
      <c r="C2037">
        <v>20.420000000000002</v>
      </c>
      <c r="D2037">
        <v>21.8</v>
      </c>
      <c r="E2037" t="s">
        <v>17</v>
      </c>
      <c r="F2037">
        <v>21.74</v>
      </c>
      <c r="G2037">
        <v>21.33</v>
      </c>
      <c r="H2037" t="s">
        <v>17</v>
      </c>
      <c r="I2037" t="str">
        <f>"061389001569"</f>
        <v>061389001569</v>
      </c>
    </row>
    <row r="2038" spans="1:9" x14ac:dyDescent="0.25">
      <c r="A2038" t="s">
        <v>1825</v>
      </c>
      <c r="B2038" t="s">
        <v>13</v>
      </c>
      <c r="C2038">
        <v>3.5</v>
      </c>
      <c r="D2038">
        <v>4</v>
      </c>
      <c r="E2038" t="s">
        <v>17</v>
      </c>
      <c r="F2038">
        <v>24.29</v>
      </c>
      <c r="G2038">
        <v>23</v>
      </c>
      <c r="H2038" t="s">
        <v>17</v>
      </c>
      <c r="I2038" t="str">
        <f>"062409003624"</f>
        <v>062409003624</v>
      </c>
    </row>
    <row r="2039" spans="1:9" x14ac:dyDescent="0.25">
      <c r="A2039" t="s">
        <v>1826</v>
      </c>
      <c r="B2039" t="s">
        <v>13</v>
      </c>
      <c r="C2039">
        <v>25.48</v>
      </c>
      <c r="D2039">
        <v>23.69</v>
      </c>
      <c r="E2039" t="s">
        <v>17</v>
      </c>
      <c r="F2039">
        <v>22.72</v>
      </c>
      <c r="G2039">
        <v>22.58</v>
      </c>
      <c r="H2039" t="s">
        <v>17</v>
      </c>
      <c r="I2039" t="str">
        <f>"069100211953"</f>
        <v>069100211953</v>
      </c>
    </row>
    <row r="2040" spans="1:9" x14ac:dyDescent="0.25">
      <c r="A2040" t="s">
        <v>1827</v>
      </c>
      <c r="B2040" t="s">
        <v>13</v>
      </c>
      <c r="C2040">
        <v>9.6</v>
      </c>
      <c r="D2040">
        <v>10</v>
      </c>
      <c r="E2040" t="s">
        <v>17</v>
      </c>
      <c r="F2040">
        <v>24.06</v>
      </c>
      <c r="G2040">
        <v>20.100000000000001</v>
      </c>
      <c r="H2040" t="s">
        <v>17</v>
      </c>
      <c r="I2040" t="str">
        <f>"062691011551"</f>
        <v>062691011551</v>
      </c>
    </row>
    <row r="2041" spans="1:9" x14ac:dyDescent="0.25">
      <c r="A2041" t="s">
        <v>1828</v>
      </c>
      <c r="B2041" t="s">
        <v>13</v>
      </c>
      <c r="C2041">
        <v>11.33</v>
      </c>
      <c r="D2041">
        <v>11.5</v>
      </c>
      <c r="E2041" t="s">
        <v>17</v>
      </c>
      <c r="F2041">
        <v>22.24</v>
      </c>
      <c r="G2041">
        <v>19.829999999999998</v>
      </c>
      <c r="H2041" t="s">
        <v>17</v>
      </c>
      <c r="I2041" t="str">
        <f>"060930012392"</f>
        <v>060930012392</v>
      </c>
    </row>
    <row r="2042" spans="1:9" x14ac:dyDescent="0.25">
      <c r="A2042" t="s">
        <v>1829</v>
      </c>
      <c r="B2042" t="s">
        <v>13</v>
      </c>
      <c r="C2042">
        <v>28.4</v>
      </c>
      <c r="D2042">
        <v>27.7</v>
      </c>
      <c r="E2042" t="s">
        <v>17</v>
      </c>
      <c r="F2042">
        <v>20.77</v>
      </c>
      <c r="G2042">
        <v>20.29</v>
      </c>
      <c r="H2042" t="s">
        <v>17</v>
      </c>
      <c r="I2042" t="str">
        <f>"060186000061"</f>
        <v>060186000061</v>
      </c>
    </row>
    <row r="2043" spans="1:9" x14ac:dyDescent="0.25">
      <c r="A2043" t="s">
        <v>1830</v>
      </c>
      <c r="B2043" t="s">
        <v>13</v>
      </c>
      <c r="C2043">
        <v>10</v>
      </c>
      <c r="D2043">
        <v>8</v>
      </c>
      <c r="E2043" t="s">
        <v>17</v>
      </c>
      <c r="F2043">
        <v>25.4</v>
      </c>
      <c r="G2043">
        <v>26.13</v>
      </c>
      <c r="H2043" t="s">
        <v>17</v>
      </c>
      <c r="I2043" t="str">
        <f>"061437012639"</f>
        <v>061437012639</v>
      </c>
    </row>
    <row r="2044" spans="1:9" x14ac:dyDescent="0.25">
      <c r="A2044" t="s">
        <v>1831</v>
      </c>
      <c r="B2044" t="s">
        <v>13</v>
      </c>
      <c r="C2044">
        <v>16</v>
      </c>
      <c r="D2044">
        <v>16</v>
      </c>
      <c r="E2044" t="s">
        <v>17</v>
      </c>
      <c r="F2044">
        <v>25.06</v>
      </c>
      <c r="G2044">
        <v>24.75</v>
      </c>
      <c r="H2044" t="s">
        <v>17</v>
      </c>
      <c r="I2044" t="str">
        <f>"062970003247"</f>
        <v>062970003247</v>
      </c>
    </row>
    <row r="2045" spans="1:9" x14ac:dyDescent="0.25">
      <c r="A2045" t="s">
        <v>1832</v>
      </c>
      <c r="B2045" t="s">
        <v>13</v>
      </c>
      <c r="C2045" t="s">
        <v>14</v>
      </c>
      <c r="D2045" t="s">
        <v>14</v>
      </c>
      <c r="E2045" t="s">
        <v>17</v>
      </c>
      <c r="F2045" t="s">
        <v>14</v>
      </c>
      <c r="G2045" t="s">
        <v>14</v>
      </c>
      <c r="H2045" t="s">
        <v>17</v>
      </c>
      <c r="I2045" t="str">
        <f>"062271011363"</f>
        <v>062271011363</v>
      </c>
    </row>
    <row r="2046" spans="1:9" x14ac:dyDescent="0.25">
      <c r="A2046" t="s">
        <v>1833</v>
      </c>
      <c r="B2046" t="s">
        <v>13</v>
      </c>
      <c r="C2046">
        <v>42.99</v>
      </c>
      <c r="D2046">
        <v>45.31</v>
      </c>
      <c r="E2046" t="s">
        <v>17</v>
      </c>
      <c r="F2046">
        <v>21.31</v>
      </c>
      <c r="G2046">
        <v>21.45</v>
      </c>
      <c r="H2046" t="s">
        <v>17</v>
      </c>
      <c r="I2046" t="str">
        <f>"060981001044"</f>
        <v>060981001044</v>
      </c>
    </row>
    <row r="2047" spans="1:9" x14ac:dyDescent="0.25">
      <c r="A2047" t="s">
        <v>1834</v>
      </c>
      <c r="B2047" t="s">
        <v>13</v>
      </c>
      <c r="C2047">
        <v>1</v>
      </c>
      <c r="D2047">
        <v>1</v>
      </c>
      <c r="E2047" t="s">
        <v>17</v>
      </c>
      <c r="F2047">
        <v>8</v>
      </c>
      <c r="G2047">
        <v>9</v>
      </c>
      <c r="H2047" t="s">
        <v>17</v>
      </c>
      <c r="I2047" t="str">
        <f>"060981007460"</f>
        <v>060981007460</v>
      </c>
    </row>
    <row r="2048" spans="1:9" x14ac:dyDescent="0.25">
      <c r="A2048" t="s">
        <v>1835</v>
      </c>
      <c r="B2048" t="s">
        <v>13</v>
      </c>
      <c r="C2048">
        <v>42</v>
      </c>
      <c r="D2048">
        <v>45</v>
      </c>
      <c r="E2048" t="s">
        <v>17</v>
      </c>
      <c r="F2048">
        <v>23.95</v>
      </c>
      <c r="G2048">
        <v>22.73</v>
      </c>
      <c r="H2048" t="s">
        <v>17</v>
      </c>
      <c r="I2048" t="str">
        <f>"062271002938"</f>
        <v>062271002938</v>
      </c>
    </row>
    <row r="2049" spans="1:9" x14ac:dyDescent="0.25">
      <c r="A2049" t="s">
        <v>1836</v>
      </c>
      <c r="B2049" t="s">
        <v>13</v>
      </c>
      <c r="C2049">
        <v>21</v>
      </c>
      <c r="D2049">
        <v>21.5</v>
      </c>
      <c r="E2049" t="s">
        <v>17</v>
      </c>
      <c r="F2049">
        <v>22.05</v>
      </c>
      <c r="G2049">
        <v>21.26</v>
      </c>
      <c r="H2049" t="s">
        <v>17</v>
      </c>
      <c r="I2049" t="str">
        <f>"064179007457"</f>
        <v>064179007457</v>
      </c>
    </row>
    <row r="2050" spans="1:9" x14ac:dyDescent="0.25">
      <c r="A2050" t="s">
        <v>1837</v>
      </c>
      <c r="B2050" t="s">
        <v>13</v>
      </c>
      <c r="C2050">
        <v>89.7</v>
      </c>
      <c r="D2050">
        <v>88.4</v>
      </c>
      <c r="E2050" t="s">
        <v>17</v>
      </c>
      <c r="F2050">
        <v>27.57</v>
      </c>
      <c r="G2050">
        <v>27.6</v>
      </c>
      <c r="H2050" t="s">
        <v>17</v>
      </c>
      <c r="I2050" t="str">
        <f>"062724004109"</f>
        <v>062724004109</v>
      </c>
    </row>
    <row r="2051" spans="1:9" x14ac:dyDescent="0.25">
      <c r="A2051" t="s">
        <v>1838</v>
      </c>
      <c r="B2051" t="s">
        <v>13</v>
      </c>
      <c r="C2051">
        <v>35.1</v>
      </c>
      <c r="D2051">
        <v>34.5</v>
      </c>
      <c r="E2051" t="s">
        <v>17</v>
      </c>
      <c r="F2051">
        <v>18.89</v>
      </c>
      <c r="G2051">
        <v>19.39</v>
      </c>
      <c r="H2051" t="s">
        <v>17</v>
      </c>
      <c r="I2051" t="str">
        <f>"062847004390"</f>
        <v>062847004390</v>
      </c>
    </row>
    <row r="2052" spans="1:9" x14ac:dyDescent="0.25">
      <c r="A2052" t="s">
        <v>1839</v>
      </c>
      <c r="B2052" t="s">
        <v>13</v>
      </c>
      <c r="C2052">
        <v>42.01</v>
      </c>
      <c r="D2052">
        <v>42</v>
      </c>
      <c r="E2052" t="s">
        <v>17</v>
      </c>
      <c r="F2052">
        <v>27.56</v>
      </c>
      <c r="G2052">
        <v>26.83</v>
      </c>
      <c r="H2052" t="s">
        <v>17</v>
      </c>
      <c r="I2052" t="str">
        <f>"060985001048"</f>
        <v>060985001048</v>
      </c>
    </row>
    <row r="2053" spans="1:9" x14ac:dyDescent="0.25">
      <c r="A2053" t="s">
        <v>1840</v>
      </c>
      <c r="B2053" t="s">
        <v>13</v>
      </c>
      <c r="C2053">
        <v>122.1</v>
      </c>
      <c r="D2053">
        <v>119.85</v>
      </c>
      <c r="E2053" t="s">
        <v>17</v>
      </c>
      <c r="F2053">
        <v>25.54</v>
      </c>
      <c r="G2053">
        <v>26.91</v>
      </c>
      <c r="H2053" t="s">
        <v>17</v>
      </c>
      <c r="I2053" t="str">
        <f>"060985001049"</f>
        <v>060985001049</v>
      </c>
    </row>
    <row r="2054" spans="1:9" x14ac:dyDescent="0.25">
      <c r="A2054" t="s">
        <v>1841</v>
      </c>
      <c r="B2054" t="s">
        <v>13</v>
      </c>
      <c r="C2054">
        <v>39.5</v>
      </c>
      <c r="D2054">
        <v>41</v>
      </c>
      <c r="E2054" t="s">
        <v>17</v>
      </c>
      <c r="F2054">
        <v>27.52</v>
      </c>
      <c r="G2054">
        <v>26.54</v>
      </c>
      <c r="H2054" t="s">
        <v>17</v>
      </c>
      <c r="I2054" t="str">
        <f>"060985010580"</f>
        <v>060985010580</v>
      </c>
    </row>
    <row r="2055" spans="1:9" x14ac:dyDescent="0.25">
      <c r="A2055" t="s">
        <v>1842</v>
      </c>
      <c r="B2055" t="s">
        <v>13</v>
      </c>
      <c r="C2055">
        <v>1</v>
      </c>
      <c r="D2055">
        <v>2.1</v>
      </c>
      <c r="E2055" t="s">
        <v>17</v>
      </c>
      <c r="F2055">
        <v>4</v>
      </c>
      <c r="G2055">
        <v>7.14</v>
      </c>
      <c r="H2055" t="s">
        <v>17</v>
      </c>
      <c r="I2055" t="str">
        <f>"060985000905"</f>
        <v>060985000905</v>
      </c>
    </row>
    <row r="2056" spans="1:9" x14ac:dyDescent="0.25">
      <c r="A2056" t="s">
        <v>1843</v>
      </c>
      <c r="B2056" t="s">
        <v>13</v>
      </c>
      <c r="C2056">
        <v>5.95</v>
      </c>
      <c r="D2056">
        <v>6</v>
      </c>
      <c r="E2056" t="s">
        <v>17</v>
      </c>
      <c r="F2056">
        <v>20.34</v>
      </c>
      <c r="G2056">
        <v>25.33</v>
      </c>
      <c r="H2056" t="s">
        <v>17</v>
      </c>
      <c r="I2056" t="str">
        <f>"060985001047"</f>
        <v>060985001047</v>
      </c>
    </row>
    <row r="2057" spans="1:9" x14ac:dyDescent="0.25">
      <c r="A2057" t="s">
        <v>1844</v>
      </c>
      <c r="B2057" t="s">
        <v>13</v>
      </c>
      <c r="C2057">
        <v>18</v>
      </c>
      <c r="D2057">
        <v>19</v>
      </c>
      <c r="E2057" t="s">
        <v>17</v>
      </c>
      <c r="F2057">
        <v>25.89</v>
      </c>
      <c r="G2057">
        <v>23.74</v>
      </c>
      <c r="H2057" t="s">
        <v>17</v>
      </c>
      <c r="I2057" t="str">
        <f>"063255005015"</f>
        <v>063255005015</v>
      </c>
    </row>
    <row r="2058" spans="1:9" x14ac:dyDescent="0.25">
      <c r="A2058" t="s">
        <v>1845</v>
      </c>
      <c r="B2058" t="s">
        <v>13</v>
      </c>
      <c r="C2058">
        <v>56.7</v>
      </c>
      <c r="D2058">
        <v>53.2</v>
      </c>
      <c r="E2058" t="s">
        <v>17</v>
      </c>
      <c r="F2058">
        <v>19.93</v>
      </c>
      <c r="G2058">
        <v>20.39</v>
      </c>
      <c r="H2058" t="s">
        <v>17</v>
      </c>
      <c r="I2058" t="str">
        <f>"060987001071"</f>
        <v>060987001071</v>
      </c>
    </row>
    <row r="2059" spans="1:9" x14ac:dyDescent="0.25">
      <c r="A2059" t="s">
        <v>1846</v>
      </c>
      <c r="B2059" t="s">
        <v>13</v>
      </c>
      <c r="C2059">
        <v>13.8</v>
      </c>
      <c r="D2059">
        <v>14.1</v>
      </c>
      <c r="E2059" t="s">
        <v>17</v>
      </c>
      <c r="F2059">
        <v>14.06</v>
      </c>
      <c r="G2059">
        <v>16.239999999999998</v>
      </c>
      <c r="H2059" t="s">
        <v>17</v>
      </c>
      <c r="I2059" t="str">
        <f>"064200006876"</f>
        <v>064200006876</v>
      </c>
    </row>
    <row r="2060" spans="1:9" x14ac:dyDescent="0.25">
      <c r="A2060" t="s">
        <v>1847</v>
      </c>
      <c r="B2060" t="s">
        <v>13</v>
      </c>
      <c r="C2060">
        <v>31.5</v>
      </c>
      <c r="D2060">
        <v>29.2</v>
      </c>
      <c r="E2060" t="s">
        <v>17</v>
      </c>
      <c r="F2060">
        <v>25.24</v>
      </c>
      <c r="G2060">
        <v>26.13</v>
      </c>
      <c r="H2060" t="s">
        <v>17</v>
      </c>
      <c r="I2060" t="str">
        <f>"060987001072"</f>
        <v>060987001072</v>
      </c>
    </row>
    <row r="2061" spans="1:9" x14ac:dyDescent="0.25">
      <c r="A2061" t="s">
        <v>1848</v>
      </c>
      <c r="B2061" t="s">
        <v>13</v>
      </c>
      <c r="C2061" t="s">
        <v>17</v>
      </c>
      <c r="D2061" t="s">
        <v>14</v>
      </c>
      <c r="E2061" t="s">
        <v>14</v>
      </c>
      <c r="F2061" t="s">
        <v>17</v>
      </c>
      <c r="G2061" t="s">
        <v>14</v>
      </c>
      <c r="H2061" t="s">
        <v>14</v>
      </c>
      <c r="I2061" t="str">
        <f>"060987013204"</f>
        <v>060987013204</v>
      </c>
    </row>
    <row r="2062" spans="1:9" x14ac:dyDescent="0.25">
      <c r="A2062" t="s">
        <v>1849</v>
      </c>
      <c r="B2062" t="s">
        <v>13</v>
      </c>
      <c r="C2062">
        <v>37</v>
      </c>
      <c r="D2062">
        <v>35</v>
      </c>
      <c r="E2062" t="s">
        <v>17</v>
      </c>
      <c r="F2062">
        <v>24.78</v>
      </c>
      <c r="G2062">
        <v>26.31</v>
      </c>
      <c r="H2062" t="s">
        <v>17</v>
      </c>
      <c r="I2062" t="str">
        <f>"060987001070"</f>
        <v>060987001070</v>
      </c>
    </row>
    <row r="2063" spans="1:9" x14ac:dyDescent="0.25">
      <c r="A2063" t="s">
        <v>1850</v>
      </c>
      <c r="B2063" t="s">
        <v>13</v>
      </c>
      <c r="C2063">
        <v>27.75</v>
      </c>
      <c r="D2063">
        <v>29.5</v>
      </c>
      <c r="E2063" t="s">
        <v>17</v>
      </c>
      <c r="F2063">
        <v>24.29</v>
      </c>
      <c r="G2063">
        <v>24.98</v>
      </c>
      <c r="H2063" t="s">
        <v>17</v>
      </c>
      <c r="I2063" t="str">
        <f>"060985001050"</f>
        <v>060985001050</v>
      </c>
    </row>
    <row r="2064" spans="1:9" x14ac:dyDescent="0.25">
      <c r="A2064" t="s">
        <v>1851</v>
      </c>
      <c r="B2064" t="s">
        <v>13</v>
      </c>
      <c r="C2064">
        <v>36.380000000000003</v>
      </c>
      <c r="D2064">
        <v>38.799999999999997</v>
      </c>
      <c r="E2064" t="s">
        <v>17</v>
      </c>
      <c r="F2064">
        <v>21.5</v>
      </c>
      <c r="G2064">
        <v>21.57</v>
      </c>
      <c r="H2064" t="s">
        <v>17</v>
      </c>
      <c r="I2064" t="str">
        <f>"063432005437"</f>
        <v>063432005437</v>
      </c>
    </row>
    <row r="2065" spans="1:9" x14ac:dyDescent="0.25">
      <c r="A2065" t="s">
        <v>1852</v>
      </c>
      <c r="B2065" t="s">
        <v>13</v>
      </c>
      <c r="C2065">
        <v>18</v>
      </c>
      <c r="D2065">
        <v>18</v>
      </c>
      <c r="E2065" t="s">
        <v>17</v>
      </c>
      <c r="F2065">
        <v>26.78</v>
      </c>
      <c r="G2065">
        <v>27.44</v>
      </c>
      <c r="H2065" t="s">
        <v>17</v>
      </c>
      <c r="I2065" t="str">
        <f>"061209001348"</f>
        <v>061209001348</v>
      </c>
    </row>
    <row r="2066" spans="1:9" x14ac:dyDescent="0.25">
      <c r="A2066" t="s">
        <v>1853</v>
      </c>
      <c r="B2066" t="s">
        <v>13</v>
      </c>
      <c r="C2066">
        <v>27.6</v>
      </c>
      <c r="D2066">
        <v>30.54</v>
      </c>
      <c r="E2066" t="s">
        <v>17</v>
      </c>
      <c r="F2066">
        <v>13.99</v>
      </c>
      <c r="G2066">
        <v>12.61</v>
      </c>
      <c r="H2066" t="s">
        <v>17</v>
      </c>
      <c r="I2066" t="str">
        <f>"063147004881"</f>
        <v>063147004881</v>
      </c>
    </row>
    <row r="2067" spans="1:9" x14ac:dyDescent="0.25">
      <c r="A2067" t="s">
        <v>1854</v>
      </c>
      <c r="B2067" t="s">
        <v>13</v>
      </c>
      <c r="C2067">
        <v>27</v>
      </c>
      <c r="D2067">
        <v>30</v>
      </c>
      <c r="E2067" t="s">
        <v>17</v>
      </c>
      <c r="F2067">
        <v>28.78</v>
      </c>
      <c r="G2067">
        <v>25.83</v>
      </c>
      <c r="H2067" t="s">
        <v>17</v>
      </c>
      <c r="I2067" t="str">
        <f>"063132011672"</f>
        <v>063132011672</v>
      </c>
    </row>
    <row r="2068" spans="1:9" x14ac:dyDescent="0.25">
      <c r="A2068" t="s">
        <v>1855</v>
      </c>
      <c r="B2068" t="s">
        <v>13</v>
      </c>
      <c r="C2068">
        <v>28.04</v>
      </c>
      <c r="D2068">
        <v>27.48</v>
      </c>
      <c r="E2068" t="s">
        <v>17</v>
      </c>
      <c r="F2068">
        <v>23.43</v>
      </c>
      <c r="G2068">
        <v>23.07</v>
      </c>
      <c r="H2068" t="s">
        <v>17</v>
      </c>
      <c r="I2068" t="str">
        <f>"063471005848"</f>
        <v>063471005848</v>
      </c>
    </row>
    <row r="2069" spans="1:9" x14ac:dyDescent="0.25">
      <c r="A2069" t="s">
        <v>1856</v>
      </c>
      <c r="B2069" t="s">
        <v>13</v>
      </c>
      <c r="C2069">
        <v>35</v>
      </c>
      <c r="D2069">
        <v>37</v>
      </c>
      <c r="E2069" t="s">
        <v>17</v>
      </c>
      <c r="F2069">
        <v>23.71</v>
      </c>
      <c r="G2069">
        <v>24.08</v>
      </c>
      <c r="H2069" t="s">
        <v>17</v>
      </c>
      <c r="I2069" t="str">
        <f>"062769002145"</f>
        <v>062769002145</v>
      </c>
    </row>
    <row r="2070" spans="1:9" x14ac:dyDescent="0.25">
      <c r="A2070" t="s">
        <v>1857</v>
      </c>
      <c r="B2070" t="s">
        <v>13</v>
      </c>
      <c r="C2070">
        <v>66.599999999999994</v>
      </c>
      <c r="D2070">
        <v>66.5</v>
      </c>
      <c r="E2070" t="s">
        <v>17</v>
      </c>
      <c r="F2070">
        <v>25.8</v>
      </c>
      <c r="G2070">
        <v>25.46</v>
      </c>
      <c r="H2070" t="s">
        <v>17</v>
      </c>
      <c r="I2070" t="str">
        <f>"062724004110"</f>
        <v>062724004110</v>
      </c>
    </row>
    <row r="2071" spans="1:9" x14ac:dyDescent="0.25">
      <c r="A2071" t="s">
        <v>1858</v>
      </c>
      <c r="B2071" t="s">
        <v>13</v>
      </c>
      <c r="C2071">
        <v>30.67</v>
      </c>
      <c r="D2071">
        <v>33.5</v>
      </c>
      <c r="E2071" t="s">
        <v>17</v>
      </c>
      <c r="F2071">
        <v>19.239999999999998</v>
      </c>
      <c r="G2071">
        <v>17.52</v>
      </c>
      <c r="H2071" t="s">
        <v>17</v>
      </c>
      <c r="I2071" t="str">
        <f>"063186004915"</f>
        <v>063186004915</v>
      </c>
    </row>
    <row r="2072" spans="1:9" x14ac:dyDescent="0.25">
      <c r="A2072" t="s">
        <v>1859</v>
      </c>
      <c r="B2072" t="s">
        <v>13</v>
      </c>
      <c r="C2072">
        <v>5.9</v>
      </c>
      <c r="D2072">
        <v>7.5</v>
      </c>
      <c r="E2072" t="s">
        <v>17</v>
      </c>
      <c r="F2072">
        <v>18.98</v>
      </c>
      <c r="G2072">
        <v>14.8</v>
      </c>
      <c r="H2072" t="s">
        <v>17</v>
      </c>
      <c r="I2072" t="str">
        <f>"063560006064"</f>
        <v>063560006064</v>
      </c>
    </row>
    <row r="2073" spans="1:9" x14ac:dyDescent="0.25">
      <c r="A2073" t="s">
        <v>1860</v>
      </c>
      <c r="B2073" t="s">
        <v>13</v>
      </c>
      <c r="C2073">
        <v>79.47</v>
      </c>
      <c r="D2073">
        <v>74.400000000000006</v>
      </c>
      <c r="E2073" t="s">
        <v>17</v>
      </c>
      <c r="F2073">
        <v>22.93</v>
      </c>
      <c r="G2073">
        <v>22.78</v>
      </c>
      <c r="H2073" t="s">
        <v>17</v>
      </c>
      <c r="I2073" t="str">
        <f>"061233012274"</f>
        <v>061233012274</v>
      </c>
    </row>
    <row r="2074" spans="1:9" x14ac:dyDescent="0.25">
      <c r="A2074" t="s">
        <v>1861</v>
      </c>
      <c r="B2074" t="s">
        <v>13</v>
      </c>
      <c r="C2074">
        <v>20</v>
      </c>
      <c r="D2074">
        <v>20</v>
      </c>
      <c r="E2074" t="s">
        <v>17</v>
      </c>
      <c r="F2074">
        <v>25.25</v>
      </c>
      <c r="G2074">
        <v>25.55</v>
      </c>
      <c r="H2074" t="s">
        <v>17</v>
      </c>
      <c r="I2074" t="str">
        <f>"061233001394"</f>
        <v>061233001394</v>
      </c>
    </row>
    <row r="2075" spans="1:9" x14ac:dyDescent="0.25">
      <c r="A2075" t="s">
        <v>1862</v>
      </c>
      <c r="B2075" t="s">
        <v>13</v>
      </c>
      <c r="C2075">
        <v>11.27</v>
      </c>
      <c r="D2075">
        <v>18.899999999999999</v>
      </c>
      <c r="E2075" t="s">
        <v>17</v>
      </c>
      <c r="F2075">
        <v>27.06</v>
      </c>
      <c r="G2075">
        <v>17.62</v>
      </c>
      <c r="H2075" t="s">
        <v>17</v>
      </c>
      <c r="I2075" t="str">
        <f>"063462005765"</f>
        <v>063462005765</v>
      </c>
    </row>
    <row r="2076" spans="1:9" x14ac:dyDescent="0.25">
      <c r="A2076" t="s">
        <v>1863</v>
      </c>
      <c r="B2076" t="s">
        <v>13</v>
      </c>
      <c r="C2076">
        <v>25.22</v>
      </c>
      <c r="D2076">
        <v>24.5</v>
      </c>
      <c r="E2076" t="s">
        <v>17</v>
      </c>
      <c r="F2076">
        <v>22.52</v>
      </c>
      <c r="G2076">
        <v>22.04</v>
      </c>
      <c r="H2076" t="s">
        <v>17</v>
      </c>
      <c r="I2076" t="str">
        <f>"063093007330"</f>
        <v>063093007330</v>
      </c>
    </row>
    <row r="2077" spans="1:9" x14ac:dyDescent="0.25">
      <c r="A2077" t="s">
        <v>1864</v>
      </c>
      <c r="B2077" t="s">
        <v>13</v>
      </c>
      <c r="C2077">
        <v>36</v>
      </c>
      <c r="D2077">
        <v>37</v>
      </c>
      <c r="E2077" t="s">
        <v>17</v>
      </c>
      <c r="F2077">
        <v>25.33</v>
      </c>
      <c r="G2077">
        <v>23.86</v>
      </c>
      <c r="H2077" t="s">
        <v>17</v>
      </c>
      <c r="I2077" t="str">
        <f>"060002710587"</f>
        <v>060002710587</v>
      </c>
    </row>
    <row r="2078" spans="1:9" x14ac:dyDescent="0.25">
      <c r="A2078" t="s">
        <v>1865</v>
      </c>
      <c r="B2078" t="s">
        <v>13</v>
      </c>
      <c r="C2078" t="s">
        <v>17</v>
      </c>
      <c r="D2078" t="s">
        <v>17</v>
      </c>
      <c r="E2078" t="s">
        <v>17</v>
      </c>
      <c r="F2078" t="s">
        <v>17</v>
      </c>
      <c r="G2078" t="s">
        <v>17</v>
      </c>
      <c r="H2078" t="s">
        <v>17</v>
      </c>
      <c r="I2078" t="str">
        <f>"060999011466"</f>
        <v>060999011466</v>
      </c>
    </row>
    <row r="2079" spans="1:9" x14ac:dyDescent="0.25">
      <c r="A2079" t="s">
        <v>1865</v>
      </c>
      <c r="B2079" t="s">
        <v>13</v>
      </c>
      <c r="C2079">
        <v>2</v>
      </c>
      <c r="D2079">
        <v>1</v>
      </c>
      <c r="E2079" t="s">
        <v>17</v>
      </c>
      <c r="F2079">
        <v>5</v>
      </c>
      <c r="G2079">
        <v>10</v>
      </c>
      <c r="H2079" t="s">
        <v>17</v>
      </c>
      <c r="I2079" t="str">
        <f>"062610007309"</f>
        <v>062610007309</v>
      </c>
    </row>
    <row r="2080" spans="1:9" x14ac:dyDescent="0.25">
      <c r="A2080" t="s">
        <v>1866</v>
      </c>
      <c r="B2080" t="s">
        <v>13</v>
      </c>
      <c r="C2080">
        <v>6.3</v>
      </c>
      <c r="D2080">
        <v>3.05</v>
      </c>
      <c r="E2080" t="s">
        <v>17</v>
      </c>
      <c r="F2080">
        <v>24.13</v>
      </c>
      <c r="G2080">
        <v>42.3</v>
      </c>
      <c r="H2080" t="s">
        <v>17</v>
      </c>
      <c r="I2080" t="str">
        <f>"060999012647"</f>
        <v>060999012647</v>
      </c>
    </row>
    <row r="2081" spans="1:9" x14ac:dyDescent="0.25">
      <c r="A2081" t="s">
        <v>1867</v>
      </c>
      <c r="B2081" t="s">
        <v>13</v>
      </c>
      <c r="C2081">
        <v>24</v>
      </c>
      <c r="D2081">
        <v>26</v>
      </c>
      <c r="E2081" t="s">
        <v>17</v>
      </c>
      <c r="F2081">
        <v>29.79</v>
      </c>
      <c r="G2081">
        <v>27</v>
      </c>
      <c r="H2081" t="s">
        <v>17</v>
      </c>
      <c r="I2081" t="str">
        <f>"064116011824"</f>
        <v>064116011824</v>
      </c>
    </row>
    <row r="2082" spans="1:9" x14ac:dyDescent="0.25">
      <c r="A2082" t="s">
        <v>1868</v>
      </c>
      <c r="B2082" t="s">
        <v>13</v>
      </c>
      <c r="C2082">
        <v>19</v>
      </c>
      <c r="D2082">
        <v>23</v>
      </c>
      <c r="E2082" t="s">
        <v>17</v>
      </c>
      <c r="F2082">
        <v>26.74</v>
      </c>
      <c r="G2082">
        <v>26.04</v>
      </c>
      <c r="H2082" t="s">
        <v>17</v>
      </c>
      <c r="I2082" t="str">
        <f>"064212010141"</f>
        <v>064212010141</v>
      </c>
    </row>
    <row r="2083" spans="1:9" x14ac:dyDescent="0.25">
      <c r="A2083" t="s">
        <v>1868</v>
      </c>
      <c r="B2083" t="s">
        <v>13</v>
      </c>
      <c r="C2083">
        <v>11</v>
      </c>
      <c r="D2083">
        <v>11.6</v>
      </c>
      <c r="E2083" t="s">
        <v>17</v>
      </c>
      <c r="F2083">
        <v>21.36</v>
      </c>
      <c r="G2083">
        <v>21.55</v>
      </c>
      <c r="H2083" t="s">
        <v>17</v>
      </c>
      <c r="I2083" t="str">
        <f>"061692002150"</f>
        <v>061692002150</v>
      </c>
    </row>
    <row r="2084" spans="1:9" x14ac:dyDescent="0.25">
      <c r="A2084" t="s">
        <v>1868</v>
      </c>
      <c r="B2084" t="s">
        <v>13</v>
      </c>
      <c r="C2084">
        <v>29</v>
      </c>
      <c r="D2084">
        <v>29</v>
      </c>
      <c r="E2084" t="s">
        <v>17</v>
      </c>
      <c r="F2084">
        <v>28.34</v>
      </c>
      <c r="G2084">
        <v>30.41</v>
      </c>
      <c r="H2084" t="s">
        <v>17</v>
      </c>
      <c r="I2084" t="str">
        <f>"060001409081"</f>
        <v>060001409081</v>
      </c>
    </row>
    <row r="2085" spans="1:9" x14ac:dyDescent="0.25">
      <c r="A2085" t="s">
        <v>1869</v>
      </c>
      <c r="B2085" t="s">
        <v>13</v>
      </c>
      <c r="C2085">
        <v>1</v>
      </c>
      <c r="D2085" t="s">
        <v>17</v>
      </c>
      <c r="E2085" t="s">
        <v>17</v>
      </c>
      <c r="F2085">
        <v>2</v>
      </c>
      <c r="G2085" t="s">
        <v>17</v>
      </c>
      <c r="H2085" t="s">
        <v>17</v>
      </c>
      <c r="I2085" t="str">
        <f>"060011611163"</f>
        <v>060011611163</v>
      </c>
    </row>
    <row r="2086" spans="1:9" x14ac:dyDescent="0.25">
      <c r="A2086" t="s">
        <v>1870</v>
      </c>
      <c r="B2086" t="s">
        <v>13</v>
      </c>
      <c r="C2086">
        <v>1</v>
      </c>
      <c r="D2086">
        <v>1</v>
      </c>
      <c r="E2086" t="s">
        <v>17</v>
      </c>
      <c r="F2086">
        <v>4</v>
      </c>
      <c r="G2086">
        <v>1</v>
      </c>
      <c r="H2086" t="s">
        <v>17</v>
      </c>
      <c r="I2086" t="str">
        <f>"062394009576"</f>
        <v>062394009576</v>
      </c>
    </row>
    <row r="2087" spans="1:9" x14ac:dyDescent="0.25">
      <c r="A2087" t="s">
        <v>1871</v>
      </c>
      <c r="B2087" t="s">
        <v>13</v>
      </c>
      <c r="C2087" t="s">
        <v>14</v>
      </c>
      <c r="D2087" t="s">
        <v>14</v>
      </c>
      <c r="E2087" t="s">
        <v>17</v>
      </c>
      <c r="F2087" t="s">
        <v>14</v>
      </c>
      <c r="G2087" t="s">
        <v>14</v>
      </c>
      <c r="H2087" t="s">
        <v>17</v>
      </c>
      <c r="I2087" t="str">
        <f>"062394003599"</f>
        <v>062394003599</v>
      </c>
    </row>
    <row r="2088" spans="1:9" x14ac:dyDescent="0.25">
      <c r="A2088" t="s">
        <v>1872</v>
      </c>
      <c r="B2088" t="s">
        <v>13</v>
      </c>
      <c r="C2088">
        <v>26.1</v>
      </c>
      <c r="D2088">
        <v>28.04</v>
      </c>
      <c r="E2088" t="s">
        <v>17</v>
      </c>
      <c r="F2088">
        <v>20.73</v>
      </c>
      <c r="G2088">
        <v>20.61</v>
      </c>
      <c r="H2088" t="s">
        <v>17</v>
      </c>
      <c r="I2088" t="str">
        <f>"063513005945"</f>
        <v>063513005945</v>
      </c>
    </row>
    <row r="2089" spans="1:9" x14ac:dyDescent="0.25">
      <c r="A2089" t="s">
        <v>1873</v>
      </c>
      <c r="B2089" t="s">
        <v>13</v>
      </c>
      <c r="C2089">
        <v>9.9</v>
      </c>
      <c r="D2089">
        <v>9.5</v>
      </c>
      <c r="E2089" t="s">
        <v>17</v>
      </c>
      <c r="F2089">
        <v>20</v>
      </c>
      <c r="G2089">
        <v>19.260000000000002</v>
      </c>
      <c r="H2089" t="s">
        <v>17</v>
      </c>
      <c r="I2089" t="str">
        <f>"064059006698"</f>
        <v>064059006698</v>
      </c>
    </row>
    <row r="2090" spans="1:9" x14ac:dyDescent="0.25">
      <c r="A2090" t="s">
        <v>1874</v>
      </c>
      <c r="B2090" t="s">
        <v>13</v>
      </c>
      <c r="C2090">
        <v>33.270000000000003</v>
      </c>
      <c r="D2090">
        <v>31.8</v>
      </c>
      <c r="E2090" t="s">
        <v>17</v>
      </c>
      <c r="F2090">
        <v>22.21</v>
      </c>
      <c r="G2090">
        <v>21.79</v>
      </c>
      <c r="H2090" t="s">
        <v>17</v>
      </c>
      <c r="I2090" t="str">
        <f>"062577003853"</f>
        <v>062577003853</v>
      </c>
    </row>
    <row r="2091" spans="1:9" x14ac:dyDescent="0.25">
      <c r="A2091" t="s">
        <v>1875</v>
      </c>
      <c r="B2091" t="s">
        <v>13</v>
      </c>
      <c r="C2091">
        <v>22.15</v>
      </c>
      <c r="D2091">
        <v>22.83</v>
      </c>
      <c r="E2091" t="s">
        <v>17</v>
      </c>
      <c r="F2091">
        <v>25.37</v>
      </c>
      <c r="G2091">
        <v>25.05</v>
      </c>
      <c r="H2091" t="s">
        <v>17</v>
      </c>
      <c r="I2091" t="str">
        <f>"060846003822"</f>
        <v>060846003822</v>
      </c>
    </row>
    <row r="2092" spans="1:9" x14ac:dyDescent="0.25">
      <c r="A2092" t="s">
        <v>1876</v>
      </c>
      <c r="B2092" t="s">
        <v>13</v>
      </c>
      <c r="C2092">
        <v>2.02</v>
      </c>
      <c r="D2092">
        <v>2</v>
      </c>
      <c r="E2092" t="s">
        <v>17</v>
      </c>
      <c r="F2092">
        <v>15.35</v>
      </c>
      <c r="G2092">
        <v>11</v>
      </c>
      <c r="H2092" t="s">
        <v>17</v>
      </c>
      <c r="I2092" t="str">
        <f>"063993011528"</f>
        <v>063993011528</v>
      </c>
    </row>
    <row r="2093" spans="1:9" x14ac:dyDescent="0.25">
      <c r="A2093" t="s">
        <v>1877</v>
      </c>
      <c r="B2093" t="s">
        <v>13</v>
      </c>
      <c r="C2093">
        <v>20.65</v>
      </c>
      <c r="D2093">
        <v>25.2</v>
      </c>
      <c r="E2093" t="s">
        <v>17</v>
      </c>
      <c r="F2093">
        <v>12.4</v>
      </c>
      <c r="G2093">
        <v>11.9</v>
      </c>
      <c r="H2093" t="s">
        <v>17</v>
      </c>
      <c r="I2093" t="str">
        <f>"069103507782"</f>
        <v>069103507782</v>
      </c>
    </row>
    <row r="2094" spans="1:9" x14ac:dyDescent="0.25">
      <c r="A2094" t="s">
        <v>1877</v>
      </c>
      <c r="B2094" t="s">
        <v>13</v>
      </c>
      <c r="C2094">
        <v>11.95</v>
      </c>
      <c r="D2094">
        <v>10.9</v>
      </c>
      <c r="E2094" t="s">
        <v>17</v>
      </c>
      <c r="F2094">
        <v>10.88</v>
      </c>
      <c r="G2094">
        <v>9.4499999999999993</v>
      </c>
      <c r="H2094" t="s">
        <v>17</v>
      </c>
      <c r="I2094" t="str">
        <f>"069100109474"</f>
        <v>069100109474</v>
      </c>
    </row>
    <row r="2095" spans="1:9" x14ac:dyDescent="0.25">
      <c r="A2095" t="s">
        <v>1877</v>
      </c>
      <c r="B2095" t="s">
        <v>13</v>
      </c>
      <c r="C2095">
        <v>1</v>
      </c>
      <c r="D2095" t="s">
        <v>17</v>
      </c>
      <c r="E2095" t="s">
        <v>17</v>
      </c>
      <c r="F2095">
        <v>3</v>
      </c>
      <c r="G2095" t="s">
        <v>17</v>
      </c>
      <c r="H2095" t="s">
        <v>17</v>
      </c>
      <c r="I2095" t="str">
        <f>"069100612669"</f>
        <v>069100612669</v>
      </c>
    </row>
    <row r="2096" spans="1:9" x14ac:dyDescent="0.25">
      <c r="A2096" t="s">
        <v>1878</v>
      </c>
      <c r="B2096" t="s">
        <v>13</v>
      </c>
      <c r="C2096">
        <v>27.5</v>
      </c>
      <c r="D2096">
        <v>23.5</v>
      </c>
      <c r="E2096" t="s">
        <v>17</v>
      </c>
      <c r="F2096">
        <v>26.98</v>
      </c>
      <c r="G2096">
        <v>27.45</v>
      </c>
      <c r="H2096" t="s">
        <v>17</v>
      </c>
      <c r="I2096" t="str">
        <f>"061422001622"</f>
        <v>061422001622</v>
      </c>
    </row>
    <row r="2097" spans="1:9" x14ac:dyDescent="0.25">
      <c r="A2097" t="s">
        <v>1879</v>
      </c>
      <c r="B2097" t="s">
        <v>13</v>
      </c>
      <c r="C2097">
        <v>19.8</v>
      </c>
      <c r="D2097">
        <v>21</v>
      </c>
      <c r="E2097" t="s">
        <v>17</v>
      </c>
      <c r="F2097">
        <v>25.51</v>
      </c>
      <c r="G2097">
        <v>24.48</v>
      </c>
      <c r="H2097" t="s">
        <v>17</v>
      </c>
      <c r="I2097" t="str">
        <f>"062409003632"</f>
        <v>062409003632</v>
      </c>
    </row>
    <row r="2098" spans="1:9" x14ac:dyDescent="0.25">
      <c r="A2098" t="s">
        <v>1880</v>
      </c>
      <c r="B2098" t="s">
        <v>13</v>
      </c>
      <c r="C2098">
        <v>53.5</v>
      </c>
      <c r="D2098">
        <v>53.1</v>
      </c>
      <c r="E2098" t="s">
        <v>17</v>
      </c>
      <c r="F2098">
        <v>26.11</v>
      </c>
      <c r="G2098">
        <v>27.27</v>
      </c>
      <c r="H2098" t="s">
        <v>17</v>
      </c>
      <c r="I2098" t="str">
        <f>"061005001093"</f>
        <v>061005001093</v>
      </c>
    </row>
    <row r="2099" spans="1:9" x14ac:dyDescent="0.25">
      <c r="A2099" t="s">
        <v>1881</v>
      </c>
      <c r="B2099" t="s">
        <v>13</v>
      </c>
      <c r="C2099">
        <v>24.11</v>
      </c>
      <c r="D2099">
        <v>21.99</v>
      </c>
      <c r="E2099" t="s">
        <v>17</v>
      </c>
      <c r="F2099">
        <v>20.74</v>
      </c>
      <c r="G2099">
        <v>22.69</v>
      </c>
      <c r="H2099" t="s">
        <v>17</v>
      </c>
      <c r="I2099" t="str">
        <f>"062265011202"</f>
        <v>062265011202</v>
      </c>
    </row>
    <row r="2100" spans="1:9" x14ac:dyDescent="0.25">
      <c r="A2100" t="s">
        <v>1882</v>
      </c>
      <c r="B2100" t="s">
        <v>13</v>
      </c>
      <c r="C2100">
        <v>12</v>
      </c>
      <c r="D2100">
        <v>14</v>
      </c>
      <c r="E2100" t="s">
        <v>17</v>
      </c>
      <c r="F2100">
        <v>25.5</v>
      </c>
      <c r="G2100">
        <v>23.64</v>
      </c>
      <c r="H2100" t="s">
        <v>17</v>
      </c>
      <c r="I2100" t="str">
        <f>"062271002940"</f>
        <v>062271002940</v>
      </c>
    </row>
    <row r="2101" spans="1:9" x14ac:dyDescent="0.25">
      <c r="A2101" t="s">
        <v>1883</v>
      </c>
      <c r="B2101" t="s">
        <v>13</v>
      </c>
      <c r="C2101">
        <v>27.5</v>
      </c>
      <c r="D2101">
        <v>26.5</v>
      </c>
      <c r="E2101" t="s">
        <v>17</v>
      </c>
      <c r="F2101">
        <v>26.33</v>
      </c>
      <c r="G2101">
        <v>26.19</v>
      </c>
      <c r="H2101" t="s">
        <v>17</v>
      </c>
      <c r="I2101" t="str">
        <f>"061422001623"</f>
        <v>061422001623</v>
      </c>
    </row>
    <row r="2102" spans="1:9" x14ac:dyDescent="0.25">
      <c r="A2102" t="s">
        <v>1884</v>
      </c>
      <c r="B2102" t="s">
        <v>13</v>
      </c>
      <c r="C2102">
        <v>25</v>
      </c>
      <c r="D2102">
        <v>25</v>
      </c>
      <c r="E2102" t="s">
        <v>17</v>
      </c>
      <c r="F2102">
        <v>22.64</v>
      </c>
      <c r="G2102">
        <v>22</v>
      </c>
      <c r="H2102" t="s">
        <v>17</v>
      </c>
      <c r="I2102" t="str">
        <f>"069105104257"</f>
        <v>069105104257</v>
      </c>
    </row>
    <row r="2103" spans="1:9" x14ac:dyDescent="0.25">
      <c r="A2103" t="s">
        <v>1885</v>
      </c>
      <c r="B2103" t="s">
        <v>13</v>
      </c>
      <c r="C2103">
        <v>1.06</v>
      </c>
      <c r="D2103">
        <v>1.5</v>
      </c>
      <c r="E2103" t="s">
        <v>17</v>
      </c>
      <c r="F2103">
        <v>9.43</v>
      </c>
      <c r="G2103">
        <v>8</v>
      </c>
      <c r="H2103" t="s">
        <v>17</v>
      </c>
      <c r="I2103" t="str">
        <f>"061008001109"</f>
        <v>061008001109</v>
      </c>
    </row>
    <row r="2104" spans="1:9" x14ac:dyDescent="0.25">
      <c r="A2104" t="s">
        <v>1886</v>
      </c>
      <c r="B2104" t="s">
        <v>13</v>
      </c>
      <c r="C2104">
        <v>19</v>
      </c>
      <c r="D2104">
        <v>21</v>
      </c>
      <c r="E2104" t="s">
        <v>17</v>
      </c>
      <c r="F2104">
        <v>29.26</v>
      </c>
      <c r="G2104">
        <v>27.76</v>
      </c>
      <c r="H2104" t="s">
        <v>17</v>
      </c>
      <c r="I2104" t="str">
        <f>"060903008811"</f>
        <v>060903008811</v>
      </c>
    </row>
    <row r="2105" spans="1:9" x14ac:dyDescent="0.25">
      <c r="A2105" t="s">
        <v>1887</v>
      </c>
      <c r="B2105" t="s">
        <v>13</v>
      </c>
      <c r="C2105">
        <v>16.93</v>
      </c>
      <c r="D2105">
        <v>19.3</v>
      </c>
      <c r="E2105" t="s">
        <v>17</v>
      </c>
      <c r="F2105">
        <v>23.69</v>
      </c>
      <c r="G2105">
        <v>20.98</v>
      </c>
      <c r="H2105" t="s">
        <v>17</v>
      </c>
      <c r="I2105" t="str">
        <f>"063462005767"</f>
        <v>063462005767</v>
      </c>
    </row>
    <row r="2106" spans="1:9" x14ac:dyDescent="0.25">
      <c r="A2106" t="s">
        <v>1888</v>
      </c>
      <c r="B2106" t="s">
        <v>13</v>
      </c>
      <c r="C2106">
        <v>27</v>
      </c>
      <c r="D2106">
        <v>25.9</v>
      </c>
      <c r="E2106" t="s">
        <v>17</v>
      </c>
      <c r="F2106">
        <v>28.59</v>
      </c>
      <c r="G2106">
        <v>29.85</v>
      </c>
      <c r="H2106" t="s">
        <v>17</v>
      </c>
      <c r="I2106" t="str">
        <f>"060795009122"</f>
        <v>060795009122</v>
      </c>
    </row>
    <row r="2107" spans="1:9" x14ac:dyDescent="0.25">
      <c r="A2107" t="s">
        <v>1889</v>
      </c>
      <c r="B2107" t="s">
        <v>13</v>
      </c>
      <c r="C2107">
        <v>46.6</v>
      </c>
      <c r="D2107">
        <v>41.73</v>
      </c>
      <c r="E2107" t="s">
        <v>17</v>
      </c>
      <c r="F2107">
        <v>22.32</v>
      </c>
      <c r="G2107">
        <v>22.67</v>
      </c>
      <c r="H2107" t="s">
        <v>17</v>
      </c>
      <c r="I2107" t="str">
        <f>"063513008461"</f>
        <v>063513008461</v>
      </c>
    </row>
    <row r="2108" spans="1:9" x14ac:dyDescent="0.25">
      <c r="A2108" t="s">
        <v>1890</v>
      </c>
      <c r="B2108" t="s">
        <v>13</v>
      </c>
      <c r="C2108">
        <v>36</v>
      </c>
      <c r="D2108">
        <v>39.200000000000003</v>
      </c>
      <c r="E2108" t="s">
        <v>17</v>
      </c>
      <c r="F2108">
        <v>24.92</v>
      </c>
      <c r="G2108">
        <v>23.65</v>
      </c>
      <c r="H2108" t="s">
        <v>17</v>
      </c>
      <c r="I2108" t="str">
        <f>"061149010574"</f>
        <v>061149010574</v>
      </c>
    </row>
    <row r="2109" spans="1:9" x14ac:dyDescent="0.25">
      <c r="A2109" t="s">
        <v>1891</v>
      </c>
      <c r="B2109" t="s">
        <v>13</v>
      </c>
      <c r="C2109">
        <v>9.3000000000000007</v>
      </c>
      <c r="D2109">
        <v>21</v>
      </c>
      <c r="E2109" t="s">
        <v>17</v>
      </c>
      <c r="F2109">
        <v>50.43</v>
      </c>
      <c r="G2109">
        <v>22.29</v>
      </c>
      <c r="H2109" t="s">
        <v>17</v>
      </c>
      <c r="I2109" t="str">
        <f>"062475000437"</f>
        <v>062475000437</v>
      </c>
    </row>
    <row r="2110" spans="1:9" x14ac:dyDescent="0.25">
      <c r="A2110" t="s">
        <v>1892</v>
      </c>
      <c r="B2110" t="s">
        <v>13</v>
      </c>
      <c r="C2110">
        <v>23.56</v>
      </c>
      <c r="D2110">
        <v>24.06</v>
      </c>
      <c r="E2110" t="s">
        <v>17</v>
      </c>
      <c r="F2110">
        <v>26.53</v>
      </c>
      <c r="G2110">
        <v>25.39</v>
      </c>
      <c r="H2110" t="s">
        <v>17</v>
      </c>
      <c r="I2110" t="str">
        <f>"063207004933"</f>
        <v>063207004933</v>
      </c>
    </row>
    <row r="2111" spans="1:9" x14ac:dyDescent="0.25">
      <c r="A2111" t="s">
        <v>1893</v>
      </c>
      <c r="B2111" t="s">
        <v>13</v>
      </c>
      <c r="C2111">
        <v>20.53</v>
      </c>
      <c r="D2111">
        <v>20.079999999999998</v>
      </c>
      <c r="E2111" t="s">
        <v>17</v>
      </c>
      <c r="F2111">
        <v>20.260000000000002</v>
      </c>
      <c r="G2111">
        <v>19.12</v>
      </c>
      <c r="H2111" t="s">
        <v>17</v>
      </c>
      <c r="I2111" t="str">
        <f>"060474006895"</f>
        <v>060474006895</v>
      </c>
    </row>
    <row r="2112" spans="1:9" x14ac:dyDescent="0.25">
      <c r="A2112" t="s">
        <v>1894</v>
      </c>
      <c r="B2112" t="s">
        <v>13</v>
      </c>
      <c r="C2112">
        <v>27.5</v>
      </c>
      <c r="D2112">
        <v>27</v>
      </c>
      <c r="E2112" t="s">
        <v>17</v>
      </c>
      <c r="F2112">
        <v>31.09</v>
      </c>
      <c r="G2112">
        <v>30.04</v>
      </c>
      <c r="H2112" t="s">
        <v>17</v>
      </c>
      <c r="I2112" t="str">
        <f>"060444009115"</f>
        <v>060444009115</v>
      </c>
    </row>
    <row r="2113" spans="1:9" x14ac:dyDescent="0.25">
      <c r="A2113" t="s">
        <v>1895</v>
      </c>
      <c r="B2113" t="s">
        <v>13</v>
      </c>
      <c r="C2113">
        <v>26.56</v>
      </c>
      <c r="D2113">
        <v>24.56</v>
      </c>
      <c r="E2113" t="s">
        <v>17</v>
      </c>
      <c r="F2113">
        <v>24.4</v>
      </c>
      <c r="G2113">
        <v>26.18</v>
      </c>
      <c r="H2113" t="s">
        <v>17</v>
      </c>
      <c r="I2113" t="str">
        <f>"063207007269"</f>
        <v>063207007269</v>
      </c>
    </row>
    <row r="2114" spans="1:9" x14ac:dyDescent="0.25">
      <c r="A2114" t="s">
        <v>1896</v>
      </c>
      <c r="B2114" t="s">
        <v>13</v>
      </c>
      <c r="C2114" t="s">
        <v>14</v>
      </c>
      <c r="D2114">
        <v>21.38</v>
      </c>
      <c r="E2114" t="s">
        <v>17</v>
      </c>
      <c r="F2114" t="s">
        <v>17</v>
      </c>
      <c r="G2114">
        <v>16</v>
      </c>
      <c r="H2114" t="s">
        <v>17</v>
      </c>
      <c r="I2114" t="str">
        <f>"063432011150"</f>
        <v>063432011150</v>
      </c>
    </row>
    <row r="2115" spans="1:9" x14ac:dyDescent="0.25">
      <c r="A2115" t="s">
        <v>1897</v>
      </c>
      <c r="B2115" t="s">
        <v>13</v>
      </c>
      <c r="C2115">
        <v>66.81</v>
      </c>
      <c r="D2115">
        <v>17.28</v>
      </c>
      <c r="E2115" t="s">
        <v>17</v>
      </c>
      <c r="F2115">
        <v>18.100000000000001</v>
      </c>
      <c r="G2115">
        <v>17.77</v>
      </c>
      <c r="H2115" t="s">
        <v>17</v>
      </c>
      <c r="I2115" t="str">
        <f>"063432011149"</f>
        <v>063432011149</v>
      </c>
    </row>
    <row r="2116" spans="1:9" x14ac:dyDescent="0.25">
      <c r="A2116" t="s">
        <v>1898</v>
      </c>
      <c r="B2116" t="s">
        <v>13</v>
      </c>
      <c r="C2116" t="s">
        <v>14</v>
      </c>
      <c r="D2116">
        <v>17.309999999999999</v>
      </c>
      <c r="E2116" t="s">
        <v>17</v>
      </c>
      <c r="F2116" t="s">
        <v>17</v>
      </c>
      <c r="G2116">
        <v>18.72</v>
      </c>
      <c r="H2116" t="s">
        <v>17</v>
      </c>
      <c r="I2116" t="str">
        <f>"063432011152"</f>
        <v>063432011152</v>
      </c>
    </row>
    <row r="2117" spans="1:9" x14ac:dyDescent="0.25">
      <c r="A2117" t="s">
        <v>1899</v>
      </c>
      <c r="B2117" t="s">
        <v>13</v>
      </c>
      <c r="C2117" t="s">
        <v>14</v>
      </c>
      <c r="D2117">
        <v>13.51</v>
      </c>
      <c r="E2117" t="s">
        <v>17</v>
      </c>
      <c r="F2117" t="s">
        <v>17</v>
      </c>
      <c r="G2117">
        <v>19.25</v>
      </c>
      <c r="H2117" t="s">
        <v>17</v>
      </c>
      <c r="I2117" t="str">
        <f>"063432011151"</f>
        <v>063432011151</v>
      </c>
    </row>
    <row r="2118" spans="1:9" x14ac:dyDescent="0.25">
      <c r="A2118" t="s">
        <v>1900</v>
      </c>
      <c r="B2118" t="s">
        <v>13</v>
      </c>
      <c r="C2118">
        <v>15</v>
      </c>
      <c r="D2118">
        <v>13.3</v>
      </c>
      <c r="E2118" t="s">
        <v>17</v>
      </c>
      <c r="F2118">
        <v>21.87</v>
      </c>
      <c r="G2118">
        <v>20.6</v>
      </c>
      <c r="H2118" t="s">
        <v>17</v>
      </c>
      <c r="I2118" t="str">
        <f>"063441003982"</f>
        <v>063441003982</v>
      </c>
    </row>
    <row r="2119" spans="1:9" x14ac:dyDescent="0.25">
      <c r="A2119" t="s">
        <v>1901</v>
      </c>
      <c r="B2119" t="s">
        <v>13</v>
      </c>
      <c r="C2119">
        <v>29</v>
      </c>
      <c r="D2119">
        <v>24.07</v>
      </c>
      <c r="E2119" t="s">
        <v>17</v>
      </c>
      <c r="F2119">
        <v>21.76</v>
      </c>
      <c r="G2119">
        <v>25.09</v>
      </c>
      <c r="H2119" t="s">
        <v>17</v>
      </c>
      <c r="I2119" t="str">
        <f>"060133211074"</f>
        <v>060133211074</v>
      </c>
    </row>
    <row r="2120" spans="1:9" x14ac:dyDescent="0.25">
      <c r="A2120" t="s">
        <v>1902</v>
      </c>
      <c r="B2120" t="s">
        <v>13</v>
      </c>
      <c r="C2120">
        <v>54.01</v>
      </c>
      <c r="D2120">
        <v>55</v>
      </c>
      <c r="E2120" t="s">
        <v>17</v>
      </c>
      <c r="F2120">
        <v>17.920000000000002</v>
      </c>
      <c r="G2120">
        <v>18.71</v>
      </c>
      <c r="H2120" t="s">
        <v>17</v>
      </c>
      <c r="I2120" t="str">
        <f>"063432010635"</f>
        <v>063432010635</v>
      </c>
    </row>
    <row r="2121" spans="1:9" x14ac:dyDescent="0.25">
      <c r="A2121" t="s">
        <v>1903</v>
      </c>
      <c r="B2121" t="s">
        <v>13</v>
      </c>
      <c r="C2121">
        <v>3.02</v>
      </c>
      <c r="D2121">
        <v>2.5</v>
      </c>
      <c r="E2121" t="s">
        <v>17</v>
      </c>
      <c r="F2121">
        <v>8.61</v>
      </c>
      <c r="G2121">
        <v>12.4</v>
      </c>
      <c r="H2121" t="s">
        <v>17</v>
      </c>
      <c r="I2121" t="str">
        <f>"062106002530"</f>
        <v>062106002530</v>
      </c>
    </row>
    <row r="2122" spans="1:9" x14ac:dyDescent="0.25">
      <c r="A2122" t="s">
        <v>1904</v>
      </c>
      <c r="B2122" t="s">
        <v>13</v>
      </c>
      <c r="C2122">
        <v>3.81</v>
      </c>
      <c r="D2122">
        <v>4.18</v>
      </c>
      <c r="E2122" t="s">
        <v>14</v>
      </c>
      <c r="F2122">
        <v>21.78</v>
      </c>
      <c r="G2122">
        <v>9.33</v>
      </c>
      <c r="H2122" t="s">
        <v>14</v>
      </c>
      <c r="I2122" t="str">
        <f>"060994012635"</f>
        <v>060994012635</v>
      </c>
    </row>
    <row r="2123" spans="1:9" x14ac:dyDescent="0.25">
      <c r="A2123" t="s">
        <v>1905</v>
      </c>
      <c r="B2123" t="s">
        <v>13</v>
      </c>
      <c r="C2123">
        <v>25</v>
      </c>
      <c r="D2123">
        <v>24</v>
      </c>
      <c r="E2123" t="s">
        <v>17</v>
      </c>
      <c r="F2123">
        <v>26.24</v>
      </c>
      <c r="G2123">
        <v>28.21</v>
      </c>
      <c r="H2123" t="s">
        <v>17</v>
      </c>
      <c r="I2123" t="str">
        <f>"062622008914"</f>
        <v>062622008914</v>
      </c>
    </row>
    <row r="2124" spans="1:9" x14ac:dyDescent="0.25">
      <c r="A2124" t="s">
        <v>1906</v>
      </c>
      <c r="B2124" t="s">
        <v>13</v>
      </c>
      <c r="C2124">
        <v>5.2</v>
      </c>
      <c r="D2124">
        <v>5</v>
      </c>
      <c r="E2124" t="s">
        <v>17</v>
      </c>
      <c r="F2124">
        <v>18.079999999999998</v>
      </c>
      <c r="G2124">
        <v>15</v>
      </c>
      <c r="H2124" t="s">
        <v>17</v>
      </c>
      <c r="I2124" t="str">
        <f>"062712012515"</f>
        <v>062712012515</v>
      </c>
    </row>
    <row r="2125" spans="1:9" x14ac:dyDescent="0.25">
      <c r="A2125" t="s">
        <v>1907</v>
      </c>
      <c r="B2125" t="s">
        <v>13</v>
      </c>
      <c r="C2125">
        <v>7</v>
      </c>
      <c r="D2125">
        <v>9.6</v>
      </c>
      <c r="E2125" t="s">
        <v>17</v>
      </c>
      <c r="F2125">
        <v>26.71</v>
      </c>
      <c r="G2125">
        <v>24.06</v>
      </c>
      <c r="H2125" t="s">
        <v>17</v>
      </c>
      <c r="I2125" t="str">
        <f>"060210010375"</f>
        <v>060210010375</v>
      </c>
    </row>
    <row r="2126" spans="1:9" x14ac:dyDescent="0.25">
      <c r="A2126" t="s">
        <v>1908</v>
      </c>
      <c r="B2126" t="s">
        <v>13</v>
      </c>
      <c r="C2126">
        <v>24</v>
      </c>
      <c r="D2126">
        <v>23</v>
      </c>
      <c r="E2126" t="s">
        <v>17</v>
      </c>
      <c r="F2126">
        <v>28.42</v>
      </c>
      <c r="G2126">
        <v>29.52</v>
      </c>
      <c r="H2126" t="s">
        <v>17</v>
      </c>
      <c r="I2126" t="str">
        <f>"060195007550"</f>
        <v>060195007550</v>
      </c>
    </row>
    <row r="2127" spans="1:9" x14ac:dyDescent="0.25">
      <c r="A2127" t="s">
        <v>1908</v>
      </c>
      <c r="B2127" t="s">
        <v>13</v>
      </c>
      <c r="C2127">
        <v>21.5</v>
      </c>
      <c r="D2127">
        <v>21</v>
      </c>
      <c r="E2127" t="s">
        <v>17</v>
      </c>
      <c r="F2127">
        <v>29.77</v>
      </c>
      <c r="G2127">
        <v>30.29</v>
      </c>
      <c r="H2127" t="s">
        <v>17</v>
      </c>
      <c r="I2127" t="str">
        <f>"063153008598"</f>
        <v>063153008598</v>
      </c>
    </row>
    <row r="2128" spans="1:9" x14ac:dyDescent="0.25">
      <c r="A2128" t="s">
        <v>1908</v>
      </c>
      <c r="B2128" t="s">
        <v>13</v>
      </c>
      <c r="C2128">
        <v>22.5</v>
      </c>
      <c r="D2128">
        <v>23.5</v>
      </c>
      <c r="E2128" t="s">
        <v>17</v>
      </c>
      <c r="F2128">
        <v>29.87</v>
      </c>
      <c r="G2128">
        <v>28.26</v>
      </c>
      <c r="H2128" t="s">
        <v>17</v>
      </c>
      <c r="I2128" t="str">
        <f>"062580009160"</f>
        <v>062580009160</v>
      </c>
    </row>
    <row r="2129" spans="1:9" x14ac:dyDescent="0.25">
      <c r="A2129" t="s">
        <v>1908</v>
      </c>
      <c r="B2129" t="s">
        <v>13</v>
      </c>
      <c r="C2129">
        <v>32.9</v>
      </c>
      <c r="D2129">
        <v>29.1</v>
      </c>
      <c r="E2129" t="s">
        <v>17</v>
      </c>
      <c r="F2129">
        <v>21.34</v>
      </c>
      <c r="G2129">
        <v>21.34</v>
      </c>
      <c r="H2129" t="s">
        <v>17</v>
      </c>
      <c r="I2129" t="str">
        <f>"063513012242"</f>
        <v>063513012242</v>
      </c>
    </row>
    <row r="2130" spans="1:9" x14ac:dyDescent="0.25">
      <c r="A2130" t="s">
        <v>1908</v>
      </c>
      <c r="B2130" t="s">
        <v>13</v>
      </c>
      <c r="C2130">
        <v>21.38</v>
      </c>
      <c r="D2130">
        <v>23</v>
      </c>
      <c r="E2130" t="s">
        <v>17</v>
      </c>
      <c r="F2130">
        <v>25.12</v>
      </c>
      <c r="G2130">
        <v>25.57</v>
      </c>
      <c r="H2130" t="s">
        <v>17</v>
      </c>
      <c r="I2130" t="str">
        <f>"062223008879"</f>
        <v>062223008879</v>
      </c>
    </row>
    <row r="2131" spans="1:9" x14ac:dyDescent="0.25">
      <c r="A2131" t="s">
        <v>1909</v>
      </c>
      <c r="B2131" t="s">
        <v>13</v>
      </c>
      <c r="C2131">
        <v>3</v>
      </c>
      <c r="D2131">
        <v>3.61</v>
      </c>
      <c r="E2131" t="s">
        <v>17</v>
      </c>
      <c r="F2131">
        <v>17</v>
      </c>
      <c r="G2131">
        <v>11.08</v>
      </c>
      <c r="H2131" t="s">
        <v>17</v>
      </c>
      <c r="I2131" t="str">
        <f>"063720002851"</f>
        <v>063720002851</v>
      </c>
    </row>
    <row r="2132" spans="1:9" x14ac:dyDescent="0.25">
      <c r="A2132" t="s">
        <v>1909</v>
      </c>
      <c r="B2132" t="s">
        <v>13</v>
      </c>
      <c r="C2132">
        <v>11.6</v>
      </c>
      <c r="D2132">
        <v>10.5</v>
      </c>
      <c r="E2132" t="s">
        <v>17</v>
      </c>
      <c r="F2132">
        <v>13.71</v>
      </c>
      <c r="G2132">
        <v>16.100000000000001</v>
      </c>
      <c r="H2132" t="s">
        <v>17</v>
      </c>
      <c r="I2132" t="str">
        <f>"068450007063"</f>
        <v>068450007063</v>
      </c>
    </row>
    <row r="2133" spans="1:9" x14ac:dyDescent="0.25">
      <c r="A2133" t="s">
        <v>1909</v>
      </c>
      <c r="B2133" t="s">
        <v>13</v>
      </c>
      <c r="C2133">
        <v>8.1999999999999993</v>
      </c>
      <c r="D2133">
        <v>10.3</v>
      </c>
      <c r="E2133" t="s">
        <v>17</v>
      </c>
      <c r="F2133">
        <v>23.29</v>
      </c>
      <c r="G2133">
        <v>23.69</v>
      </c>
      <c r="H2133" t="s">
        <v>17</v>
      </c>
      <c r="I2133" t="str">
        <f>"060002902467"</f>
        <v>060002902467</v>
      </c>
    </row>
    <row r="2134" spans="1:9" x14ac:dyDescent="0.25">
      <c r="A2134" t="s">
        <v>1910</v>
      </c>
      <c r="B2134" t="s">
        <v>13</v>
      </c>
      <c r="C2134">
        <v>45.9</v>
      </c>
      <c r="D2134">
        <v>46.7</v>
      </c>
      <c r="E2134" t="s">
        <v>17</v>
      </c>
      <c r="F2134">
        <v>25.36</v>
      </c>
      <c r="G2134">
        <v>25.37</v>
      </c>
      <c r="H2134" t="s">
        <v>17</v>
      </c>
      <c r="I2134" t="str">
        <f>"063003004704"</f>
        <v>063003004704</v>
      </c>
    </row>
    <row r="2135" spans="1:9" x14ac:dyDescent="0.25">
      <c r="A2135" t="s">
        <v>1910</v>
      </c>
      <c r="B2135" t="s">
        <v>13</v>
      </c>
      <c r="C2135">
        <v>30.9</v>
      </c>
      <c r="D2135">
        <v>29.6</v>
      </c>
      <c r="E2135" t="s">
        <v>17</v>
      </c>
      <c r="F2135">
        <v>25.24</v>
      </c>
      <c r="G2135">
        <v>26.59</v>
      </c>
      <c r="H2135" t="s">
        <v>17</v>
      </c>
      <c r="I2135" t="str">
        <f>"060780006909"</f>
        <v>060780006909</v>
      </c>
    </row>
    <row r="2136" spans="1:9" x14ac:dyDescent="0.25">
      <c r="A2136" t="s">
        <v>1911</v>
      </c>
      <c r="B2136" t="s">
        <v>13</v>
      </c>
      <c r="C2136">
        <v>25.75</v>
      </c>
      <c r="D2136">
        <v>27.25</v>
      </c>
      <c r="E2136" t="s">
        <v>17</v>
      </c>
      <c r="F2136">
        <v>21.94</v>
      </c>
      <c r="G2136">
        <v>23.01</v>
      </c>
      <c r="H2136" t="s">
        <v>17</v>
      </c>
      <c r="I2136" t="str">
        <f>"064214006896"</f>
        <v>064214006896</v>
      </c>
    </row>
    <row r="2137" spans="1:9" x14ac:dyDescent="0.25">
      <c r="A2137" t="s">
        <v>1912</v>
      </c>
      <c r="B2137" t="s">
        <v>13</v>
      </c>
      <c r="C2137">
        <v>29.1</v>
      </c>
      <c r="D2137">
        <v>30.01</v>
      </c>
      <c r="E2137" t="s">
        <v>17</v>
      </c>
      <c r="F2137">
        <v>23.47</v>
      </c>
      <c r="G2137">
        <v>22.23</v>
      </c>
      <c r="H2137" t="s">
        <v>17</v>
      </c>
      <c r="I2137" t="str">
        <f>"061149012299"</f>
        <v>061149012299</v>
      </c>
    </row>
    <row r="2138" spans="1:9" x14ac:dyDescent="0.25">
      <c r="A2138" t="s">
        <v>1913</v>
      </c>
      <c r="B2138" t="s">
        <v>13</v>
      </c>
      <c r="C2138">
        <v>14</v>
      </c>
      <c r="D2138">
        <v>15.03</v>
      </c>
      <c r="E2138" t="s">
        <v>17</v>
      </c>
      <c r="F2138">
        <v>18.93</v>
      </c>
      <c r="G2138">
        <v>17.899999999999999</v>
      </c>
      <c r="H2138" t="s">
        <v>17</v>
      </c>
      <c r="I2138" t="str">
        <f>"062271011312"</f>
        <v>062271011312</v>
      </c>
    </row>
    <row r="2139" spans="1:9" x14ac:dyDescent="0.25">
      <c r="A2139" t="s">
        <v>1914</v>
      </c>
      <c r="B2139" t="s">
        <v>13</v>
      </c>
      <c r="C2139">
        <v>61.26</v>
      </c>
      <c r="D2139">
        <v>91.04</v>
      </c>
      <c r="E2139" t="s">
        <v>17</v>
      </c>
      <c r="F2139">
        <v>19.93</v>
      </c>
      <c r="G2139">
        <v>15.97</v>
      </c>
      <c r="H2139" t="s">
        <v>17</v>
      </c>
      <c r="I2139" t="str">
        <f>"062271002941"</f>
        <v>062271002941</v>
      </c>
    </row>
    <row r="2140" spans="1:9" x14ac:dyDescent="0.25">
      <c r="A2140" t="s">
        <v>1915</v>
      </c>
      <c r="B2140" t="s">
        <v>13</v>
      </c>
      <c r="C2140" t="s">
        <v>14</v>
      </c>
      <c r="D2140" t="s">
        <v>14</v>
      </c>
      <c r="E2140" t="s">
        <v>17</v>
      </c>
      <c r="F2140" t="s">
        <v>14</v>
      </c>
      <c r="G2140" t="s">
        <v>14</v>
      </c>
      <c r="H2140" t="s">
        <v>17</v>
      </c>
      <c r="I2140" t="str">
        <f>"062271010898"</f>
        <v>062271010898</v>
      </c>
    </row>
    <row r="2141" spans="1:9" x14ac:dyDescent="0.25">
      <c r="A2141" t="s">
        <v>1916</v>
      </c>
      <c r="B2141" t="s">
        <v>13</v>
      </c>
      <c r="C2141" t="s">
        <v>14</v>
      </c>
      <c r="D2141" t="s">
        <v>14</v>
      </c>
      <c r="E2141" t="s">
        <v>17</v>
      </c>
      <c r="F2141" t="s">
        <v>14</v>
      </c>
      <c r="G2141" t="s">
        <v>14</v>
      </c>
      <c r="H2141" t="s">
        <v>17</v>
      </c>
      <c r="I2141" t="str">
        <f>"062271011658"</f>
        <v>062271011658</v>
      </c>
    </row>
    <row r="2142" spans="1:9" x14ac:dyDescent="0.25">
      <c r="A2142" t="s">
        <v>1917</v>
      </c>
      <c r="B2142" t="s">
        <v>13</v>
      </c>
      <c r="C2142" t="s">
        <v>14</v>
      </c>
      <c r="D2142" t="s">
        <v>14</v>
      </c>
      <c r="E2142" t="s">
        <v>17</v>
      </c>
      <c r="F2142" t="s">
        <v>14</v>
      </c>
      <c r="G2142" t="s">
        <v>14</v>
      </c>
      <c r="H2142" t="s">
        <v>17</v>
      </c>
      <c r="I2142" t="str">
        <f>"062271011663"</f>
        <v>062271011663</v>
      </c>
    </row>
    <row r="2143" spans="1:9" x14ac:dyDescent="0.25">
      <c r="A2143" t="s">
        <v>1918</v>
      </c>
      <c r="B2143" t="s">
        <v>13</v>
      </c>
      <c r="C2143" t="s">
        <v>14</v>
      </c>
      <c r="D2143" t="s">
        <v>14</v>
      </c>
      <c r="E2143" t="s">
        <v>17</v>
      </c>
      <c r="F2143" t="s">
        <v>14</v>
      </c>
      <c r="G2143" t="s">
        <v>14</v>
      </c>
      <c r="H2143" t="s">
        <v>17</v>
      </c>
      <c r="I2143" t="str">
        <f>"062271012149"</f>
        <v>062271012149</v>
      </c>
    </row>
    <row r="2144" spans="1:9" x14ac:dyDescent="0.25">
      <c r="A2144" t="s">
        <v>1919</v>
      </c>
      <c r="B2144" t="s">
        <v>13</v>
      </c>
      <c r="C2144" t="s">
        <v>14</v>
      </c>
      <c r="D2144" t="s">
        <v>14</v>
      </c>
      <c r="E2144" t="s">
        <v>17</v>
      </c>
      <c r="F2144" t="s">
        <v>14</v>
      </c>
      <c r="G2144" t="s">
        <v>14</v>
      </c>
      <c r="H2144" t="s">
        <v>17</v>
      </c>
      <c r="I2144" t="str">
        <f>"062271012124"</f>
        <v>062271012124</v>
      </c>
    </row>
    <row r="2145" spans="1:9" x14ac:dyDescent="0.25">
      <c r="A2145" t="s">
        <v>1920</v>
      </c>
      <c r="B2145" t="s">
        <v>13</v>
      </c>
      <c r="C2145" t="s">
        <v>14</v>
      </c>
      <c r="D2145" t="s">
        <v>14</v>
      </c>
      <c r="E2145" t="s">
        <v>17</v>
      </c>
      <c r="F2145" t="s">
        <v>14</v>
      </c>
      <c r="G2145" t="s">
        <v>14</v>
      </c>
      <c r="H2145" t="s">
        <v>17</v>
      </c>
      <c r="I2145" t="str">
        <f>"062271012141"</f>
        <v>062271012141</v>
      </c>
    </row>
    <row r="2146" spans="1:9" x14ac:dyDescent="0.25">
      <c r="A2146" t="s">
        <v>1921</v>
      </c>
      <c r="B2146" t="s">
        <v>13</v>
      </c>
      <c r="C2146">
        <v>21</v>
      </c>
      <c r="D2146">
        <v>21</v>
      </c>
      <c r="E2146" t="s">
        <v>17</v>
      </c>
      <c r="F2146">
        <v>31.43</v>
      </c>
      <c r="G2146">
        <v>31.76</v>
      </c>
      <c r="H2146" t="s">
        <v>17</v>
      </c>
      <c r="I2146" t="str">
        <f>"061336001514"</f>
        <v>061336001514</v>
      </c>
    </row>
    <row r="2147" spans="1:9" x14ac:dyDescent="0.25">
      <c r="A2147" t="s">
        <v>1921</v>
      </c>
      <c r="B2147" t="s">
        <v>13</v>
      </c>
      <c r="C2147">
        <v>26.4</v>
      </c>
      <c r="D2147">
        <v>25</v>
      </c>
      <c r="E2147" t="s">
        <v>17</v>
      </c>
      <c r="F2147">
        <v>29.36</v>
      </c>
      <c r="G2147">
        <v>30</v>
      </c>
      <c r="H2147" t="s">
        <v>17</v>
      </c>
      <c r="I2147" t="str">
        <f>"062865004424"</f>
        <v>062865004424</v>
      </c>
    </row>
    <row r="2148" spans="1:9" x14ac:dyDescent="0.25">
      <c r="A2148" t="s">
        <v>1922</v>
      </c>
      <c r="B2148" t="s">
        <v>13</v>
      </c>
      <c r="C2148">
        <v>27.2</v>
      </c>
      <c r="D2148">
        <v>28.5</v>
      </c>
      <c r="E2148" t="s">
        <v>17</v>
      </c>
      <c r="F2148">
        <v>19.670000000000002</v>
      </c>
      <c r="G2148">
        <v>19.89</v>
      </c>
      <c r="H2148" t="s">
        <v>17</v>
      </c>
      <c r="I2148" t="str">
        <f>"061077001192"</f>
        <v>061077001192</v>
      </c>
    </row>
    <row r="2149" spans="1:9" x14ac:dyDescent="0.25">
      <c r="A2149" t="s">
        <v>1923</v>
      </c>
      <c r="B2149" t="s">
        <v>13</v>
      </c>
      <c r="C2149">
        <v>17</v>
      </c>
      <c r="D2149">
        <v>17</v>
      </c>
      <c r="E2149" t="s">
        <v>17</v>
      </c>
      <c r="F2149">
        <v>22.47</v>
      </c>
      <c r="G2149">
        <v>22.12</v>
      </c>
      <c r="H2149" t="s">
        <v>17</v>
      </c>
      <c r="I2149" t="str">
        <f>"062271002942"</f>
        <v>062271002942</v>
      </c>
    </row>
    <row r="2150" spans="1:9" x14ac:dyDescent="0.25">
      <c r="A2150" t="s">
        <v>1924</v>
      </c>
      <c r="B2150" t="s">
        <v>13</v>
      </c>
      <c r="C2150">
        <v>10</v>
      </c>
      <c r="D2150">
        <v>6</v>
      </c>
      <c r="E2150" t="s">
        <v>17</v>
      </c>
      <c r="F2150">
        <v>35.1</v>
      </c>
      <c r="G2150">
        <v>40.67</v>
      </c>
      <c r="H2150" t="s">
        <v>17</v>
      </c>
      <c r="I2150" t="str">
        <f>"063804012734"</f>
        <v>063804012734</v>
      </c>
    </row>
    <row r="2151" spans="1:9" x14ac:dyDescent="0.25">
      <c r="A2151" t="s">
        <v>1925</v>
      </c>
      <c r="B2151" t="s">
        <v>13</v>
      </c>
      <c r="C2151">
        <v>17.100000000000001</v>
      </c>
      <c r="D2151">
        <v>18</v>
      </c>
      <c r="E2151" t="s">
        <v>17</v>
      </c>
      <c r="F2151">
        <v>21.35</v>
      </c>
      <c r="G2151">
        <v>21.39</v>
      </c>
      <c r="H2151" t="s">
        <v>17</v>
      </c>
      <c r="I2151" t="str">
        <f>"064221012485"</f>
        <v>064221012485</v>
      </c>
    </row>
    <row r="2152" spans="1:9" x14ac:dyDescent="0.25">
      <c r="A2152" t="s">
        <v>1926</v>
      </c>
      <c r="B2152" t="s">
        <v>13</v>
      </c>
      <c r="C2152">
        <v>10</v>
      </c>
      <c r="D2152">
        <v>11</v>
      </c>
      <c r="E2152" t="s">
        <v>17</v>
      </c>
      <c r="F2152">
        <v>29.9</v>
      </c>
      <c r="G2152">
        <v>24.36</v>
      </c>
      <c r="H2152" t="s">
        <v>17</v>
      </c>
      <c r="I2152" t="str">
        <f>"069100710789"</f>
        <v>069100710789</v>
      </c>
    </row>
    <row r="2153" spans="1:9" x14ac:dyDescent="0.25">
      <c r="A2153" t="s">
        <v>1927</v>
      </c>
      <c r="B2153" t="s">
        <v>13</v>
      </c>
      <c r="C2153">
        <v>109.2</v>
      </c>
      <c r="D2153">
        <v>112.8</v>
      </c>
      <c r="E2153" t="s">
        <v>17</v>
      </c>
      <c r="F2153">
        <v>26.43</v>
      </c>
      <c r="G2153">
        <v>25.76</v>
      </c>
      <c r="H2153" t="s">
        <v>17</v>
      </c>
      <c r="I2153" t="str">
        <f>"061524001923"</f>
        <v>061524001923</v>
      </c>
    </row>
    <row r="2154" spans="1:9" x14ac:dyDescent="0.25">
      <c r="A2154" t="s">
        <v>1928</v>
      </c>
      <c r="B2154" t="s">
        <v>13</v>
      </c>
      <c r="C2154">
        <v>23.3</v>
      </c>
      <c r="D2154">
        <v>22</v>
      </c>
      <c r="E2154" t="s">
        <v>17</v>
      </c>
      <c r="F2154">
        <v>24.33</v>
      </c>
      <c r="G2154">
        <v>26.36</v>
      </c>
      <c r="H2154" t="s">
        <v>17</v>
      </c>
      <c r="I2154" t="str">
        <f>"063255005017"</f>
        <v>063255005017</v>
      </c>
    </row>
    <row r="2155" spans="1:9" x14ac:dyDescent="0.25">
      <c r="A2155" t="s">
        <v>1929</v>
      </c>
      <c r="B2155" t="s">
        <v>13</v>
      </c>
      <c r="C2155">
        <v>8</v>
      </c>
      <c r="D2155">
        <v>7</v>
      </c>
      <c r="E2155" t="s">
        <v>17</v>
      </c>
      <c r="F2155">
        <v>21.25</v>
      </c>
      <c r="G2155">
        <v>21.86</v>
      </c>
      <c r="H2155" t="s">
        <v>17</v>
      </c>
      <c r="I2155" t="str">
        <f>"060375000345"</f>
        <v>060375000345</v>
      </c>
    </row>
    <row r="2156" spans="1:9" x14ac:dyDescent="0.25">
      <c r="A2156" t="s">
        <v>1930</v>
      </c>
      <c r="B2156" t="s">
        <v>13</v>
      </c>
      <c r="C2156">
        <v>12.5</v>
      </c>
      <c r="D2156">
        <v>14.5</v>
      </c>
      <c r="E2156" t="s">
        <v>17</v>
      </c>
      <c r="F2156">
        <v>26</v>
      </c>
      <c r="G2156">
        <v>22.28</v>
      </c>
      <c r="H2156" t="s">
        <v>17</v>
      </c>
      <c r="I2156" t="str">
        <f>"062193002598"</f>
        <v>062193002598</v>
      </c>
    </row>
    <row r="2157" spans="1:9" x14ac:dyDescent="0.25">
      <c r="A2157" t="s">
        <v>1931</v>
      </c>
      <c r="B2157" t="s">
        <v>13</v>
      </c>
      <c r="C2157">
        <v>5</v>
      </c>
      <c r="D2157">
        <v>5</v>
      </c>
      <c r="E2157" t="s">
        <v>17</v>
      </c>
      <c r="F2157">
        <v>25.4</v>
      </c>
      <c r="G2157">
        <v>24.4</v>
      </c>
      <c r="H2157" t="s">
        <v>17</v>
      </c>
      <c r="I2157" t="str">
        <f>"060681000609"</f>
        <v>060681000609</v>
      </c>
    </row>
    <row r="2158" spans="1:9" x14ac:dyDescent="0.25">
      <c r="A2158" t="s">
        <v>1932</v>
      </c>
      <c r="B2158" t="s">
        <v>13</v>
      </c>
      <c r="C2158">
        <v>17.75</v>
      </c>
      <c r="D2158">
        <v>18.149999999999999</v>
      </c>
      <c r="E2158" t="s">
        <v>17</v>
      </c>
      <c r="F2158">
        <v>25.13</v>
      </c>
      <c r="G2158">
        <v>24.57</v>
      </c>
      <c r="H2158" t="s">
        <v>17</v>
      </c>
      <c r="I2158" t="str">
        <f>"060402000359"</f>
        <v>060402000359</v>
      </c>
    </row>
    <row r="2159" spans="1:9" x14ac:dyDescent="0.25">
      <c r="A2159" t="s">
        <v>1933</v>
      </c>
      <c r="B2159" t="s">
        <v>13</v>
      </c>
      <c r="C2159">
        <v>18</v>
      </c>
      <c r="D2159">
        <v>18.5</v>
      </c>
      <c r="E2159" t="s">
        <v>17</v>
      </c>
      <c r="F2159">
        <v>24.5</v>
      </c>
      <c r="G2159">
        <v>25.08</v>
      </c>
      <c r="H2159" t="s">
        <v>17</v>
      </c>
      <c r="I2159" t="str">
        <f>"063360005184"</f>
        <v>063360005184</v>
      </c>
    </row>
    <row r="2160" spans="1:9" x14ac:dyDescent="0.25">
      <c r="A2160" t="s">
        <v>1934</v>
      </c>
      <c r="B2160" t="s">
        <v>13</v>
      </c>
      <c r="C2160">
        <v>6.85</v>
      </c>
      <c r="D2160">
        <v>9</v>
      </c>
      <c r="E2160" t="s">
        <v>17</v>
      </c>
      <c r="F2160">
        <v>23.07</v>
      </c>
      <c r="G2160">
        <v>23.67</v>
      </c>
      <c r="H2160" t="s">
        <v>17</v>
      </c>
      <c r="I2160" t="str">
        <f>"063423005395"</f>
        <v>063423005395</v>
      </c>
    </row>
    <row r="2161" spans="1:9" x14ac:dyDescent="0.25">
      <c r="A2161" t="s">
        <v>1935</v>
      </c>
      <c r="B2161" t="s">
        <v>13</v>
      </c>
      <c r="C2161">
        <v>37</v>
      </c>
      <c r="D2161">
        <v>36</v>
      </c>
      <c r="E2161" t="s">
        <v>17</v>
      </c>
      <c r="F2161">
        <v>23.19</v>
      </c>
      <c r="G2161">
        <v>23.39</v>
      </c>
      <c r="H2161" t="s">
        <v>17</v>
      </c>
      <c r="I2161" t="str">
        <f>"060939000948"</f>
        <v>060939000948</v>
      </c>
    </row>
    <row r="2162" spans="1:9" x14ac:dyDescent="0.25">
      <c r="A2162" t="s">
        <v>1936</v>
      </c>
      <c r="B2162" t="s">
        <v>13</v>
      </c>
      <c r="C2162">
        <v>5.03</v>
      </c>
      <c r="D2162">
        <v>4.46</v>
      </c>
      <c r="E2162" t="s">
        <v>17</v>
      </c>
      <c r="F2162">
        <v>19.68</v>
      </c>
      <c r="G2162">
        <v>26.01</v>
      </c>
      <c r="H2162" t="s">
        <v>17</v>
      </c>
      <c r="I2162" t="str">
        <f>"060330000250"</f>
        <v>060330000250</v>
      </c>
    </row>
    <row r="2163" spans="1:9" x14ac:dyDescent="0.25">
      <c r="A2163" t="s">
        <v>1937</v>
      </c>
      <c r="B2163" t="s">
        <v>13</v>
      </c>
      <c r="C2163">
        <v>30.02</v>
      </c>
      <c r="D2163">
        <v>28.06</v>
      </c>
      <c r="E2163" t="s">
        <v>17</v>
      </c>
      <c r="F2163">
        <v>20.52</v>
      </c>
      <c r="G2163">
        <v>20.420000000000002</v>
      </c>
      <c r="H2163" t="s">
        <v>17</v>
      </c>
      <c r="I2163" t="str">
        <f>"062241002678"</f>
        <v>062241002678</v>
      </c>
    </row>
    <row r="2164" spans="1:9" x14ac:dyDescent="0.25">
      <c r="A2164" t="s">
        <v>1937</v>
      </c>
      <c r="B2164" t="s">
        <v>13</v>
      </c>
      <c r="C2164" t="s">
        <v>14</v>
      </c>
      <c r="D2164" t="s">
        <v>14</v>
      </c>
      <c r="E2164" t="s">
        <v>17</v>
      </c>
      <c r="F2164" t="s">
        <v>14</v>
      </c>
      <c r="G2164" t="s">
        <v>14</v>
      </c>
      <c r="H2164" t="s">
        <v>17</v>
      </c>
      <c r="I2164" t="str">
        <f>"064119006817"</f>
        <v>064119006817</v>
      </c>
    </row>
    <row r="2165" spans="1:9" x14ac:dyDescent="0.25">
      <c r="A2165" t="s">
        <v>1937</v>
      </c>
      <c r="B2165" t="s">
        <v>13</v>
      </c>
      <c r="C2165">
        <v>16</v>
      </c>
      <c r="D2165">
        <v>16</v>
      </c>
      <c r="E2165" t="s">
        <v>17</v>
      </c>
      <c r="F2165">
        <v>24.63</v>
      </c>
      <c r="G2165">
        <v>26.06</v>
      </c>
      <c r="H2165" t="s">
        <v>17</v>
      </c>
      <c r="I2165" t="str">
        <f>"063684006252"</f>
        <v>063684006252</v>
      </c>
    </row>
    <row r="2166" spans="1:9" x14ac:dyDescent="0.25">
      <c r="A2166" t="s">
        <v>1938</v>
      </c>
      <c r="B2166" t="s">
        <v>13</v>
      </c>
      <c r="C2166">
        <v>24</v>
      </c>
      <c r="D2166">
        <v>25</v>
      </c>
      <c r="E2166" t="s">
        <v>17</v>
      </c>
      <c r="F2166">
        <v>29.13</v>
      </c>
      <c r="G2166">
        <v>29.2</v>
      </c>
      <c r="H2166" t="s">
        <v>17</v>
      </c>
      <c r="I2166" t="str">
        <f>"064116006786"</f>
        <v>064116006786</v>
      </c>
    </row>
    <row r="2167" spans="1:9" x14ac:dyDescent="0.25">
      <c r="A2167" t="s">
        <v>1939</v>
      </c>
      <c r="B2167" t="s">
        <v>13</v>
      </c>
      <c r="C2167">
        <v>21</v>
      </c>
      <c r="D2167">
        <v>21</v>
      </c>
      <c r="E2167" t="s">
        <v>17</v>
      </c>
      <c r="F2167">
        <v>23.86</v>
      </c>
      <c r="G2167">
        <v>25.29</v>
      </c>
      <c r="H2167" t="s">
        <v>17</v>
      </c>
      <c r="I2167" t="str">
        <f>"062271002943"</f>
        <v>062271002943</v>
      </c>
    </row>
    <row r="2168" spans="1:9" x14ac:dyDescent="0.25">
      <c r="A2168" t="s">
        <v>1940</v>
      </c>
      <c r="B2168" t="s">
        <v>13</v>
      </c>
      <c r="C2168">
        <v>30.17</v>
      </c>
      <c r="D2168">
        <v>30.5</v>
      </c>
      <c r="E2168" t="s">
        <v>17</v>
      </c>
      <c r="F2168">
        <v>19.82</v>
      </c>
      <c r="G2168">
        <v>20.39</v>
      </c>
      <c r="H2168" t="s">
        <v>17</v>
      </c>
      <c r="I2168" t="str">
        <f>"062628006931"</f>
        <v>062628006931</v>
      </c>
    </row>
    <row r="2169" spans="1:9" x14ac:dyDescent="0.25">
      <c r="A2169" t="s">
        <v>1941</v>
      </c>
      <c r="B2169" t="s">
        <v>13</v>
      </c>
      <c r="C2169">
        <v>17</v>
      </c>
      <c r="D2169">
        <v>15</v>
      </c>
      <c r="E2169" t="s">
        <v>17</v>
      </c>
      <c r="F2169">
        <v>24.65</v>
      </c>
      <c r="G2169">
        <v>26.27</v>
      </c>
      <c r="H2169" t="s">
        <v>17</v>
      </c>
      <c r="I2169" t="str">
        <f>"062805004253"</f>
        <v>062805004253</v>
      </c>
    </row>
    <row r="2170" spans="1:9" x14ac:dyDescent="0.25">
      <c r="A2170" t="s">
        <v>1942</v>
      </c>
      <c r="B2170" t="s">
        <v>13</v>
      </c>
      <c r="C2170">
        <v>33.47</v>
      </c>
      <c r="D2170">
        <v>33.76</v>
      </c>
      <c r="E2170" t="s">
        <v>17</v>
      </c>
      <c r="F2170">
        <v>16.07</v>
      </c>
      <c r="G2170">
        <v>16.05</v>
      </c>
      <c r="H2170" t="s">
        <v>17</v>
      </c>
      <c r="I2170" t="str">
        <f>"061719002172"</f>
        <v>061719002172</v>
      </c>
    </row>
    <row r="2171" spans="1:9" x14ac:dyDescent="0.25">
      <c r="A2171" t="s">
        <v>1943</v>
      </c>
      <c r="B2171" t="s">
        <v>13</v>
      </c>
      <c r="C2171">
        <v>21</v>
      </c>
      <c r="D2171">
        <v>21.05</v>
      </c>
      <c r="E2171" t="s">
        <v>17</v>
      </c>
      <c r="F2171">
        <v>31.48</v>
      </c>
      <c r="G2171">
        <v>30.31</v>
      </c>
      <c r="H2171" t="s">
        <v>17</v>
      </c>
      <c r="I2171" t="str">
        <f>"063384005278"</f>
        <v>063384005278</v>
      </c>
    </row>
    <row r="2172" spans="1:9" x14ac:dyDescent="0.25">
      <c r="A2172" t="s">
        <v>1944</v>
      </c>
      <c r="B2172" t="s">
        <v>13</v>
      </c>
      <c r="C2172">
        <v>2.4</v>
      </c>
      <c r="D2172">
        <v>2.4</v>
      </c>
      <c r="E2172" t="s">
        <v>17</v>
      </c>
      <c r="F2172">
        <v>6.25</v>
      </c>
      <c r="G2172">
        <v>7.08</v>
      </c>
      <c r="H2172" t="s">
        <v>17</v>
      </c>
      <c r="I2172" t="str">
        <f>"063025008645"</f>
        <v>063025008645</v>
      </c>
    </row>
    <row r="2173" spans="1:9" x14ac:dyDescent="0.25">
      <c r="A2173" t="s">
        <v>1945</v>
      </c>
      <c r="B2173" t="s">
        <v>13</v>
      </c>
      <c r="C2173">
        <v>4.5</v>
      </c>
      <c r="D2173">
        <v>3.25</v>
      </c>
      <c r="E2173" t="s">
        <v>17</v>
      </c>
      <c r="F2173">
        <v>24.44</v>
      </c>
      <c r="G2173">
        <v>19.079999999999998</v>
      </c>
      <c r="H2173" t="s">
        <v>17</v>
      </c>
      <c r="I2173" t="str">
        <f>"062274012358"</f>
        <v>062274012358</v>
      </c>
    </row>
    <row r="2174" spans="1:9" x14ac:dyDescent="0.25">
      <c r="A2174" t="s">
        <v>1946</v>
      </c>
      <c r="B2174" t="s">
        <v>13</v>
      </c>
      <c r="C2174">
        <v>12.89</v>
      </c>
      <c r="D2174">
        <v>10.25</v>
      </c>
      <c r="E2174" t="s">
        <v>17</v>
      </c>
      <c r="F2174">
        <v>21.49</v>
      </c>
      <c r="G2174">
        <v>16.68</v>
      </c>
      <c r="H2174" t="s">
        <v>17</v>
      </c>
      <c r="I2174" t="str">
        <f>"060318011283"</f>
        <v>060318011283</v>
      </c>
    </row>
    <row r="2175" spans="1:9" x14ac:dyDescent="0.25">
      <c r="A2175" t="s">
        <v>1947</v>
      </c>
      <c r="B2175" t="s">
        <v>13</v>
      </c>
      <c r="C2175">
        <v>6</v>
      </c>
      <c r="D2175">
        <v>5.5</v>
      </c>
      <c r="E2175" t="s">
        <v>17</v>
      </c>
      <c r="F2175">
        <v>10</v>
      </c>
      <c r="G2175">
        <v>9.4499999999999993</v>
      </c>
      <c r="H2175" t="s">
        <v>17</v>
      </c>
      <c r="I2175" t="str">
        <f>"062088008022"</f>
        <v>062088008022</v>
      </c>
    </row>
    <row r="2176" spans="1:9" x14ac:dyDescent="0.25">
      <c r="A2176" t="s">
        <v>1948</v>
      </c>
      <c r="B2176" t="s">
        <v>13</v>
      </c>
      <c r="C2176">
        <v>27.6</v>
      </c>
      <c r="D2176">
        <v>27.6</v>
      </c>
      <c r="E2176" t="s">
        <v>17</v>
      </c>
      <c r="F2176">
        <v>31.59</v>
      </c>
      <c r="G2176">
        <v>31.88</v>
      </c>
      <c r="H2176" t="s">
        <v>17</v>
      </c>
      <c r="I2176" t="str">
        <f>"063867011851"</f>
        <v>063867011851</v>
      </c>
    </row>
    <row r="2177" spans="1:9" x14ac:dyDescent="0.25">
      <c r="A2177" t="s">
        <v>1949</v>
      </c>
      <c r="B2177" t="s">
        <v>13</v>
      </c>
      <c r="C2177">
        <v>2.5</v>
      </c>
      <c r="D2177">
        <v>3</v>
      </c>
      <c r="E2177" t="s">
        <v>17</v>
      </c>
      <c r="F2177">
        <v>18</v>
      </c>
      <c r="G2177">
        <v>14.33</v>
      </c>
      <c r="H2177" t="s">
        <v>17</v>
      </c>
      <c r="I2177" t="str">
        <f>"062706001921"</f>
        <v>062706001921</v>
      </c>
    </row>
    <row r="2178" spans="1:9" x14ac:dyDescent="0.25">
      <c r="A2178" t="s">
        <v>1950</v>
      </c>
      <c r="B2178" t="s">
        <v>13</v>
      </c>
      <c r="C2178">
        <v>2.98</v>
      </c>
      <c r="D2178">
        <v>3.87</v>
      </c>
      <c r="E2178" t="s">
        <v>17</v>
      </c>
      <c r="F2178">
        <v>15.77</v>
      </c>
      <c r="G2178">
        <v>13.7</v>
      </c>
      <c r="H2178" t="s">
        <v>17</v>
      </c>
      <c r="I2178" t="str">
        <f>"062637000183"</f>
        <v>062637000183</v>
      </c>
    </row>
    <row r="2179" spans="1:9" x14ac:dyDescent="0.25">
      <c r="A2179" t="s">
        <v>1951</v>
      </c>
      <c r="B2179" t="s">
        <v>13</v>
      </c>
      <c r="C2179" t="s">
        <v>14</v>
      </c>
      <c r="D2179">
        <v>2.54</v>
      </c>
      <c r="E2179" t="s">
        <v>17</v>
      </c>
      <c r="F2179" t="s">
        <v>17</v>
      </c>
      <c r="G2179">
        <v>34.25</v>
      </c>
      <c r="H2179" t="s">
        <v>17</v>
      </c>
      <c r="I2179" t="str">
        <f>"060318012210"</f>
        <v>060318012210</v>
      </c>
    </row>
    <row r="2180" spans="1:9" x14ac:dyDescent="0.25">
      <c r="A2180" t="s">
        <v>1952</v>
      </c>
      <c r="B2180" t="s">
        <v>13</v>
      </c>
      <c r="C2180" t="s">
        <v>14</v>
      </c>
      <c r="D2180">
        <v>1</v>
      </c>
      <c r="E2180" t="s">
        <v>17</v>
      </c>
      <c r="F2180" t="s">
        <v>17</v>
      </c>
      <c r="G2180">
        <v>83</v>
      </c>
      <c r="H2180" t="s">
        <v>17</v>
      </c>
      <c r="I2180" t="str">
        <f>"060001410617"</f>
        <v>060001410617</v>
      </c>
    </row>
    <row r="2181" spans="1:9" x14ac:dyDescent="0.25">
      <c r="A2181" t="s">
        <v>1953</v>
      </c>
      <c r="B2181" t="s">
        <v>13</v>
      </c>
      <c r="C2181">
        <v>38</v>
      </c>
      <c r="D2181">
        <v>37</v>
      </c>
      <c r="E2181" t="s">
        <v>17</v>
      </c>
      <c r="F2181">
        <v>21.53</v>
      </c>
      <c r="G2181">
        <v>21.22</v>
      </c>
      <c r="H2181" t="s">
        <v>17</v>
      </c>
      <c r="I2181" t="str">
        <f>"060015811508"</f>
        <v>060015811508</v>
      </c>
    </row>
    <row r="2182" spans="1:9" x14ac:dyDescent="0.25">
      <c r="A2182" t="s">
        <v>1954</v>
      </c>
      <c r="B2182" t="s">
        <v>13</v>
      </c>
      <c r="C2182">
        <v>22.5</v>
      </c>
      <c r="D2182">
        <v>21.5</v>
      </c>
      <c r="E2182" t="s">
        <v>17</v>
      </c>
      <c r="F2182">
        <v>28.22</v>
      </c>
      <c r="G2182">
        <v>29.81</v>
      </c>
      <c r="H2182" t="s">
        <v>17</v>
      </c>
      <c r="I2182" t="str">
        <f>"064116006787"</f>
        <v>064116006787</v>
      </c>
    </row>
    <row r="2183" spans="1:9" x14ac:dyDescent="0.25">
      <c r="A2183" t="s">
        <v>1955</v>
      </c>
      <c r="B2183" t="s">
        <v>13</v>
      </c>
      <c r="C2183">
        <v>12.6</v>
      </c>
      <c r="D2183">
        <v>12.6</v>
      </c>
      <c r="E2183" t="s">
        <v>17</v>
      </c>
      <c r="F2183">
        <v>21.75</v>
      </c>
      <c r="G2183">
        <v>20.95</v>
      </c>
      <c r="H2183" t="s">
        <v>17</v>
      </c>
      <c r="I2183" t="str">
        <f>"063432005440"</f>
        <v>063432005440</v>
      </c>
    </row>
    <row r="2184" spans="1:9" x14ac:dyDescent="0.25">
      <c r="A2184" t="s">
        <v>1956</v>
      </c>
      <c r="B2184" t="s">
        <v>13</v>
      </c>
      <c r="C2184">
        <v>11.7</v>
      </c>
      <c r="D2184">
        <v>8</v>
      </c>
      <c r="E2184" t="s">
        <v>17</v>
      </c>
      <c r="F2184">
        <v>23.25</v>
      </c>
      <c r="G2184">
        <v>22.38</v>
      </c>
      <c r="H2184" t="s">
        <v>17</v>
      </c>
      <c r="I2184" t="str">
        <f>"062271012811"</f>
        <v>062271012811</v>
      </c>
    </row>
    <row r="2185" spans="1:9" x14ac:dyDescent="0.25">
      <c r="A2185" t="s">
        <v>1957</v>
      </c>
      <c r="B2185" t="s">
        <v>13</v>
      </c>
      <c r="C2185" t="s">
        <v>17</v>
      </c>
      <c r="D2185">
        <v>6.14</v>
      </c>
      <c r="E2185" t="s">
        <v>17</v>
      </c>
      <c r="F2185" t="s">
        <v>17</v>
      </c>
      <c r="G2185">
        <v>24.43</v>
      </c>
      <c r="H2185" t="s">
        <v>17</v>
      </c>
      <c r="I2185" t="str">
        <f>"063417012529"</f>
        <v>063417012529</v>
      </c>
    </row>
    <row r="2186" spans="1:9" x14ac:dyDescent="0.25">
      <c r="A2186" t="s">
        <v>1958</v>
      </c>
      <c r="B2186" t="s">
        <v>13</v>
      </c>
      <c r="C2186">
        <v>16.38</v>
      </c>
      <c r="D2186">
        <v>17.899999999999999</v>
      </c>
      <c r="E2186" t="s">
        <v>17</v>
      </c>
      <c r="F2186">
        <v>22.1</v>
      </c>
      <c r="G2186">
        <v>18.72</v>
      </c>
      <c r="H2186" t="s">
        <v>17</v>
      </c>
      <c r="I2186" t="str">
        <f>"060744000688"</f>
        <v>060744000688</v>
      </c>
    </row>
    <row r="2187" spans="1:9" x14ac:dyDescent="0.25">
      <c r="A2187" t="s">
        <v>1959</v>
      </c>
      <c r="B2187" t="s">
        <v>13</v>
      </c>
      <c r="C2187">
        <v>25.5</v>
      </c>
      <c r="D2187">
        <v>33.1</v>
      </c>
      <c r="E2187" t="s">
        <v>17</v>
      </c>
      <c r="F2187">
        <v>27.76</v>
      </c>
      <c r="G2187">
        <v>22.72</v>
      </c>
      <c r="H2187" t="s">
        <v>17</v>
      </c>
      <c r="I2187" t="str">
        <f>"060002811041"</f>
        <v>060002811041</v>
      </c>
    </row>
    <row r="2188" spans="1:9" x14ac:dyDescent="0.25">
      <c r="A2188" t="s">
        <v>1960</v>
      </c>
      <c r="B2188" t="s">
        <v>13</v>
      </c>
      <c r="C2188">
        <v>39.950000000000003</v>
      </c>
      <c r="D2188">
        <v>39.4</v>
      </c>
      <c r="E2188" t="s">
        <v>17</v>
      </c>
      <c r="F2188">
        <v>20.7</v>
      </c>
      <c r="G2188">
        <v>21.09</v>
      </c>
      <c r="H2188" t="s">
        <v>17</v>
      </c>
      <c r="I2188" t="str">
        <f>"061839002249"</f>
        <v>061839002249</v>
      </c>
    </row>
    <row r="2189" spans="1:9" x14ac:dyDescent="0.25">
      <c r="A2189" t="s">
        <v>1961</v>
      </c>
      <c r="B2189" t="s">
        <v>13</v>
      </c>
      <c r="C2189">
        <v>37.6</v>
      </c>
      <c r="D2189">
        <v>36.5</v>
      </c>
      <c r="E2189" t="s">
        <v>17</v>
      </c>
      <c r="F2189">
        <v>25.61</v>
      </c>
      <c r="G2189">
        <v>25.45</v>
      </c>
      <c r="H2189" t="s">
        <v>17</v>
      </c>
      <c r="I2189" t="str">
        <f>"061336007282"</f>
        <v>061336007282</v>
      </c>
    </row>
    <row r="2190" spans="1:9" x14ac:dyDescent="0.25">
      <c r="A2190" t="s">
        <v>1962</v>
      </c>
      <c r="B2190" t="s">
        <v>13</v>
      </c>
      <c r="C2190">
        <v>9</v>
      </c>
      <c r="D2190">
        <v>10</v>
      </c>
      <c r="E2190" t="s">
        <v>17</v>
      </c>
      <c r="F2190">
        <v>20.11</v>
      </c>
      <c r="G2190">
        <v>19.100000000000001</v>
      </c>
      <c r="H2190" t="s">
        <v>17</v>
      </c>
      <c r="I2190" t="str">
        <f>"063432005441"</f>
        <v>063432005441</v>
      </c>
    </row>
    <row r="2191" spans="1:9" x14ac:dyDescent="0.25">
      <c r="A2191" t="s">
        <v>1963</v>
      </c>
      <c r="B2191" t="s">
        <v>13</v>
      </c>
      <c r="C2191">
        <v>37.76</v>
      </c>
      <c r="D2191">
        <v>37.130000000000003</v>
      </c>
      <c r="E2191" t="s">
        <v>17</v>
      </c>
      <c r="F2191">
        <v>26.14</v>
      </c>
      <c r="G2191">
        <v>25.91</v>
      </c>
      <c r="H2191" t="s">
        <v>17</v>
      </c>
      <c r="I2191" t="str">
        <f>"062250002709"</f>
        <v>062250002709</v>
      </c>
    </row>
    <row r="2192" spans="1:9" x14ac:dyDescent="0.25">
      <c r="A2192" t="s">
        <v>1964</v>
      </c>
      <c r="B2192" t="s">
        <v>13</v>
      </c>
      <c r="C2192">
        <v>22</v>
      </c>
      <c r="D2192">
        <v>18</v>
      </c>
      <c r="E2192" t="s">
        <v>17</v>
      </c>
      <c r="F2192">
        <v>22.64</v>
      </c>
      <c r="G2192">
        <v>29.17</v>
      </c>
      <c r="H2192" t="s">
        <v>17</v>
      </c>
      <c r="I2192" t="str">
        <f>"061630001110"</f>
        <v>061630001110</v>
      </c>
    </row>
    <row r="2193" spans="1:9" x14ac:dyDescent="0.25">
      <c r="A2193" t="s">
        <v>1965</v>
      </c>
      <c r="B2193" t="s">
        <v>13</v>
      </c>
      <c r="C2193">
        <v>34.5</v>
      </c>
      <c r="D2193">
        <v>36</v>
      </c>
      <c r="E2193" t="s">
        <v>17</v>
      </c>
      <c r="F2193">
        <v>23.48</v>
      </c>
      <c r="G2193">
        <v>24.92</v>
      </c>
      <c r="H2193" t="s">
        <v>17</v>
      </c>
      <c r="I2193" t="str">
        <f>"060795000762"</f>
        <v>060795000762</v>
      </c>
    </row>
    <row r="2194" spans="1:9" x14ac:dyDescent="0.25">
      <c r="A2194" t="s">
        <v>1966</v>
      </c>
      <c r="B2194" t="s">
        <v>13</v>
      </c>
      <c r="C2194">
        <v>7.8</v>
      </c>
      <c r="D2194">
        <v>7.6</v>
      </c>
      <c r="E2194" t="s">
        <v>17</v>
      </c>
      <c r="F2194">
        <v>15.64</v>
      </c>
      <c r="G2194">
        <v>17.11</v>
      </c>
      <c r="H2194" t="s">
        <v>17</v>
      </c>
      <c r="I2194" t="str">
        <f>"061023001113"</f>
        <v>061023001113</v>
      </c>
    </row>
    <row r="2195" spans="1:9" x14ac:dyDescent="0.25">
      <c r="A2195" t="s">
        <v>1967</v>
      </c>
      <c r="B2195" t="s">
        <v>13</v>
      </c>
      <c r="C2195">
        <v>25.5</v>
      </c>
      <c r="D2195">
        <v>25.3</v>
      </c>
      <c r="E2195" t="s">
        <v>17</v>
      </c>
      <c r="F2195">
        <v>26.43</v>
      </c>
      <c r="G2195">
        <v>26.4</v>
      </c>
      <c r="H2195" t="s">
        <v>17</v>
      </c>
      <c r="I2195" t="str">
        <f>"061527001952"</f>
        <v>061527001952</v>
      </c>
    </row>
    <row r="2196" spans="1:9" x14ac:dyDescent="0.25">
      <c r="A2196" t="s">
        <v>1968</v>
      </c>
      <c r="B2196" t="s">
        <v>13</v>
      </c>
      <c r="C2196">
        <v>84.8</v>
      </c>
      <c r="D2196">
        <v>84.8</v>
      </c>
      <c r="E2196" t="s">
        <v>17</v>
      </c>
      <c r="F2196">
        <v>25.79</v>
      </c>
      <c r="G2196">
        <v>26.75</v>
      </c>
      <c r="H2196" t="s">
        <v>17</v>
      </c>
      <c r="I2196" t="str">
        <f>"061026001116"</f>
        <v>061026001116</v>
      </c>
    </row>
    <row r="2197" spans="1:9" x14ac:dyDescent="0.25">
      <c r="A2197" t="s">
        <v>1969</v>
      </c>
      <c r="B2197" t="s">
        <v>13</v>
      </c>
      <c r="C2197">
        <v>59</v>
      </c>
      <c r="D2197">
        <v>58.4</v>
      </c>
      <c r="E2197" t="s">
        <v>17</v>
      </c>
      <c r="F2197">
        <v>24.83</v>
      </c>
      <c r="G2197">
        <v>26.15</v>
      </c>
      <c r="H2197" t="s">
        <v>17</v>
      </c>
      <c r="I2197" t="str">
        <f>"061026001115"</f>
        <v>061026001115</v>
      </c>
    </row>
    <row r="2198" spans="1:9" x14ac:dyDescent="0.25">
      <c r="A2198" t="s">
        <v>1970</v>
      </c>
      <c r="B2198" t="s">
        <v>13</v>
      </c>
      <c r="C2198">
        <v>4</v>
      </c>
      <c r="D2198">
        <v>4.5</v>
      </c>
      <c r="E2198" t="s">
        <v>17</v>
      </c>
      <c r="F2198">
        <v>15</v>
      </c>
      <c r="G2198">
        <v>14.44</v>
      </c>
      <c r="H2198" t="s">
        <v>17</v>
      </c>
      <c r="I2198" t="str">
        <f>"061026007691"</f>
        <v>061026007691</v>
      </c>
    </row>
    <row r="2199" spans="1:9" x14ac:dyDescent="0.25">
      <c r="A2199" t="s">
        <v>1971</v>
      </c>
      <c r="B2199" t="s">
        <v>13</v>
      </c>
      <c r="C2199">
        <v>26</v>
      </c>
      <c r="D2199">
        <v>23.45</v>
      </c>
      <c r="E2199" t="s">
        <v>17</v>
      </c>
      <c r="F2199">
        <v>27.31</v>
      </c>
      <c r="G2199">
        <v>27.85</v>
      </c>
      <c r="H2199" t="s">
        <v>17</v>
      </c>
      <c r="I2199" t="str">
        <f>"068450007053"</f>
        <v>068450007053</v>
      </c>
    </row>
    <row r="2200" spans="1:9" x14ac:dyDescent="0.25">
      <c r="A2200" t="s">
        <v>1972</v>
      </c>
      <c r="B2200" t="s">
        <v>13</v>
      </c>
      <c r="C2200">
        <v>26.02</v>
      </c>
      <c r="D2200">
        <v>27.5</v>
      </c>
      <c r="E2200" t="s">
        <v>17</v>
      </c>
      <c r="F2200">
        <v>25.02</v>
      </c>
      <c r="G2200">
        <v>23.27</v>
      </c>
      <c r="H2200" t="s">
        <v>17</v>
      </c>
      <c r="I2200" t="str">
        <f>"063846006459"</f>
        <v>063846006459</v>
      </c>
    </row>
    <row r="2201" spans="1:9" x14ac:dyDescent="0.25">
      <c r="A2201" t="s">
        <v>1973</v>
      </c>
      <c r="B2201" t="s">
        <v>13</v>
      </c>
      <c r="C2201">
        <v>23.41</v>
      </c>
      <c r="D2201">
        <v>24.01</v>
      </c>
      <c r="E2201" t="s">
        <v>17</v>
      </c>
      <c r="F2201">
        <v>28.06</v>
      </c>
      <c r="G2201">
        <v>25.32</v>
      </c>
      <c r="H2201" t="s">
        <v>17</v>
      </c>
      <c r="I2201" t="str">
        <f>"063888010110"</f>
        <v>063888010110</v>
      </c>
    </row>
    <row r="2202" spans="1:9" x14ac:dyDescent="0.25">
      <c r="A2202" t="s">
        <v>1974</v>
      </c>
      <c r="B2202" t="s">
        <v>13</v>
      </c>
      <c r="C2202">
        <v>35.5</v>
      </c>
      <c r="D2202">
        <v>34</v>
      </c>
      <c r="E2202" t="s">
        <v>17</v>
      </c>
      <c r="F2202">
        <v>21.77</v>
      </c>
      <c r="G2202">
        <v>21.97</v>
      </c>
      <c r="H2202" t="s">
        <v>17</v>
      </c>
      <c r="I2202" t="str">
        <f>"060015811509"</f>
        <v>060015811509</v>
      </c>
    </row>
    <row r="2203" spans="1:9" x14ac:dyDescent="0.25">
      <c r="A2203" t="s">
        <v>1975</v>
      </c>
      <c r="B2203" t="s">
        <v>13</v>
      </c>
      <c r="C2203">
        <v>81.67</v>
      </c>
      <c r="D2203">
        <v>77.959999999999994</v>
      </c>
      <c r="E2203" t="s">
        <v>17</v>
      </c>
      <c r="F2203">
        <v>24.22</v>
      </c>
      <c r="G2203">
        <v>24.4</v>
      </c>
      <c r="H2203" t="s">
        <v>17</v>
      </c>
      <c r="I2203" t="str">
        <f>"061443001695"</f>
        <v>061443001695</v>
      </c>
    </row>
    <row r="2204" spans="1:9" x14ac:dyDescent="0.25">
      <c r="A2204" t="s">
        <v>1976</v>
      </c>
      <c r="B2204" t="s">
        <v>13</v>
      </c>
      <c r="C2204">
        <v>58.24</v>
      </c>
      <c r="D2204">
        <v>56.56</v>
      </c>
      <c r="E2204" t="s">
        <v>17</v>
      </c>
      <c r="F2204">
        <v>22.44</v>
      </c>
      <c r="G2204">
        <v>22.86</v>
      </c>
      <c r="H2204" t="s">
        <v>17</v>
      </c>
      <c r="I2204" t="str">
        <f>"061029001127"</f>
        <v>061029001127</v>
      </c>
    </row>
    <row r="2205" spans="1:9" x14ac:dyDescent="0.25">
      <c r="A2205" t="s">
        <v>1977</v>
      </c>
      <c r="B2205" t="s">
        <v>13</v>
      </c>
      <c r="C2205">
        <v>26</v>
      </c>
      <c r="D2205">
        <v>27</v>
      </c>
      <c r="E2205" t="s">
        <v>17</v>
      </c>
      <c r="F2205">
        <v>22.15</v>
      </c>
      <c r="G2205">
        <v>22.04</v>
      </c>
      <c r="H2205" t="s">
        <v>17</v>
      </c>
      <c r="I2205" t="str">
        <f>"063432005442"</f>
        <v>063432005442</v>
      </c>
    </row>
    <row r="2206" spans="1:9" x14ac:dyDescent="0.25">
      <c r="A2206" t="s">
        <v>1978</v>
      </c>
      <c r="B2206" t="s">
        <v>13</v>
      </c>
      <c r="C2206">
        <v>33.53</v>
      </c>
      <c r="D2206">
        <v>32.299999999999997</v>
      </c>
      <c r="E2206" t="s">
        <v>17</v>
      </c>
      <c r="F2206">
        <v>25.71</v>
      </c>
      <c r="G2206">
        <v>26.5</v>
      </c>
      <c r="H2206" t="s">
        <v>17</v>
      </c>
      <c r="I2206" t="str">
        <f>"060363000295"</f>
        <v>060363000295</v>
      </c>
    </row>
    <row r="2207" spans="1:9" x14ac:dyDescent="0.25">
      <c r="A2207" t="s">
        <v>1979</v>
      </c>
      <c r="B2207" t="s">
        <v>13</v>
      </c>
      <c r="C2207">
        <v>39</v>
      </c>
      <c r="D2207">
        <v>37</v>
      </c>
      <c r="E2207" t="s">
        <v>17</v>
      </c>
      <c r="F2207">
        <v>21.21</v>
      </c>
      <c r="G2207">
        <v>21.32</v>
      </c>
      <c r="H2207" t="s">
        <v>17</v>
      </c>
      <c r="I2207" t="str">
        <f>"062922004501"</f>
        <v>062922004501</v>
      </c>
    </row>
    <row r="2208" spans="1:9" x14ac:dyDescent="0.25">
      <c r="A2208" t="s">
        <v>1980</v>
      </c>
      <c r="B2208" t="s">
        <v>13</v>
      </c>
      <c r="C2208">
        <v>24</v>
      </c>
      <c r="D2208">
        <v>22</v>
      </c>
      <c r="E2208" t="s">
        <v>17</v>
      </c>
      <c r="F2208">
        <v>19.38</v>
      </c>
      <c r="G2208">
        <v>23.41</v>
      </c>
      <c r="H2208" t="s">
        <v>17</v>
      </c>
      <c r="I2208" t="str">
        <f>"061032001155"</f>
        <v>061032001155</v>
      </c>
    </row>
    <row r="2209" spans="1:9" x14ac:dyDescent="0.25">
      <c r="A2209" t="s">
        <v>1981</v>
      </c>
      <c r="B2209" t="s">
        <v>13</v>
      </c>
      <c r="C2209">
        <v>40.01</v>
      </c>
      <c r="D2209">
        <v>50</v>
      </c>
      <c r="E2209" t="s">
        <v>17</v>
      </c>
      <c r="F2209">
        <v>22.79</v>
      </c>
      <c r="G2209">
        <v>20.260000000000002</v>
      </c>
      <c r="H2209" t="s">
        <v>17</v>
      </c>
      <c r="I2209" t="str">
        <f>"063417005354"</f>
        <v>063417005354</v>
      </c>
    </row>
    <row r="2210" spans="1:9" x14ac:dyDescent="0.25">
      <c r="A2210" t="s">
        <v>1982</v>
      </c>
      <c r="B2210" t="s">
        <v>13</v>
      </c>
      <c r="C2210">
        <v>25</v>
      </c>
      <c r="D2210">
        <v>25</v>
      </c>
      <c r="E2210" t="s">
        <v>17</v>
      </c>
      <c r="F2210">
        <v>26.64</v>
      </c>
      <c r="G2210">
        <v>27.12</v>
      </c>
      <c r="H2210" t="s">
        <v>17</v>
      </c>
      <c r="I2210" t="str">
        <f>"062450003665"</f>
        <v>062450003665</v>
      </c>
    </row>
    <row r="2211" spans="1:9" x14ac:dyDescent="0.25">
      <c r="A2211" t="s">
        <v>1983</v>
      </c>
      <c r="B2211" t="s">
        <v>13</v>
      </c>
      <c r="C2211">
        <v>35</v>
      </c>
      <c r="D2211">
        <v>35</v>
      </c>
      <c r="E2211" t="s">
        <v>17</v>
      </c>
      <c r="F2211">
        <v>20</v>
      </c>
      <c r="G2211">
        <v>19.690000000000001</v>
      </c>
      <c r="H2211" t="s">
        <v>17</v>
      </c>
      <c r="I2211" t="str">
        <f>"061035001156"</f>
        <v>061035001156</v>
      </c>
    </row>
    <row r="2212" spans="1:9" x14ac:dyDescent="0.25">
      <c r="A2212" t="s">
        <v>1984</v>
      </c>
      <c r="B2212" t="s">
        <v>13</v>
      </c>
      <c r="C2212">
        <v>1</v>
      </c>
      <c r="D2212">
        <v>1</v>
      </c>
      <c r="E2212" t="s">
        <v>17</v>
      </c>
      <c r="F2212">
        <v>7</v>
      </c>
      <c r="G2212">
        <v>12</v>
      </c>
      <c r="H2212" t="s">
        <v>17</v>
      </c>
      <c r="I2212" t="str">
        <f>"061035008419"</f>
        <v>061035008419</v>
      </c>
    </row>
    <row r="2213" spans="1:9" x14ac:dyDescent="0.25">
      <c r="A2213" t="s">
        <v>1985</v>
      </c>
      <c r="B2213" t="s">
        <v>13</v>
      </c>
      <c r="C2213">
        <v>11</v>
      </c>
      <c r="D2213">
        <v>11</v>
      </c>
      <c r="E2213" t="s">
        <v>17</v>
      </c>
      <c r="F2213">
        <v>28.64</v>
      </c>
      <c r="G2213">
        <v>27.18</v>
      </c>
      <c r="H2213" t="s">
        <v>17</v>
      </c>
      <c r="I2213" t="str">
        <f>"061038001163"</f>
        <v>061038001163</v>
      </c>
    </row>
    <row r="2214" spans="1:9" x14ac:dyDescent="0.25">
      <c r="A2214" t="s">
        <v>1986</v>
      </c>
      <c r="B2214" t="s">
        <v>13</v>
      </c>
      <c r="C2214">
        <v>9</v>
      </c>
      <c r="D2214">
        <v>8</v>
      </c>
      <c r="E2214" t="s">
        <v>17</v>
      </c>
      <c r="F2214">
        <v>18.329999999999998</v>
      </c>
      <c r="G2214">
        <v>20.13</v>
      </c>
      <c r="H2214" t="s">
        <v>17</v>
      </c>
      <c r="I2214" t="str">
        <f>"060000908780"</f>
        <v>060000908780</v>
      </c>
    </row>
    <row r="2215" spans="1:9" x14ac:dyDescent="0.25">
      <c r="A2215" t="s">
        <v>1987</v>
      </c>
      <c r="B2215" t="s">
        <v>13</v>
      </c>
      <c r="C2215">
        <v>6.5</v>
      </c>
      <c r="D2215">
        <v>6.5</v>
      </c>
      <c r="E2215" t="s">
        <v>17</v>
      </c>
      <c r="F2215">
        <v>11.54</v>
      </c>
      <c r="G2215">
        <v>11.85</v>
      </c>
      <c r="H2215" t="s">
        <v>17</v>
      </c>
      <c r="I2215" t="str">
        <f>"060000908779"</f>
        <v>060000908779</v>
      </c>
    </row>
    <row r="2216" spans="1:9" x14ac:dyDescent="0.25">
      <c r="A2216" t="s">
        <v>1988</v>
      </c>
      <c r="B2216" t="s">
        <v>13</v>
      </c>
      <c r="C2216">
        <v>8.5</v>
      </c>
      <c r="D2216">
        <v>10</v>
      </c>
      <c r="E2216" t="s">
        <v>17</v>
      </c>
      <c r="F2216">
        <v>18.940000000000001</v>
      </c>
      <c r="G2216">
        <v>15</v>
      </c>
      <c r="H2216" t="s">
        <v>17</v>
      </c>
      <c r="I2216" t="str">
        <f>"062199011259"</f>
        <v>062199011259</v>
      </c>
    </row>
    <row r="2217" spans="1:9" x14ac:dyDescent="0.25">
      <c r="A2217" t="s">
        <v>1989</v>
      </c>
      <c r="B2217" t="s">
        <v>13</v>
      </c>
      <c r="C2217">
        <v>30</v>
      </c>
      <c r="D2217">
        <v>30</v>
      </c>
      <c r="E2217" t="s">
        <v>17</v>
      </c>
      <c r="F2217">
        <v>21.33</v>
      </c>
      <c r="G2217">
        <v>22.3</v>
      </c>
      <c r="H2217" t="s">
        <v>17</v>
      </c>
      <c r="I2217" t="str">
        <f>"063987008999"</f>
        <v>063987008999</v>
      </c>
    </row>
    <row r="2218" spans="1:9" x14ac:dyDescent="0.25">
      <c r="A2218" t="s">
        <v>1989</v>
      </c>
      <c r="B2218" t="s">
        <v>13</v>
      </c>
      <c r="C2218">
        <v>28</v>
      </c>
      <c r="D2218">
        <v>30</v>
      </c>
      <c r="E2218" t="s">
        <v>17</v>
      </c>
      <c r="F2218">
        <v>19.93</v>
      </c>
      <c r="G2218">
        <v>19</v>
      </c>
      <c r="H2218" t="s">
        <v>17</v>
      </c>
      <c r="I2218" t="str">
        <f>"063417005355"</f>
        <v>063417005355</v>
      </c>
    </row>
    <row r="2219" spans="1:9" x14ac:dyDescent="0.25">
      <c r="A2219" t="s">
        <v>1989</v>
      </c>
      <c r="B2219" t="s">
        <v>13</v>
      </c>
      <c r="C2219">
        <v>27.67</v>
      </c>
      <c r="D2219">
        <v>27.53</v>
      </c>
      <c r="E2219" t="s">
        <v>17</v>
      </c>
      <c r="F2219">
        <v>29.17</v>
      </c>
      <c r="G2219">
        <v>28.41</v>
      </c>
      <c r="H2219" t="s">
        <v>17</v>
      </c>
      <c r="I2219" t="str">
        <f>"061392001587"</f>
        <v>061392001587</v>
      </c>
    </row>
    <row r="2220" spans="1:9" x14ac:dyDescent="0.25">
      <c r="A2220" t="s">
        <v>1989</v>
      </c>
      <c r="B2220" t="s">
        <v>13</v>
      </c>
      <c r="C2220">
        <v>28</v>
      </c>
      <c r="D2220">
        <v>28.1</v>
      </c>
      <c r="E2220" t="s">
        <v>17</v>
      </c>
      <c r="F2220">
        <v>22.57</v>
      </c>
      <c r="G2220">
        <v>23.67</v>
      </c>
      <c r="H2220" t="s">
        <v>17</v>
      </c>
      <c r="I2220" t="str">
        <f>"061005001094"</f>
        <v>061005001094</v>
      </c>
    </row>
    <row r="2221" spans="1:9" x14ac:dyDescent="0.25">
      <c r="A2221" t="s">
        <v>1989</v>
      </c>
      <c r="B2221" t="s">
        <v>13</v>
      </c>
      <c r="C2221">
        <v>17</v>
      </c>
      <c r="D2221">
        <v>18.04</v>
      </c>
      <c r="E2221" t="s">
        <v>17</v>
      </c>
      <c r="F2221">
        <v>23.94</v>
      </c>
      <c r="G2221">
        <v>21.29</v>
      </c>
      <c r="H2221" t="s">
        <v>17</v>
      </c>
      <c r="I2221" t="str">
        <f>"060964001011"</f>
        <v>060964001011</v>
      </c>
    </row>
    <row r="2222" spans="1:9" x14ac:dyDescent="0.25">
      <c r="A2222" t="s">
        <v>1989</v>
      </c>
      <c r="B2222" t="s">
        <v>13</v>
      </c>
      <c r="C2222">
        <v>10</v>
      </c>
      <c r="D2222">
        <v>10</v>
      </c>
      <c r="E2222" t="s">
        <v>17</v>
      </c>
      <c r="F2222">
        <v>25.2</v>
      </c>
      <c r="G2222">
        <v>24.3</v>
      </c>
      <c r="H2222" t="s">
        <v>17</v>
      </c>
      <c r="I2222" t="str">
        <f>"063204004926"</f>
        <v>063204004926</v>
      </c>
    </row>
    <row r="2223" spans="1:9" x14ac:dyDescent="0.25">
      <c r="A2223" t="s">
        <v>1990</v>
      </c>
      <c r="B2223" t="s">
        <v>13</v>
      </c>
      <c r="C2223">
        <v>88.75</v>
      </c>
      <c r="D2223">
        <v>83.36</v>
      </c>
      <c r="E2223" t="s">
        <v>17</v>
      </c>
      <c r="F2223">
        <v>30.04</v>
      </c>
      <c r="G2223">
        <v>31.72</v>
      </c>
      <c r="H2223" t="s">
        <v>17</v>
      </c>
      <c r="I2223" t="str">
        <f>"060263000172"</f>
        <v>060263000172</v>
      </c>
    </row>
    <row r="2224" spans="1:9" x14ac:dyDescent="0.25">
      <c r="A2224" t="s">
        <v>1991</v>
      </c>
      <c r="B2224" t="s">
        <v>13</v>
      </c>
      <c r="C2224">
        <v>28</v>
      </c>
      <c r="D2224">
        <v>25.5</v>
      </c>
      <c r="E2224" t="s">
        <v>17</v>
      </c>
      <c r="F2224">
        <v>29.96</v>
      </c>
      <c r="G2224">
        <v>31.18</v>
      </c>
      <c r="H2224" t="s">
        <v>17</v>
      </c>
      <c r="I2224" t="str">
        <f>"060001411119"</f>
        <v>060001411119</v>
      </c>
    </row>
    <row r="2225" spans="1:9" x14ac:dyDescent="0.25">
      <c r="A2225" t="s">
        <v>1992</v>
      </c>
      <c r="B2225" t="s">
        <v>13</v>
      </c>
      <c r="C2225">
        <v>17</v>
      </c>
      <c r="D2225">
        <v>18</v>
      </c>
      <c r="E2225" t="s">
        <v>17</v>
      </c>
      <c r="F2225">
        <v>21.59</v>
      </c>
      <c r="G2225">
        <v>21.78</v>
      </c>
      <c r="H2225" t="s">
        <v>17</v>
      </c>
      <c r="I2225" t="str">
        <f>"060790007664"</f>
        <v>060790007664</v>
      </c>
    </row>
    <row r="2226" spans="1:9" x14ac:dyDescent="0.25">
      <c r="A2226" t="s">
        <v>1993</v>
      </c>
      <c r="B2226" t="s">
        <v>13</v>
      </c>
      <c r="C2226">
        <v>17</v>
      </c>
      <c r="D2226">
        <v>19</v>
      </c>
      <c r="E2226" t="s">
        <v>17</v>
      </c>
      <c r="F2226">
        <v>24.18</v>
      </c>
      <c r="G2226">
        <v>22.79</v>
      </c>
      <c r="H2226" t="s">
        <v>17</v>
      </c>
      <c r="I2226" t="str">
        <f>"064128006836"</f>
        <v>064128006836</v>
      </c>
    </row>
    <row r="2227" spans="1:9" x14ac:dyDescent="0.25">
      <c r="A2227" t="s">
        <v>1994</v>
      </c>
      <c r="B2227" t="s">
        <v>13</v>
      </c>
      <c r="C2227">
        <v>18</v>
      </c>
      <c r="D2227">
        <v>19</v>
      </c>
      <c r="E2227" t="s">
        <v>17</v>
      </c>
      <c r="F2227">
        <v>24.11</v>
      </c>
      <c r="G2227">
        <v>24.21</v>
      </c>
      <c r="H2227" t="s">
        <v>17</v>
      </c>
      <c r="I2227" t="str">
        <f>"062769004171"</f>
        <v>062769004171</v>
      </c>
    </row>
    <row r="2228" spans="1:9" x14ac:dyDescent="0.25">
      <c r="A2228" t="s">
        <v>1995</v>
      </c>
      <c r="B2228" t="s">
        <v>13</v>
      </c>
      <c r="C2228">
        <v>21.2</v>
      </c>
      <c r="D2228">
        <v>23.2</v>
      </c>
      <c r="E2228" t="s">
        <v>17</v>
      </c>
      <c r="F2228">
        <v>19.53</v>
      </c>
      <c r="G2228">
        <v>20.260000000000002</v>
      </c>
      <c r="H2228" t="s">
        <v>17</v>
      </c>
      <c r="I2228" t="str">
        <f>"063311005128"</f>
        <v>063311005128</v>
      </c>
    </row>
    <row r="2229" spans="1:9" x14ac:dyDescent="0.25">
      <c r="A2229" t="s">
        <v>1996</v>
      </c>
      <c r="B2229" t="s">
        <v>13</v>
      </c>
      <c r="C2229">
        <v>22.4</v>
      </c>
      <c r="D2229">
        <v>20.23</v>
      </c>
      <c r="E2229" t="s">
        <v>17</v>
      </c>
      <c r="F2229">
        <v>26.52</v>
      </c>
      <c r="G2229">
        <v>25.8</v>
      </c>
      <c r="H2229" t="s">
        <v>17</v>
      </c>
      <c r="I2229" t="str">
        <f>"061029004034"</f>
        <v>061029004034</v>
      </c>
    </row>
    <row r="2230" spans="1:9" x14ac:dyDescent="0.25">
      <c r="A2230" t="s">
        <v>1997</v>
      </c>
      <c r="B2230" t="s">
        <v>13</v>
      </c>
      <c r="C2230">
        <v>34.51</v>
      </c>
      <c r="D2230">
        <v>36.5</v>
      </c>
      <c r="E2230" t="s">
        <v>17</v>
      </c>
      <c r="F2230">
        <v>29.88</v>
      </c>
      <c r="G2230">
        <v>26.49</v>
      </c>
      <c r="H2230" t="s">
        <v>17</v>
      </c>
      <c r="I2230" t="str">
        <f>"061473001801"</f>
        <v>061473001801</v>
      </c>
    </row>
    <row r="2231" spans="1:9" x14ac:dyDescent="0.25">
      <c r="A2231" t="s">
        <v>1998</v>
      </c>
      <c r="B2231" t="s">
        <v>13</v>
      </c>
      <c r="C2231">
        <v>15</v>
      </c>
      <c r="D2231">
        <v>16</v>
      </c>
      <c r="E2231" t="s">
        <v>17</v>
      </c>
      <c r="F2231">
        <v>23</v>
      </c>
      <c r="G2231">
        <v>23</v>
      </c>
      <c r="H2231" t="s">
        <v>17</v>
      </c>
      <c r="I2231" t="str">
        <f>"060133204149"</f>
        <v>060133204149</v>
      </c>
    </row>
    <row r="2232" spans="1:9" x14ac:dyDescent="0.25">
      <c r="A2232" t="s">
        <v>1999</v>
      </c>
      <c r="B2232" t="s">
        <v>13</v>
      </c>
      <c r="C2232">
        <v>23.62</v>
      </c>
      <c r="D2232">
        <v>22.75</v>
      </c>
      <c r="E2232" t="s">
        <v>17</v>
      </c>
      <c r="F2232">
        <v>24.05</v>
      </c>
      <c r="G2232">
        <v>21.49</v>
      </c>
      <c r="H2232" t="s">
        <v>17</v>
      </c>
      <c r="I2232" t="str">
        <f>"061062012422"</f>
        <v>061062012422</v>
      </c>
    </row>
    <row r="2233" spans="1:9" x14ac:dyDescent="0.25">
      <c r="A2233" t="s">
        <v>2000</v>
      </c>
      <c r="B2233" t="s">
        <v>13</v>
      </c>
      <c r="C2233">
        <v>30.36</v>
      </c>
      <c r="D2233">
        <v>23.97</v>
      </c>
      <c r="E2233" t="s">
        <v>17</v>
      </c>
      <c r="F2233">
        <v>21.41</v>
      </c>
      <c r="G2233">
        <v>20.28</v>
      </c>
      <c r="H2233" t="s">
        <v>17</v>
      </c>
      <c r="I2233" t="str">
        <f>"064299012410"</f>
        <v>064299012410</v>
      </c>
    </row>
    <row r="2234" spans="1:9" x14ac:dyDescent="0.25">
      <c r="A2234" t="s">
        <v>2001</v>
      </c>
      <c r="B2234" t="s">
        <v>13</v>
      </c>
      <c r="C2234">
        <v>33.32</v>
      </c>
      <c r="D2234">
        <v>28.1</v>
      </c>
      <c r="E2234" t="s">
        <v>17</v>
      </c>
      <c r="F2234">
        <v>20.23</v>
      </c>
      <c r="G2234">
        <v>21.03</v>
      </c>
      <c r="H2234" t="s">
        <v>17</v>
      </c>
      <c r="I2234" t="str">
        <f>"064299012208"</f>
        <v>064299012208</v>
      </c>
    </row>
    <row r="2235" spans="1:9" x14ac:dyDescent="0.25">
      <c r="A2235" t="s">
        <v>2002</v>
      </c>
      <c r="B2235" t="s">
        <v>13</v>
      </c>
      <c r="C2235">
        <v>16</v>
      </c>
      <c r="D2235">
        <v>16</v>
      </c>
      <c r="E2235" t="s">
        <v>17</v>
      </c>
      <c r="F2235">
        <v>23.94</v>
      </c>
      <c r="G2235">
        <v>23.69</v>
      </c>
      <c r="H2235" t="s">
        <v>17</v>
      </c>
      <c r="I2235" t="str">
        <f>"062271002946"</f>
        <v>062271002946</v>
      </c>
    </row>
    <row r="2236" spans="1:9" x14ac:dyDescent="0.25">
      <c r="A2236" t="s">
        <v>2003</v>
      </c>
      <c r="B2236" t="s">
        <v>13</v>
      </c>
      <c r="C2236">
        <v>26</v>
      </c>
      <c r="D2236">
        <v>24</v>
      </c>
      <c r="E2236" t="s">
        <v>17</v>
      </c>
      <c r="F2236">
        <v>22.42</v>
      </c>
      <c r="G2236">
        <v>24.33</v>
      </c>
      <c r="H2236" t="s">
        <v>17</v>
      </c>
      <c r="I2236" t="str">
        <f>"063432005443"</f>
        <v>063432005443</v>
      </c>
    </row>
    <row r="2237" spans="1:9" x14ac:dyDescent="0.25">
      <c r="A2237" t="s">
        <v>2004</v>
      </c>
      <c r="B2237" t="s">
        <v>13</v>
      </c>
      <c r="C2237">
        <v>18.87</v>
      </c>
      <c r="D2237">
        <v>17.7</v>
      </c>
      <c r="E2237" t="s">
        <v>17</v>
      </c>
      <c r="F2237">
        <v>14.68</v>
      </c>
      <c r="G2237">
        <v>15.08</v>
      </c>
      <c r="H2237" t="s">
        <v>17</v>
      </c>
      <c r="I2237" t="str">
        <f>"061524001924"</f>
        <v>061524001924</v>
      </c>
    </row>
    <row r="2238" spans="1:9" x14ac:dyDescent="0.25">
      <c r="A2238" t="s">
        <v>2005</v>
      </c>
      <c r="B2238" t="s">
        <v>13</v>
      </c>
      <c r="C2238">
        <v>9.1300000000000008</v>
      </c>
      <c r="D2238">
        <v>9.1</v>
      </c>
      <c r="E2238" t="s">
        <v>17</v>
      </c>
      <c r="F2238">
        <v>22.78</v>
      </c>
      <c r="G2238">
        <v>22.31</v>
      </c>
      <c r="H2238" t="s">
        <v>17</v>
      </c>
      <c r="I2238" t="str">
        <f>"060236000126"</f>
        <v>060236000126</v>
      </c>
    </row>
    <row r="2239" spans="1:9" x14ac:dyDescent="0.25">
      <c r="A2239" t="s">
        <v>2006</v>
      </c>
      <c r="B2239" t="s">
        <v>13</v>
      </c>
      <c r="C2239">
        <v>23.15</v>
      </c>
      <c r="D2239">
        <v>24</v>
      </c>
      <c r="E2239" t="s">
        <v>17</v>
      </c>
      <c r="F2239">
        <v>26.95</v>
      </c>
      <c r="G2239">
        <v>25.08</v>
      </c>
      <c r="H2239" t="s">
        <v>17</v>
      </c>
      <c r="I2239" t="str">
        <f>"061944010238"</f>
        <v>061944010238</v>
      </c>
    </row>
    <row r="2240" spans="1:9" x14ac:dyDescent="0.25">
      <c r="A2240" t="s">
        <v>2007</v>
      </c>
      <c r="B2240" t="s">
        <v>13</v>
      </c>
      <c r="C2240">
        <v>49.51</v>
      </c>
      <c r="D2240">
        <v>46</v>
      </c>
      <c r="E2240" t="s">
        <v>17</v>
      </c>
      <c r="F2240">
        <v>24.96</v>
      </c>
      <c r="G2240">
        <v>27.65</v>
      </c>
      <c r="H2240" t="s">
        <v>17</v>
      </c>
      <c r="I2240" t="str">
        <f>"060263000173"</f>
        <v>060263000173</v>
      </c>
    </row>
    <row r="2241" spans="1:9" x14ac:dyDescent="0.25">
      <c r="A2241" t="s">
        <v>2008</v>
      </c>
      <c r="B2241" t="s">
        <v>13</v>
      </c>
      <c r="C2241">
        <v>53.5</v>
      </c>
      <c r="D2241">
        <v>50.37</v>
      </c>
      <c r="E2241" t="s">
        <v>17</v>
      </c>
      <c r="F2241">
        <v>25.29</v>
      </c>
      <c r="G2241">
        <v>27.52</v>
      </c>
      <c r="H2241" t="s">
        <v>17</v>
      </c>
      <c r="I2241" t="str">
        <f>"060285011275"</f>
        <v>060285011275</v>
      </c>
    </row>
    <row r="2242" spans="1:9" x14ac:dyDescent="0.25">
      <c r="A2242" t="s">
        <v>2009</v>
      </c>
      <c r="B2242" t="s">
        <v>13</v>
      </c>
      <c r="C2242">
        <v>2</v>
      </c>
      <c r="D2242">
        <v>5</v>
      </c>
      <c r="E2242" t="s">
        <v>17</v>
      </c>
      <c r="F2242">
        <v>10</v>
      </c>
      <c r="G2242">
        <v>4.5999999999999996</v>
      </c>
      <c r="H2242" t="s">
        <v>17</v>
      </c>
      <c r="I2242" t="str">
        <f>"069104910343"</f>
        <v>069104910343</v>
      </c>
    </row>
    <row r="2243" spans="1:9" x14ac:dyDescent="0.25">
      <c r="A2243" t="s">
        <v>2010</v>
      </c>
      <c r="B2243" t="s">
        <v>13</v>
      </c>
      <c r="C2243">
        <v>22.51</v>
      </c>
      <c r="D2243">
        <v>22.52</v>
      </c>
      <c r="E2243" t="s">
        <v>17</v>
      </c>
      <c r="F2243">
        <v>24.79</v>
      </c>
      <c r="G2243">
        <v>24.56</v>
      </c>
      <c r="H2243" t="s">
        <v>17</v>
      </c>
      <c r="I2243" t="str">
        <f>"064074006721"</f>
        <v>064074006721</v>
      </c>
    </row>
    <row r="2244" spans="1:9" x14ac:dyDescent="0.25">
      <c r="A2244" t="s">
        <v>2011</v>
      </c>
      <c r="B2244" t="s">
        <v>13</v>
      </c>
      <c r="C2244">
        <v>20</v>
      </c>
      <c r="D2244">
        <v>23</v>
      </c>
      <c r="E2244" t="s">
        <v>17</v>
      </c>
      <c r="F2244">
        <v>29.85</v>
      </c>
      <c r="G2244">
        <v>28.43</v>
      </c>
      <c r="H2244" t="s">
        <v>17</v>
      </c>
      <c r="I2244" t="str">
        <f>"061336009814"</f>
        <v>061336009814</v>
      </c>
    </row>
    <row r="2245" spans="1:9" x14ac:dyDescent="0.25">
      <c r="A2245" t="s">
        <v>2012</v>
      </c>
      <c r="B2245" t="s">
        <v>13</v>
      </c>
      <c r="C2245">
        <v>34.61</v>
      </c>
      <c r="D2245">
        <v>34.61</v>
      </c>
      <c r="E2245" t="s">
        <v>17</v>
      </c>
      <c r="F2245">
        <v>23.81</v>
      </c>
      <c r="G2245">
        <v>22.45</v>
      </c>
      <c r="H2245" t="s">
        <v>17</v>
      </c>
      <c r="I2245" t="str">
        <f>"063432007683"</f>
        <v>063432007683</v>
      </c>
    </row>
    <row r="2246" spans="1:9" x14ac:dyDescent="0.25">
      <c r="A2246" t="s">
        <v>2013</v>
      </c>
      <c r="B2246" t="s">
        <v>13</v>
      </c>
      <c r="C2246">
        <v>23.55</v>
      </c>
      <c r="D2246">
        <v>24.6</v>
      </c>
      <c r="E2246" t="s">
        <v>17</v>
      </c>
      <c r="F2246">
        <v>25.39</v>
      </c>
      <c r="G2246">
        <v>24.67</v>
      </c>
      <c r="H2246" t="s">
        <v>17</v>
      </c>
      <c r="I2246" t="str">
        <f>"062308003518"</f>
        <v>062308003518</v>
      </c>
    </row>
    <row r="2247" spans="1:9" x14ac:dyDescent="0.25">
      <c r="A2247" t="s">
        <v>2014</v>
      </c>
      <c r="B2247" t="s">
        <v>13</v>
      </c>
      <c r="C2247">
        <v>19.510000000000002</v>
      </c>
      <c r="D2247">
        <v>22.1</v>
      </c>
      <c r="E2247" t="s">
        <v>17</v>
      </c>
      <c r="F2247">
        <v>20.09</v>
      </c>
      <c r="G2247">
        <v>18.55</v>
      </c>
      <c r="H2247" t="s">
        <v>17</v>
      </c>
      <c r="I2247" t="str">
        <f>"061407001608"</f>
        <v>061407001608</v>
      </c>
    </row>
    <row r="2248" spans="1:9" x14ac:dyDescent="0.25">
      <c r="A2248" t="s">
        <v>2015</v>
      </c>
      <c r="B2248" t="s">
        <v>13</v>
      </c>
      <c r="C2248">
        <v>102.72</v>
      </c>
      <c r="D2248">
        <v>104.55</v>
      </c>
      <c r="E2248" t="s">
        <v>17</v>
      </c>
      <c r="F2248">
        <v>27.76</v>
      </c>
      <c r="G2248">
        <v>27.07</v>
      </c>
      <c r="H2248" t="s">
        <v>17</v>
      </c>
      <c r="I2248" t="str">
        <f>"060744000689"</f>
        <v>060744000689</v>
      </c>
    </row>
    <row r="2249" spans="1:9" x14ac:dyDescent="0.25">
      <c r="A2249" t="s">
        <v>2016</v>
      </c>
      <c r="B2249" t="s">
        <v>13</v>
      </c>
      <c r="C2249">
        <v>26</v>
      </c>
      <c r="D2249">
        <v>27</v>
      </c>
      <c r="E2249" t="s">
        <v>17</v>
      </c>
      <c r="F2249">
        <v>27.5</v>
      </c>
      <c r="G2249">
        <v>26.52</v>
      </c>
      <c r="H2249" t="s">
        <v>17</v>
      </c>
      <c r="I2249" t="str">
        <f>"060807000775"</f>
        <v>060807000775</v>
      </c>
    </row>
    <row r="2250" spans="1:9" x14ac:dyDescent="0.25">
      <c r="A2250" t="s">
        <v>2017</v>
      </c>
      <c r="B2250" t="s">
        <v>13</v>
      </c>
      <c r="C2250">
        <v>7</v>
      </c>
      <c r="D2250">
        <v>7</v>
      </c>
      <c r="E2250" t="s">
        <v>17</v>
      </c>
      <c r="F2250">
        <v>7</v>
      </c>
      <c r="G2250">
        <v>6.57</v>
      </c>
      <c r="H2250" t="s">
        <v>17</v>
      </c>
      <c r="I2250" t="str">
        <f>"060876000889"</f>
        <v>060876000889</v>
      </c>
    </row>
    <row r="2251" spans="1:9" x14ac:dyDescent="0.25">
      <c r="A2251" t="s">
        <v>2018</v>
      </c>
      <c r="B2251" t="s">
        <v>13</v>
      </c>
      <c r="C2251">
        <v>42.83</v>
      </c>
      <c r="D2251">
        <v>43.85</v>
      </c>
      <c r="E2251" t="s">
        <v>17</v>
      </c>
      <c r="F2251">
        <v>26.01</v>
      </c>
      <c r="G2251">
        <v>24.08</v>
      </c>
      <c r="H2251" t="s">
        <v>17</v>
      </c>
      <c r="I2251" t="str">
        <f>"063867011498"</f>
        <v>063867011498</v>
      </c>
    </row>
    <row r="2252" spans="1:9" x14ac:dyDescent="0.25">
      <c r="A2252" t="s">
        <v>2019</v>
      </c>
      <c r="B2252" t="s">
        <v>13</v>
      </c>
      <c r="C2252">
        <v>31.57</v>
      </c>
      <c r="D2252">
        <v>32.57</v>
      </c>
      <c r="E2252" t="s">
        <v>17</v>
      </c>
      <c r="F2252">
        <v>23.79</v>
      </c>
      <c r="G2252">
        <v>22.84</v>
      </c>
      <c r="H2252" t="s">
        <v>17</v>
      </c>
      <c r="I2252" t="str">
        <f>"060004807412"</f>
        <v>060004807412</v>
      </c>
    </row>
    <row r="2253" spans="1:9" x14ac:dyDescent="0.25">
      <c r="A2253" t="s">
        <v>2020</v>
      </c>
      <c r="B2253" t="s">
        <v>13</v>
      </c>
      <c r="C2253">
        <v>35</v>
      </c>
      <c r="D2253">
        <v>45</v>
      </c>
      <c r="E2253" t="s">
        <v>17</v>
      </c>
      <c r="F2253">
        <v>29.94</v>
      </c>
      <c r="G2253">
        <v>22.42</v>
      </c>
      <c r="H2253" t="s">
        <v>17</v>
      </c>
      <c r="I2253" t="str">
        <f>"060002910354"</f>
        <v>060002910354</v>
      </c>
    </row>
    <row r="2254" spans="1:9" x14ac:dyDescent="0.25">
      <c r="A2254" t="s">
        <v>2021</v>
      </c>
      <c r="B2254" t="s">
        <v>13</v>
      </c>
      <c r="C2254">
        <v>13.5</v>
      </c>
      <c r="D2254">
        <v>13.01</v>
      </c>
      <c r="E2254" t="s">
        <v>17</v>
      </c>
      <c r="F2254">
        <v>28.44</v>
      </c>
      <c r="G2254">
        <v>26.21</v>
      </c>
      <c r="H2254" t="s">
        <v>17</v>
      </c>
      <c r="I2254" t="str">
        <f>"062271012525"</f>
        <v>062271012525</v>
      </c>
    </row>
    <row r="2255" spans="1:9" x14ac:dyDescent="0.25">
      <c r="A2255" t="s">
        <v>2022</v>
      </c>
      <c r="B2255" t="s">
        <v>13</v>
      </c>
      <c r="C2255">
        <v>17.649999999999999</v>
      </c>
      <c r="D2255">
        <v>17.649999999999999</v>
      </c>
      <c r="E2255" t="s">
        <v>17</v>
      </c>
      <c r="F2255">
        <v>27.82</v>
      </c>
      <c r="G2255">
        <v>28.61</v>
      </c>
      <c r="H2255" t="s">
        <v>17</v>
      </c>
      <c r="I2255" t="str">
        <f>"064245006946"</f>
        <v>064245006946</v>
      </c>
    </row>
    <row r="2256" spans="1:9" x14ac:dyDescent="0.25">
      <c r="A2256" t="s">
        <v>2023</v>
      </c>
      <c r="B2256" t="s">
        <v>13</v>
      </c>
      <c r="C2256">
        <v>21.5</v>
      </c>
      <c r="D2256">
        <v>19.100000000000001</v>
      </c>
      <c r="E2256" t="s">
        <v>17</v>
      </c>
      <c r="F2256">
        <v>23.77</v>
      </c>
      <c r="G2256">
        <v>24.71</v>
      </c>
      <c r="H2256" t="s">
        <v>17</v>
      </c>
      <c r="I2256" t="str">
        <f>"062994004690"</f>
        <v>062994004690</v>
      </c>
    </row>
    <row r="2257" spans="1:9" x14ac:dyDescent="0.25">
      <c r="A2257" t="s">
        <v>2024</v>
      </c>
      <c r="B2257" t="s">
        <v>13</v>
      </c>
      <c r="C2257">
        <v>19.5</v>
      </c>
      <c r="D2257">
        <v>19</v>
      </c>
      <c r="E2257" t="s">
        <v>17</v>
      </c>
      <c r="F2257">
        <v>23.23</v>
      </c>
      <c r="G2257">
        <v>24.79</v>
      </c>
      <c r="H2257" t="s">
        <v>17</v>
      </c>
      <c r="I2257" t="str">
        <f>"061887002282"</f>
        <v>061887002282</v>
      </c>
    </row>
    <row r="2258" spans="1:9" x14ac:dyDescent="0.25">
      <c r="A2258" t="s">
        <v>2025</v>
      </c>
      <c r="B2258" t="s">
        <v>13</v>
      </c>
      <c r="C2258">
        <v>38</v>
      </c>
      <c r="D2258">
        <v>44.03</v>
      </c>
      <c r="E2258" t="s">
        <v>17</v>
      </c>
      <c r="F2258">
        <v>16.760000000000002</v>
      </c>
      <c r="G2258">
        <v>15.83</v>
      </c>
      <c r="H2258" t="s">
        <v>17</v>
      </c>
      <c r="I2258" t="str">
        <f>"062271003445"</f>
        <v>062271003445</v>
      </c>
    </row>
    <row r="2259" spans="1:9" x14ac:dyDescent="0.25">
      <c r="A2259" t="s">
        <v>2026</v>
      </c>
      <c r="B2259" t="s">
        <v>13</v>
      </c>
      <c r="C2259">
        <v>9</v>
      </c>
      <c r="D2259">
        <v>9.01</v>
      </c>
      <c r="E2259" t="s">
        <v>17</v>
      </c>
      <c r="F2259">
        <v>23.22</v>
      </c>
      <c r="G2259">
        <v>22.86</v>
      </c>
      <c r="H2259" t="s">
        <v>17</v>
      </c>
      <c r="I2259" t="str">
        <f>"062271010874"</f>
        <v>062271010874</v>
      </c>
    </row>
    <row r="2260" spans="1:9" x14ac:dyDescent="0.25">
      <c r="A2260" t="s">
        <v>2027</v>
      </c>
      <c r="B2260" t="s">
        <v>13</v>
      </c>
      <c r="C2260">
        <v>21</v>
      </c>
      <c r="D2260">
        <v>22</v>
      </c>
      <c r="E2260" t="s">
        <v>17</v>
      </c>
      <c r="F2260">
        <v>21.9</v>
      </c>
      <c r="G2260">
        <v>20.5</v>
      </c>
      <c r="H2260" t="s">
        <v>17</v>
      </c>
      <c r="I2260" t="str">
        <f>"062271002948"</f>
        <v>062271002948</v>
      </c>
    </row>
    <row r="2261" spans="1:9" x14ac:dyDescent="0.25">
      <c r="A2261" t="s">
        <v>2028</v>
      </c>
      <c r="B2261" t="s">
        <v>13</v>
      </c>
      <c r="C2261">
        <v>24</v>
      </c>
      <c r="D2261">
        <v>24</v>
      </c>
      <c r="E2261" t="s">
        <v>17</v>
      </c>
      <c r="F2261">
        <v>27.13</v>
      </c>
      <c r="G2261">
        <v>27.33</v>
      </c>
      <c r="H2261" t="s">
        <v>17</v>
      </c>
      <c r="I2261" t="str">
        <f>"062970008039"</f>
        <v>062970008039</v>
      </c>
    </row>
    <row r="2262" spans="1:9" x14ac:dyDescent="0.25">
      <c r="A2262" t="s">
        <v>2029</v>
      </c>
      <c r="B2262" t="s">
        <v>13</v>
      </c>
      <c r="C2262">
        <v>22.5</v>
      </c>
      <c r="D2262">
        <v>21</v>
      </c>
      <c r="E2262" t="s">
        <v>17</v>
      </c>
      <c r="F2262">
        <v>23.6</v>
      </c>
      <c r="G2262">
        <v>22.38</v>
      </c>
      <c r="H2262" t="s">
        <v>17</v>
      </c>
      <c r="I2262" t="str">
        <f>"062271002949"</f>
        <v>062271002949</v>
      </c>
    </row>
    <row r="2263" spans="1:9" x14ac:dyDescent="0.25">
      <c r="A2263" t="s">
        <v>2030</v>
      </c>
      <c r="B2263" t="s">
        <v>13</v>
      </c>
      <c r="C2263">
        <v>3.4</v>
      </c>
      <c r="D2263">
        <v>3.6</v>
      </c>
      <c r="E2263" t="s">
        <v>17</v>
      </c>
      <c r="F2263">
        <v>16.760000000000002</v>
      </c>
      <c r="G2263">
        <v>21.94</v>
      </c>
      <c r="H2263" t="s">
        <v>17</v>
      </c>
      <c r="I2263" t="str">
        <f>"063726006307"</f>
        <v>063726006307</v>
      </c>
    </row>
    <row r="2264" spans="1:9" x14ac:dyDescent="0.25">
      <c r="A2264" t="s">
        <v>2031</v>
      </c>
      <c r="B2264" t="s">
        <v>13</v>
      </c>
      <c r="C2264">
        <v>31.15</v>
      </c>
      <c r="D2264">
        <v>34.450000000000003</v>
      </c>
      <c r="E2264" t="s">
        <v>17</v>
      </c>
      <c r="F2264">
        <v>18.88</v>
      </c>
      <c r="G2264">
        <v>15.94</v>
      </c>
      <c r="H2264" t="s">
        <v>17</v>
      </c>
      <c r="I2264" t="str">
        <f>"063432001220"</f>
        <v>063432001220</v>
      </c>
    </row>
    <row r="2265" spans="1:9" x14ac:dyDescent="0.25">
      <c r="A2265" t="s">
        <v>2032</v>
      </c>
      <c r="B2265" t="s">
        <v>13</v>
      </c>
      <c r="C2265">
        <v>33.1</v>
      </c>
      <c r="D2265">
        <v>30.7</v>
      </c>
      <c r="E2265" t="s">
        <v>17</v>
      </c>
      <c r="F2265">
        <v>27.43</v>
      </c>
      <c r="G2265">
        <v>27.39</v>
      </c>
      <c r="H2265" t="s">
        <v>17</v>
      </c>
      <c r="I2265" t="str">
        <f>"061692003586"</f>
        <v>061692003586</v>
      </c>
    </row>
    <row r="2266" spans="1:9" x14ac:dyDescent="0.25">
      <c r="A2266" t="s">
        <v>2032</v>
      </c>
      <c r="B2266" t="s">
        <v>13</v>
      </c>
      <c r="C2266">
        <v>35.5</v>
      </c>
      <c r="D2266">
        <v>33.83</v>
      </c>
      <c r="E2266" t="s">
        <v>17</v>
      </c>
      <c r="F2266">
        <v>22.76</v>
      </c>
      <c r="G2266">
        <v>22.97</v>
      </c>
      <c r="H2266" t="s">
        <v>17</v>
      </c>
      <c r="I2266" t="str">
        <f>"064032006671"</f>
        <v>064032006671</v>
      </c>
    </row>
    <row r="2267" spans="1:9" x14ac:dyDescent="0.25">
      <c r="A2267" t="s">
        <v>2033</v>
      </c>
      <c r="B2267" t="s">
        <v>13</v>
      </c>
      <c r="C2267">
        <v>27.67</v>
      </c>
      <c r="D2267">
        <v>26.17</v>
      </c>
      <c r="E2267" t="s">
        <v>17</v>
      </c>
      <c r="F2267">
        <v>28.88</v>
      </c>
      <c r="G2267">
        <v>27.63</v>
      </c>
      <c r="H2267" t="s">
        <v>17</v>
      </c>
      <c r="I2267" t="str">
        <f>"061392007265"</f>
        <v>061392007265</v>
      </c>
    </row>
    <row r="2268" spans="1:9" x14ac:dyDescent="0.25">
      <c r="A2268" t="s">
        <v>2034</v>
      </c>
      <c r="B2268" t="s">
        <v>13</v>
      </c>
      <c r="C2268">
        <v>23.9</v>
      </c>
      <c r="D2268">
        <v>25.3</v>
      </c>
      <c r="E2268" t="s">
        <v>17</v>
      </c>
      <c r="F2268">
        <v>23.22</v>
      </c>
      <c r="G2268">
        <v>22.81</v>
      </c>
      <c r="H2268" t="s">
        <v>17</v>
      </c>
      <c r="I2268" t="str">
        <f>"062283003490"</f>
        <v>062283003490</v>
      </c>
    </row>
    <row r="2269" spans="1:9" x14ac:dyDescent="0.25">
      <c r="A2269" t="s">
        <v>2035</v>
      </c>
      <c r="B2269" t="s">
        <v>13</v>
      </c>
      <c r="C2269">
        <v>38.700000000000003</v>
      </c>
      <c r="D2269">
        <v>39.700000000000003</v>
      </c>
      <c r="E2269" t="s">
        <v>17</v>
      </c>
      <c r="F2269">
        <v>24.08</v>
      </c>
      <c r="G2269">
        <v>25.62</v>
      </c>
      <c r="H2269" t="s">
        <v>17</v>
      </c>
      <c r="I2269" t="str">
        <f>"060002705011"</f>
        <v>060002705011</v>
      </c>
    </row>
    <row r="2270" spans="1:9" x14ac:dyDescent="0.25">
      <c r="A2270" t="s">
        <v>2036</v>
      </c>
      <c r="B2270" t="s">
        <v>13</v>
      </c>
      <c r="C2270">
        <v>17</v>
      </c>
      <c r="D2270" t="s">
        <v>14</v>
      </c>
      <c r="E2270" t="s">
        <v>14</v>
      </c>
      <c r="F2270">
        <v>25.18</v>
      </c>
      <c r="G2270" t="s">
        <v>14</v>
      </c>
      <c r="H2270" t="s">
        <v>14</v>
      </c>
      <c r="I2270" t="str">
        <f>"062958013052"</f>
        <v>062958013052</v>
      </c>
    </row>
    <row r="2271" spans="1:9" x14ac:dyDescent="0.25">
      <c r="A2271" t="s">
        <v>2037</v>
      </c>
      <c r="B2271" t="s">
        <v>13</v>
      </c>
      <c r="C2271">
        <v>31</v>
      </c>
      <c r="D2271">
        <v>28</v>
      </c>
      <c r="E2271" t="s">
        <v>17</v>
      </c>
      <c r="F2271">
        <v>18.100000000000001</v>
      </c>
      <c r="G2271">
        <v>20.71</v>
      </c>
      <c r="H2271" t="s">
        <v>17</v>
      </c>
      <c r="I2271" t="str">
        <f>"061455008470"</f>
        <v>061455008470</v>
      </c>
    </row>
    <row r="2272" spans="1:9" x14ac:dyDescent="0.25">
      <c r="A2272" t="s">
        <v>2038</v>
      </c>
      <c r="B2272" t="s">
        <v>13</v>
      </c>
      <c r="C2272">
        <v>21.1</v>
      </c>
      <c r="D2272">
        <v>20.3</v>
      </c>
      <c r="E2272" t="s">
        <v>17</v>
      </c>
      <c r="F2272">
        <v>26.3</v>
      </c>
      <c r="G2272">
        <v>27.83</v>
      </c>
      <c r="H2272" t="s">
        <v>17</v>
      </c>
      <c r="I2272" t="str">
        <f>"063384005235"</f>
        <v>063384005235</v>
      </c>
    </row>
    <row r="2273" spans="1:9" x14ac:dyDescent="0.25">
      <c r="A2273" t="s">
        <v>2039</v>
      </c>
      <c r="B2273" t="s">
        <v>13</v>
      </c>
      <c r="C2273">
        <v>35.799999999999997</v>
      </c>
      <c r="D2273">
        <v>39</v>
      </c>
      <c r="E2273" t="s">
        <v>17</v>
      </c>
      <c r="F2273">
        <v>25.67</v>
      </c>
      <c r="G2273">
        <v>23.87</v>
      </c>
      <c r="H2273" t="s">
        <v>17</v>
      </c>
      <c r="I2273" t="str">
        <f>"061233001410"</f>
        <v>061233001410</v>
      </c>
    </row>
    <row r="2274" spans="1:9" x14ac:dyDescent="0.25">
      <c r="A2274" t="s">
        <v>2040</v>
      </c>
      <c r="B2274" t="s">
        <v>13</v>
      </c>
      <c r="C2274">
        <v>65.81</v>
      </c>
      <c r="D2274">
        <v>62.2</v>
      </c>
      <c r="E2274" t="s">
        <v>17</v>
      </c>
      <c r="F2274">
        <v>15.56</v>
      </c>
      <c r="G2274">
        <v>16.27</v>
      </c>
      <c r="H2274" t="s">
        <v>17</v>
      </c>
      <c r="I2274" t="str">
        <f>"062961010323"</f>
        <v>062961010323</v>
      </c>
    </row>
    <row r="2275" spans="1:9" x14ac:dyDescent="0.25">
      <c r="A2275" t="s">
        <v>2040</v>
      </c>
      <c r="B2275" t="s">
        <v>13</v>
      </c>
      <c r="C2275">
        <v>45.23</v>
      </c>
      <c r="D2275">
        <v>46.23</v>
      </c>
      <c r="E2275" t="s">
        <v>17</v>
      </c>
      <c r="F2275">
        <v>26.16</v>
      </c>
      <c r="G2275">
        <v>24.42</v>
      </c>
      <c r="H2275" t="s">
        <v>17</v>
      </c>
      <c r="I2275" t="str">
        <f>"060645000570"</f>
        <v>060645000570</v>
      </c>
    </row>
    <row r="2276" spans="1:9" x14ac:dyDescent="0.25">
      <c r="A2276" t="s">
        <v>2041</v>
      </c>
      <c r="B2276" t="s">
        <v>13</v>
      </c>
      <c r="C2276">
        <v>31.33</v>
      </c>
      <c r="D2276">
        <v>34.54</v>
      </c>
      <c r="E2276" t="s">
        <v>17</v>
      </c>
      <c r="F2276">
        <v>23.46</v>
      </c>
      <c r="G2276">
        <v>27.36</v>
      </c>
      <c r="H2276" t="s">
        <v>17</v>
      </c>
      <c r="I2276" t="str">
        <f>"062271003109"</f>
        <v>062271003109</v>
      </c>
    </row>
    <row r="2277" spans="1:9" x14ac:dyDescent="0.25">
      <c r="A2277" t="s">
        <v>2042</v>
      </c>
      <c r="B2277" t="s">
        <v>13</v>
      </c>
      <c r="C2277">
        <v>27</v>
      </c>
      <c r="D2277">
        <v>24</v>
      </c>
      <c r="E2277" t="s">
        <v>17</v>
      </c>
      <c r="F2277">
        <v>28.89</v>
      </c>
      <c r="G2277">
        <v>28.71</v>
      </c>
      <c r="H2277" t="s">
        <v>17</v>
      </c>
      <c r="I2277" t="str">
        <f>"061296008289"</f>
        <v>061296008289</v>
      </c>
    </row>
    <row r="2278" spans="1:9" x14ac:dyDescent="0.25">
      <c r="A2278" t="s">
        <v>2043</v>
      </c>
      <c r="B2278" t="s">
        <v>13</v>
      </c>
      <c r="C2278">
        <v>68.510000000000005</v>
      </c>
      <c r="D2278">
        <v>78.010000000000005</v>
      </c>
      <c r="E2278" t="s">
        <v>17</v>
      </c>
      <c r="F2278">
        <v>20.170000000000002</v>
      </c>
      <c r="G2278">
        <v>18.22</v>
      </c>
      <c r="H2278" t="s">
        <v>17</v>
      </c>
      <c r="I2278" t="str">
        <f>"062271003058"</f>
        <v>062271003058</v>
      </c>
    </row>
    <row r="2279" spans="1:9" x14ac:dyDescent="0.25">
      <c r="A2279" t="s">
        <v>2044</v>
      </c>
      <c r="B2279" t="s">
        <v>13</v>
      </c>
      <c r="C2279">
        <v>18</v>
      </c>
      <c r="D2279">
        <v>18</v>
      </c>
      <c r="E2279" t="s">
        <v>17</v>
      </c>
      <c r="F2279">
        <v>26.72</v>
      </c>
      <c r="G2279">
        <v>27.17</v>
      </c>
      <c r="H2279" t="s">
        <v>17</v>
      </c>
      <c r="I2279" t="str">
        <f>"063417005356"</f>
        <v>063417005356</v>
      </c>
    </row>
    <row r="2280" spans="1:9" x14ac:dyDescent="0.25">
      <c r="A2280" t="s">
        <v>2045</v>
      </c>
      <c r="B2280" t="s">
        <v>13</v>
      </c>
      <c r="C2280">
        <v>7</v>
      </c>
      <c r="D2280">
        <v>5</v>
      </c>
      <c r="E2280" t="s">
        <v>17</v>
      </c>
      <c r="F2280">
        <v>4.43</v>
      </c>
      <c r="G2280">
        <v>7.8</v>
      </c>
      <c r="H2280" t="s">
        <v>17</v>
      </c>
      <c r="I2280" t="str">
        <f>"069103012550"</f>
        <v>069103012550</v>
      </c>
    </row>
    <row r="2281" spans="1:9" x14ac:dyDescent="0.25">
      <c r="A2281" t="s">
        <v>2046</v>
      </c>
      <c r="B2281" t="s">
        <v>13</v>
      </c>
      <c r="C2281">
        <v>34.67</v>
      </c>
      <c r="D2281">
        <v>36</v>
      </c>
      <c r="E2281" t="s">
        <v>17</v>
      </c>
      <c r="F2281">
        <v>21.81</v>
      </c>
      <c r="G2281">
        <v>21.58</v>
      </c>
      <c r="H2281" t="s">
        <v>17</v>
      </c>
      <c r="I2281" t="str">
        <f>"062781004209"</f>
        <v>062781004209</v>
      </c>
    </row>
    <row r="2282" spans="1:9" x14ac:dyDescent="0.25">
      <c r="A2282" t="s">
        <v>2047</v>
      </c>
      <c r="B2282" t="s">
        <v>13</v>
      </c>
      <c r="C2282" t="s">
        <v>14</v>
      </c>
      <c r="D2282" t="s">
        <v>14</v>
      </c>
      <c r="E2282" t="s">
        <v>17</v>
      </c>
      <c r="F2282" t="s">
        <v>14</v>
      </c>
      <c r="G2282" t="s">
        <v>14</v>
      </c>
      <c r="H2282" t="s">
        <v>17</v>
      </c>
      <c r="I2282" t="str">
        <f>"062223008326"</f>
        <v>062223008326</v>
      </c>
    </row>
    <row r="2283" spans="1:9" x14ac:dyDescent="0.25">
      <c r="A2283" t="s">
        <v>2048</v>
      </c>
      <c r="B2283" t="s">
        <v>13</v>
      </c>
      <c r="C2283">
        <v>12.31</v>
      </c>
      <c r="D2283">
        <v>12.33</v>
      </c>
      <c r="E2283" t="s">
        <v>17</v>
      </c>
      <c r="F2283">
        <v>25.59</v>
      </c>
      <c r="G2283">
        <v>24.66</v>
      </c>
      <c r="H2283" t="s">
        <v>17</v>
      </c>
      <c r="I2283" t="str">
        <f>"062223002642"</f>
        <v>062223002642</v>
      </c>
    </row>
    <row r="2284" spans="1:9" x14ac:dyDescent="0.25">
      <c r="A2284" t="s">
        <v>2049</v>
      </c>
      <c r="B2284" t="s">
        <v>13</v>
      </c>
      <c r="C2284">
        <v>48.51</v>
      </c>
      <c r="D2284">
        <v>55</v>
      </c>
      <c r="E2284" t="s">
        <v>17</v>
      </c>
      <c r="F2284">
        <v>21.44</v>
      </c>
      <c r="G2284">
        <v>20.09</v>
      </c>
      <c r="H2284" t="s">
        <v>17</v>
      </c>
      <c r="I2284" t="str">
        <f>"060962007272"</f>
        <v>060962007272</v>
      </c>
    </row>
    <row r="2285" spans="1:9" x14ac:dyDescent="0.25">
      <c r="A2285" t="s">
        <v>2050</v>
      </c>
      <c r="B2285" t="s">
        <v>13</v>
      </c>
      <c r="C2285">
        <v>10.3</v>
      </c>
      <c r="D2285">
        <v>9.9</v>
      </c>
      <c r="E2285" t="s">
        <v>17</v>
      </c>
      <c r="F2285">
        <v>10.97</v>
      </c>
      <c r="G2285">
        <v>13.23</v>
      </c>
      <c r="H2285" t="s">
        <v>17</v>
      </c>
      <c r="I2285" t="str">
        <f>"061062010344"</f>
        <v>061062010344</v>
      </c>
    </row>
    <row r="2286" spans="1:9" x14ac:dyDescent="0.25">
      <c r="A2286" t="s">
        <v>2051</v>
      </c>
      <c r="B2286" t="s">
        <v>13</v>
      </c>
      <c r="C2286">
        <v>72.2</v>
      </c>
      <c r="D2286">
        <v>74.400000000000006</v>
      </c>
      <c r="E2286" t="s">
        <v>17</v>
      </c>
      <c r="F2286">
        <v>24.2</v>
      </c>
      <c r="G2286">
        <v>23.09</v>
      </c>
      <c r="H2286" t="s">
        <v>17</v>
      </c>
      <c r="I2286" t="str">
        <f>"061062001176"</f>
        <v>061062001176</v>
      </c>
    </row>
    <row r="2287" spans="1:9" x14ac:dyDescent="0.25">
      <c r="A2287" t="s">
        <v>2052</v>
      </c>
      <c r="B2287" t="s">
        <v>13</v>
      </c>
      <c r="C2287" t="s">
        <v>17</v>
      </c>
      <c r="D2287" t="s">
        <v>14</v>
      </c>
      <c r="E2287" t="s">
        <v>14</v>
      </c>
      <c r="F2287" t="s">
        <v>17</v>
      </c>
      <c r="G2287" t="s">
        <v>14</v>
      </c>
      <c r="H2287" t="s">
        <v>14</v>
      </c>
      <c r="I2287" t="str">
        <f>"061062013626"</f>
        <v>061062013626</v>
      </c>
    </row>
    <row r="2288" spans="1:9" x14ac:dyDescent="0.25">
      <c r="A2288" t="s">
        <v>2053</v>
      </c>
      <c r="B2288" t="s">
        <v>13</v>
      </c>
      <c r="C2288">
        <v>47.33</v>
      </c>
      <c r="D2288">
        <v>44.91</v>
      </c>
      <c r="E2288" t="s">
        <v>17</v>
      </c>
      <c r="F2288">
        <v>25.54</v>
      </c>
      <c r="G2288">
        <v>26.94</v>
      </c>
      <c r="H2288" t="s">
        <v>17</v>
      </c>
      <c r="I2288" t="str">
        <f>"061296011095"</f>
        <v>061296011095</v>
      </c>
    </row>
    <row r="2289" spans="1:9" x14ac:dyDescent="0.25">
      <c r="A2289" t="s">
        <v>2054</v>
      </c>
      <c r="B2289" t="s">
        <v>13</v>
      </c>
      <c r="C2289">
        <v>11.7</v>
      </c>
      <c r="D2289">
        <v>11.2</v>
      </c>
      <c r="E2289" t="s">
        <v>17</v>
      </c>
      <c r="F2289">
        <v>16.579999999999998</v>
      </c>
      <c r="G2289">
        <v>21.43</v>
      </c>
      <c r="H2289" t="s">
        <v>17</v>
      </c>
      <c r="I2289" t="str">
        <f>"061233001395"</f>
        <v>061233001395</v>
      </c>
    </row>
    <row r="2290" spans="1:9" x14ac:dyDescent="0.25">
      <c r="A2290" t="s">
        <v>2055</v>
      </c>
      <c r="B2290" t="s">
        <v>13</v>
      </c>
      <c r="C2290">
        <v>22.54</v>
      </c>
      <c r="D2290">
        <v>22</v>
      </c>
      <c r="E2290" t="s">
        <v>17</v>
      </c>
      <c r="F2290">
        <v>22.76</v>
      </c>
      <c r="G2290">
        <v>23.55</v>
      </c>
      <c r="H2290" t="s">
        <v>17</v>
      </c>
      <c r="I2290" t="str">
        <f>"063471007484"</f>
        <v>063471007484</v>
      </c>
    </row>
    <row r="2291" spans="1:9" x14ac:dyDescent="0.25">
      <c r="A2291" t="s">
        <v>2056</v>
      </c>
      <c r="B2291" t="s">
        <v>13</v>
      </c>
      <c r="C2291">
        <v>27</v>
      </c>
      <c r="D2291">
        <v>27.01</v>
      </c>
      <c r="E2291" t="s">
        <v>17</v>
      </c>
      <c r="F2291">
        <v>22.19</v>
      </c>
      <c r="G2291">
        <v>22.25</v>
      </c>
      <c r="H2291" t="s">
        <v>17</v>
      </c>
      <c r="I2291" t="str">
        <f>"062271002950"</f>
        <v>062271002950</v>
      </c>
    </row>
    <row r="2292" spans="1:9" x14ac:dyDescent="0.25">
      <c r="A2292" t="s">
        <v>2057</v>
      </c>
      <c r="B2292" t="s">
        <v>13</v>
      </c>
      <c r="C2292" t="s">
        <v>17</v>
      </c>
      <c r="D2292">
        <v>32</v>
      </c>
      <c r="E2292" t="s">
        <v>17</v>
      </c>
      <c r="F2292" t="s">
        <v>17</v>
      </c>
      <c r="G2292">
        <v>25.28</v>
      </c>
      <c r="H2292" t="s">
        <v>17</v>
      </c>
      <c r="I2292" t="str">
        <f>"060690000635"</f>
        <v>060690000635</v>
      </c>
    </row>
    <row r="2293" spans="1:9" x14ac:dyDescent="0.25">
      <c r="A2293" t="s">
        <v>2058</v>
      </c>
      <c r="B2293" t="s">
        <v>13</v>
      </c>
      <c r="C2293">
        <v>31.61</v>
      </c>
      <c r="D2293">
        <v>27.33</v>
      </c>
      <c r="E2293" t="s">
        <v>17</v>
      </c>
      <c r="F2293">
        <v>25.37</v>
      </c>
      <c r="G2293">
        <v>24.08</v>
      </c>
      <c r="H2293" t="s">
        <v>17</v>
      </c>
      <c r="I2293" t="str">
        <f>"064098006750"</f>
        <v>064098006750</v>
      </c>
    </row>
    <row r="2294" spans="1:9" x14ac:dyDescent="0.25">
      <c r="A2294" t="s">
        <v>2059</v>
      </c>
      <c r="B2294" t="s">
        <v>13</v>
      </c>
      <c r="C2294">
        <v>24</v>
      </c>
      <c r="D2294">
        <v>27.67</v>
      </c>
      <c r="E2294" t="s">
        <v>17</v>
      </c>
      <c r="F2294">
        <v>24.46</v>
      </c>
      <c r="G2294">
        <v>22.88</v>
      </c>
      <c r="H2294" t="s">
        <v>17</v>
      </c>
      <c r="I2294" t="str">
        <f>"060369000328"</f>
        <v>060369000328</v>
      </c>
    </row>
    <row r="2295" spans="1:9" x14ac:dyDescent="0.25">
      <c r="A2295" t="s">
        <v>2059</v>
      </c>
      <c r="B2295" t="s">
        <v>13</v>
      </c>
      <c r="C2295">
        <v>18</v>
      </c>
      <c r="D2295">
        <v>18</v>
      </c>
      <c r="E2295" t="s">
        <v>17</v>
      </c>
      <c r="F2295">
        <v>31.11</v>
      </c>
      <c r="G2295">
        <v>28.28</v>
      </c>
      <c r="H2295" t="s">
        <v>17</v>
      </c>
      <c r="I2295" t="str">
        <f>"063444009190"</f>
        <v>063444009190</v>
      </c>
    </row>
    <row r="2296" spans="1:9" x14ac:dyDescent="0.25">
      <c r="A2296" t="s">
        <v>2060</v>
      </c>
      <c r="B2296" t="s">
        <v>13</v>
      </c>
      <c r="C2296">
        <v>16.3</v>
      </c>
      <c r="D2296">
        <v>18.75</v>
      </c>
      <c r="E2296" t="s">
        <v>17</v>
      </c>
      <c r="F2296">
        <v>29.69</v>
      </c>
      <c r="G2296">
        <v>27.04</v>
      </c>
      <c r="H2296" t="s">
        <v>17</v>
      </c>
      <c r="I2296" t="str">
        <f>"061203001332"</f>
        <v>061203001332</v>
      </c>
    </row>
    <row r="2297" spans="1:9" x14ac:dyDescent="0.25">
      <c r="A2297" t="s">
        <v>2061</v>
      </c>
      <c r="B2297" t="s">
        <v>13</v>
      </c>
      <c r="C2297">
        <v>28.21</v>
      </c>
      <c r="D2297">
        <v>25.17</v>
      </c>
      <c r="E2297" t="s">
        <v>17</v>
      </c>
      <c r="F2297">
        <v>21.41</v>
      </c>
      <c r="G2297">
        <v>22.45</v>
      </c>
      <c r="H2297" t="s">
        <v>17</v>
      </c>
      <c r="I2297" t="str">
        <f>"062847004393"</f>
        <v>062847004393</v>
      </c>
    </row>
    <row r="2298" spans="1:9" x14ac:dyDescent="0.25">
      <c r="A2298" t="s">
        <v>2062</v>
      </c>
      <c r="B2298" t="s">
        <v>13</v>
      </c>
      <c r="C2298">
        <v>47.96</v>
      </c>
      <c r="D2298">
        <v>44.75</v>
      </c>
      <c r="E2298" t="s">
        <v>17</v>
      </c>
      <c r="F2298">
        <v>21.43</v>
      </c>
      <c r="G2298">
        <v>18.95</v>
      </c>
      <c r="H2298" t="s">
        <v>17</v>
      </c>
      <c r="I2298" t="str">
        <f>"063255005018"</f>
        <v>063255005018</v>
      </c>
    </row>
    <row r="2299" spans="1:9" x14ac:dyDescent="0.25">
      <c r="A2299" t="s">
        <v>2063</v>
      </c>
      <c r="B2299" t="s">
        <v>13</v>
      </c>
      <c r="C2299">
        <v>28</v>
      </c>
      <c r="D2299">
        <v>28</v>
      </c>
      <c r="E2299" t="s">
        <v>17</v>
      </c>
      <c r="F2299">
        <v>22.75</v>
      </c>
      <c r="G2299">
        <v>22.75</v>
      </c>
      <c r="H2299" t="s">
        <v>17</v>
      </c>
      <c r="I2299" t="str">
        <f>"063559006061"</f>
        <v>063559006061</v>
      </c>
    </row>
    <row r="2300" spans="1:9" x14ac:dyDescent="0.25">
      <c r="A2300" t="s">
        <v>2064</v>
      </c>
      <c r="B2300" t="s">
        <v>13</v>
      </c>
      <c r="C2300">
        <v>21.6</v>
      </c>
      <c r="D2300">
        <v>20.79</v>
      </c>
      <c r="E2300" t="s">
        <v>17</v>
      </c>
      <c r="F2300">
        <v>26.57</v>
      </c>
      <c r="G2300">
        <v>27.71</v>
      </c>
      <c r="H2300" t="s">
        <v>17</v>
      </c>
      <c r="I2300" t="str">
        <f>"063386005295"</f>
        <v>063386005295</v>
      </c>
    </row>
    <row r="2301" spans="1:9" x14ac:dyDescent="0.25">
      <c r="A2301" t="s">
        <v>2065</v>
      </c>
      <c r="B2301" t="s">
        <v>13</v>
      </c>
      <c r="C2301">
        <v>42.88</v>
      </c>
      <c r="D2301">
        <v>44.4</v>
      </c>
      <c r="E2301" t="s">
        <v>17</v>
      </c>
      <c r="F2301">
        <v>22.69</v>
      </c>
      <c r="G2301">
        <v>22.16</v>
      </c>
      <c r="H2301" t="s">
        <v>17</v>
      </c>
      <c r="I2301" t="str">
        <f>"063432008964"</f>
        <v>063432008964</v>
      </c>
    </row>
    <row r="2302" spans="1:9" x14ac:dyDescent="0.25">
      <c r="A2302" t="s">
        <v>2066</v>
      </c>
      <c r="B2302" t="s">
        <v>13</v>
      </c>
      <c r="C2302">
        <v>22</v>
      </c>
      <c r="D2302">
        <v>23</v>
      </c>
      <c r="E2302" t="s">
        <v>17</v>
      </c>
      <c r="F2302">
        <v>31.55</v>
      </c>
      <c r="G2302">
        <v>29.52</v>
      </c>
      <c r="H2302" t="s">
        <v>17</v>
      </c>
      <c r="I2302" t="str">
        <f>"064065006713"</f>
        <v>064065006713</v>
      </c>
    </row>
    <row r="2303" spans="1:9" x14ac:dyDescent="0.25">
      <c r="A2303" t="s">
        <v>2067</v>
      </c>
      <c r="B2303" t="s">
        <v>13</v>
      </c>
      <c r="C2303">
        <v>23</v>
      </c>
      <c r="D2303">
        <v>21</v>
      </c>
      <c r="E2303" t="s">
        <v>17</v>
      </c>
      <c r="F2303">
        <v>22.61</v>
      </c>
      <c r="G2303">
        <v>24.24</v>
      </c>
      <c r="H2303" t="s">
        <v>17</v>
      </c>
      <c r="I2303" t="str">
        <f>"062271002951"</f>
        <v>062271002951</v>
      </c>
    </row>
    <row r="2304" spans="1:9" x14ac:dyDescent="0.25">
      <c r="A2304" t="s">
        <v>2068</v>
      </c>
      <c r="B2304" t="s">
        <v>13</v>
      </c>
      <c r="C2304">
        <v>1</v>
      </c>
      <c r="D2304">
        <v>1</v>
      </c>
      <c r="E2304" t="s">
        <v>17</v>
      </c>
      <c r="F2304">
        <v>4</v>
      </c>
      <c r="G2304">
        <v>4</v>
      </c>
      <c r="H2304" t="s">
        <v>17</v>
      </c>
      <c r="I2304" t="str">
        <f>"061068001185"</f>
        <v>061068001185</v>
      </c>
    </row>
    <row r="2305" spans="1:9" x14ac:dyDescent="0.25">
      <c r="A2305" t="s">
        <v>2069</v>
      </c>
      <c r="B2305" t="s">
        <v>13</v>
      </c>
      <c r="C2305">
        <v>3.2</v>
      </c>
      <c r="D2305">
        <v>4.1399999999999997</v>
      </c>
      <c r="E2305" t="s">
        <v>17</v>
      </c>
      <c r="F2305">
        <v>4.0599999999999996</v>
      </c>
      <c r="G2305">
        <v>7.49</v>
      </c>
      <c r="H2305" t="s">
        <v>17</v>
      </c>
      <c r="I2305" t="str">
        <f>"061068007096"</f>
        <v>061068007096</v>
      </c>
    </row>
    <row r="2306" spans="1:9" x14ac:dyDescent="0.25">
      <c r="A2306" t="s">
        <v>2070</v>
      </c>
      <c r="B2306" t="s">
        <v>13</v>
      </c>
      <c r="C2306">
        <v>24</v>
      </c>
      <c r="D2306">
        <v>23</v>
      </c>
      <c r="E2306" t="s">
        <v>17</v>
      </c>
      <c r="F2306">
        <v>26.54</v>
      </c>
      <c r="G2306">
        <v>27.91</v>
      </c>
      <c r="H2306" t="s">
        <v>17</v>
      </c>
      <c r="I2306" t="str">
        <f>"061455011895"</f>
        <v>061455011895</v>
      </c>
    </row>
    <row r="2307" spans="1:9" x14ac:dyDescent="0.25">
      <c r="A2307" t="s">
        <v>2071</v>
      </c>
      <c r="B2307" t="s">
        <v>13</v>
      </c>
      <c r="C2307">
        <v>20.5</v>
      </c>
      <c r="D2307">
        <v>23.5</v>
      </c>
      <c r="E2307" t="s">
        <v>17</v>
      </c>
      <c r="F2307">
        <v>27.51</v>
      </c>
      <c r="G2307">
        <v>23.45</v>
      </c>
      <c r="H2307" t="s">
        <v>17</v>
      </c>
      <c r="I2307" t="str">
        <f>"063132007332"</f>
        <v>063132007332</v>
      </c>
    </row>
    <row r="2308" spans="1:9" x14ac:dyDescent="0.25">
      <c r="A2308" t="s">
        <v>2072</v>
      </c>
      <c r="B2308" t="s">
        <v>13</v>
      </c>
      <c r="C2308">
        <v>5.45</v>
      </c>
      <c r="D2308" t="s">
        <v>14</v>
      </c>
      <c r="E2308" t="s">
        <v>14</v>
      </c>
      <c r="F2308">
        <v>28.26</v>
      </c>
      <c r="G2308" t="s">
        <v>14</v>
      </c>
      <c r="H2308" t="s">
        <v>14</v>
      </c>
      <c r="I2308" t="str">
        <f>"062691013202"</f>
        <v>062691013202</v>
      </c>
    </row>
    <row r="2309" spans="1:9" x14ac:dyDescent="0.25">
      <c r="A2309" t="s">
        <v>2073</v>
      </c>
      <c r="B2309" t="s">
        <v>13</v>
      </c>
      <c r="C2309">
        <v>4.22</v>
      </c>
      <c r="D2309">
        <v>3.53</v>
      </c>
      <c r="E2309" t="s">
        <v>17</v>
      </c>
      <c r="F2309">
        <v>15.88</v>
      </c>
      <c r="G2309">
        <v>24.08</v>
      </c>
      <c r="H2309" t="s">
        <v>17</v>
      </c>
      <c r="I2309" t="str">
        <f>"060003508425"</f>
        <v>060003508425</v>
      </c>
    </row>
    <row r="2310" spans="1:9" x14ac:dyDescent="0.25">
      <c r="A2310" t="s">
        <v>2074</v>
      </c>
      <c r="B2310" t="s">
        <v>13</v>
      </c>
      <c r="C2310">
        <v>19.2</v>
      </c>
      <c r="D2310">
        <v>17.5</v>
      </c>
      <c r="E2310" t="s">
        <v>17</v>
      </c>
      <c r="F2310">
        <v>28.44</v>
      </c>
      <c r="G2310">
        <v>30</v>
      </c>
      <c r="H2310" t="s">
        <v>17</v>
      </c>
      <c r="I2310" t="str">
        <f>"063153010005"</f>
        <v>063153010005</v>
      </c>
    </row>
    <row r="2311" spans="1:9" x14ac:dyDescent="0.25">
      <c r="A2311" t="s">
        <v>2074</v>
      </c>
      <c r="B2311" t="s">
        <v>13</v>
      </c>
      <c r="C2311">
        <v>21</v>
      </c>
      <c r="D2311">
        <v>23</v>
      </c>
      <c r="E2311" t="s">
        <v>17</v>
      </c>
      <c r="F2311">
        <v>28.43</v>
      </c>
      <c r="G2311">
        <v>27.83</v>
      </c>
      <c r="H2311" t="s">
        <v>17</v>
      </c>
      <c r="I2311" t="str">
        <f>"060216007640"</f>
        <v>060216007640</v>
      </c>
    </row>
    <row r="2312" spans="1:9" x14ac:dyDescent="0.25">
      <c r="A2312" t="s">
        <v>2075</v>
      </c>
      <c r="B2312" t="s">
        <v>13</v>
      </c>
      <c r="C2312">
        <v>16.96</v>
      </c>
      <c r="D2312">
        <v>19.899999999999999</v>
      </c>
      <c r="E2312" t="s">
        <v>17</v>
      </c>
      <c r="F2312">
        <v>26.47</v>
      </c>
      <c r="G2312">
        <v>23.02</v>
      </c>
      <c r="H2312" t="s">
        <v>17</v>
      </c>
      <c r="I2312" t="str">
        <f>"062682004060"</f>
        <v>062682004060</v>
      </c>
    </row>
    <row r="2313" spans="1:9" x14ac:dyDescent="0.25">
      <c r="A2313" t="s">
        <v>2076</v>
      </c>
      <c r="B2313" t="s">
        <v>13</v>
      </c>
      <c r="C2313">
        <v>114.91</v>
      </c>
      <c r="D2313">
        <v>119.7</v>
      </c>
      <c r="E2313" t="s">
        <v>17</v>
      </c>
      <c r="F2313">
        <v>23.59</v>
      </c>
      <c r="G2313">
        <v>22.84</v>
      </c>
      <c r="H2313" t="s">
        <v>17</v>
      </c>
      <c r="I2313" t="str">
        <f>"060285005724"</f>
        <v>060285005724</v>
      </c>
    </row>
    <row r="2314" spans="1:9" x14ac:dyDescent="0.25">
      <c r="A2314" t="s">
        <v>2077</v>
      </c>
      <c r="B2314" t="s">
        <v>13</v>
      </c>
      <c r="C2314">
        <v>20.71</v>
      </c>
      <c r="D2314">
        <v>20</v>
      </c>
      <c r="E2314" t="s">
        <v>17</v>
      </c>
      <c r="F2314">
        <v>31.72</v>
      </c>
      <c r="G2314">
        <v>31.65</v>
      </c>
      <c r="H2314" t="s">
        <v>17</v>
      </c>
      <c r="I2314" t="str">
        <f>"068450007054"</f>
        <v>068450007054</v>
      </c>
    </row>
    <row r="2315" spans="1:9" x14ac:dyDescent="0.25">
      <c r="A2315" t="s">
        <v>2078</v>
      </c>
      <c r="B2315" t="s">
        <v>13</v>
      </c>
      <c r="C2315">
        <v>53.15</v>
      </c>
      <c r="D2315">
        <v>52.44</v>
      </c>
      <c r="E2315" t="s">
        <v>17</v>
      </c>
      <c r="F2315">
        <v>23.48</v>
      </c>
      <c r="G2315">
        <v>21.28</v>
      </c>
      <c r="H2315" t="s">
        <v>17</v>
      </c>
      <c r="I2315" t="str">
        <f>"061071010626"</f>
        <v>061071010626</v>
      </c>
    </row>
    <row r="2316" spans="1:9" x14ac:dyDescent="0.25">
      <c r="A2316" t="s">
        <v>2079</v>
      </c>
      <c r="B2316" t="s">
        <v>13</v>
      </c>
      <c r="C2316">
        <v>11.12</v>
      </c>
      <c r="D2316">
        <v>13.12</v>
      </c>
      <c r="E2316" t="s">
        <v>17</v>
      </c>
      <c r="F2316">
        <v>19.329999999999998</v>
      </c>
      <c r="G2316">
        <v>17.53</v>
      </c>
      <c r="H2316" t="s">
        <v>17</v>
      </c>
      <c r="I2316" t="str">
        <f>"061071001188"</f>
        <v>061071001188</v>
      </c>
    </row>
    <row r="2317" spans="1:9" x14ac:dyDescent="0.25">
      <c r="A2317" t="s">
        <v>2080</v>
      </c>
      <c r="B2317" t="s">
        <v>13</v>
      </c>
      <c r="C2317">
        <v>7</v>
      </c>
      <c r="D2317">
        <v>6.6</v>
      </c>
      <c r="E2317" t="s">
        <v>17</v>
      </c>
      <c r="F2317">
        <v>8.43</v>
      </c>
      <c r="G2317">
        <v>6.21</v>
      </c>
      <c r="H2317" t="s">
        <v>17</v>
      </c>
      <c r="I2317" t="str">
        <f>"063513005946"</f>
        <v>063513005946</v>
      </c>
    </row>
    <row r="2318" spans="1:9" x14ac:dyDescent="0.25">
      <c r="A2318" t="s">
        <v>2081</v>
      </c>
      <c r="B2318" t="s">
        <v>13</v>
      </c>
      <c r="C2318">
        <v>17</v>
      </c>
      <c r="D2318">
        <v>17</v>
      </c>
      <c r="E2318" t="s">
        <v>17</v>
      </c>
      <c r="F2318">
        <v>24.06</v>
      </c>
      <c r="G2318">
        <v>24.29</v>
      </c>
      <c r="H2318" t="s">
        <v>17</v>
      </c>
      <c r="I2318" t="str">
        <f>"062271002952"</f>
        <v>062271002952</v>
      </c>
    </row>
    <row r="2319" spans="1:9" x14ac:dyDescent="0.25">
      <c r="A2319" t="s">
        <v>2082</v>
      </c>
      <c r="B2319" t="s">
        <v>13</v>
      </c>
      <c r="C2319">
        <v>79.040000000000006</v>
      </c>
      <c r="D2319">
        <v>77.33</v>
      </c>
      <c r="E2319" t="s">
        <v>17</v>
      </c>
      <c r="F2319">
        <v>24.65</v>
      </c>
      <c r="G2319">
        <v>24.87</v>
      </c>
      <c r="H2319" t="s">
        <v>17</v>
      </c>
      <c r="I2319" t="str">
        <f>"063462005769"</f>
        <v>063462005769</v>
      </c>
    </row>
    <row r="2320" spans="1:9" x14ac:dyDescent="0.25">
      <c r="A2320" t="s">
        <v>2083</v>
      </c>
      <c r="B2320" t="s">
        <v>13</v>
      </c>
      <c r="C2320">
        <v>20.7</v>
      </c>
      <c r="D2320">
        <v>20.7</v>
      </c>
      <c r="E2320" t="s">
        <v>17</v>
      </c>
      <c r="F2320">
        <v>27.05</v>
      </c>
      <c r="G2320">
        <v>27.92</v>
      </c>
      <c r="H2320" t="s">
        <v>17</v>
      </c>
      <c r="I2320" t="str">
        <f>"063386005294"</f>
        <v>063386005294</v>
      </c>
    </row>
    <row r="2321" spans="1:9" x14ac:dyDescent="0.25">
      <c r="A2321" t="s">
        <v>2084</v>
      </c>
      <c r="B2321" t="s">
        <v>13</v>
      </c>
      <c r="C2321">
        <v>17.03</v>
      </c>
      <c r="D2321">
        <v>19</v>
      </c>
      <c r="E2321" t="s">
        <v>17</v>
      </c>
      <c r="F2321">
        <v>30.06</v>
      </c>
      <c r="G2321">
        <v>26.21</v>
      </c>
      <c r="H2321" t="s">
        <v>17</v>
      </c>
      <c r="I2321" t="str">
        <f>"063462005770"</f>
        <v>063462005770</v>
      </c>
    </row>
    <row r="2322" spans="1:9" x14ac:dyDescent="0.25">
      <c r="A2322" t="s">
        <v>2085</v>
      </c>
      <c r="B2322" t="s">
        <v>13</v>
      </c>
      <c r="C2322">
        <v>40.200000000000003</v>
      </c>
      <c r="D2322">
        <v>40.94</v>
      </c>
      <c r="E2322" t="s">
        <v>17</v>
      </c>
      <c r="F2322">
        <v>20.72</v>
      </c>
      <c r="G2322">
        <v>20.59</v>
      </c>
      <c r="H2322" t="s">
        <v>17</v>
      </c>
      <c r="I2322" t="str">
        <f>"061288001453"</f>
        <v>061288001453</v>
      </c>
    </row>
    <row r="2323" spans="1:9" x14ac:dyDescent="0.25">
      <c r="A2323" t="s">
        <v>2086</v>
      </c>
      <c r="B2323" t="s">
        <v>13</v>
      </c>
      <c r="C2323" t="s">
        <v>17</v>
      </c>
      <c r="D2323" t="s">
        <v>14</v>
      </c>
      <c r="E2323" t="s">
        <v>14</v>
      </c>
      <c r="F2323" t="s">
        <v>17</v>
      </c>
      <c r="G2323" t="s">
        <v>14</v>
      </c>
      <c r="H2323" t="s">
        <v>14</v>
      </c>
      <c r="I2323" t="str">
        <f>"061291013061"</f>
        <v>061291013061</v>
      </c>
    </row>
    <row r="2324" spans="1:9" x14ac:dyDescent="0.25">
      <c r="A2324" t="s">
        <v>2087</v>
      </c>
      <c r="B2324" t="s">
        <v>13</v>
      </c>
      <c r="C2324">
        <v>25.2</v>
      </c>
      <c r="D2324">
        <v>22.5</v>
      </c>
      <c r="E2324" t="s">
        <v>17</v>
      </c>
      <c r="F2324">
        <v>25.91</v>
      </c>
      <c r="G2324">
        <v>27.96</v>
      </c>
      <c r="H2324" t="s">
        <v>17</v>
      </c>
      <c r="I2324" t="str">
        <f>"063386007341"</f>
        <v>063386007341</v>
      </c>
    </row>
    <row r="2325" spans="1:9" x14ac:dyDescent="0.25">
      <c r="A2325" t="s">
        <v>2088</v>
      </c>
      <c r="B2325" t="s">
        <v>13</v>
      </c>
      <c r="C2325">
        <v>25</v>
      </c>
      <c r="D2325">
        <v>25</v>
      </c>
      <c r="E2325" t="s">
        <v>17</v>
      </c>
      <c r="F2325">
        <v>26.4</v>
      </c>
      <c r="G2325">
        <v>26.8</v>
      </c>
      <c r="H2325" t="s">
        <v>17</v>
      </c>
      <c r="I2325" t="str">
        <f>"061455001719"</f>
        <v>061455001719</v>
      </c>
    </row>
    <row r="2326" spans="1:9" x14ac:dyDescent="0.25">
      <c r="A2326" t="s">
        <v>2088</v>
      </c>
      <c r="B2326" t="s">
        <v>13</v>
      </c>
      <c r="C2326">
        <v>19.100000000000001</v>
      </c>
      <c r="D2326">
        <v>19.29</v>
      </c>
      <c r="E2326" t="s">
        <v>17</v>
      </c>
      <c r="F2326">
        <v>21.68</v>
      </c>
      <c r="G2326">
        <v>21.1</v>
      </c>
      <c r="H2326" t="s">
        <v>17</v>
      </c>
      <c r="I2326" t="str">
        <f>"062199007435"</f>
        <v>062199007435</v>
      </c>
    </row>
    <row r="2327" spans="1:9" x14ac:dyDescent="0.25">
      <c r="A2327" t="s">
        <v>2088</v>
      </c>
      <c r="B2327" t="s">
        <v>13</v>
      </c>
      <c r="C2327">
        <v>22.18</v>
      </c>
      <c r="D2327">
        <v>23.88</v>
      </c>
      <c r="E2327" t="s">
        <v>17</v>
      </c>
      <c r="F2327">
        <v>21.82</v>
      </c>
      <c r="G2327">
        <v>19.39</v>
      </c>
      <c r="H2327" t="s">
        <v>17</v>
      </c>
      <c r="I2327" t="str">
        <f>"063480010066"</f>
        <v>063480010066</v>
      </c>
    </row>
    <row r="2328" spans="1:9" x14ac:dyDescent="0.25">
      <c r="A2328" t="s">
        <v>2089</v>
      </c>
      <c r="B2328" t="s">
        <v>13</v>
      </c>
      <c r="C2328">
        <v>26.23</v>
      </c>
      <c r="D2328">
        <v>27.23</v>
      </c>
      <c r="E2328" t="s">
        <v>17</v>
      </c>
      <c r="F2328">
        <v>16.93</v>
      </c>
      <c r="G2328">
        <v>16.23</v>
      </c>
      <c r="H2328" t="s">
        <v>17</v>
      </c>
      <c r="I2328" t="str">
        <f>"061074001189"</f>
        <v>061074001189</v>
      </c>
    </row>
    <row r="2329" spans="1:9" x14ac:dyDescent="0.25">
      <c r="A2329" t="s">
        <v>2090</v>
      </c>
      <c r="B2329" t="s">
        <v>13</v>
      </c>
      <c r="C2329">
        <v>49.89</v>
      </c>
      <c r="D2329">
        <v>49.46</v>
      </c>
      <c r="E2329" t="s">
        <v>17</v>
      </c>
      <c r="F2329">
        <v>23.23</v>
      </c>
      <c r="G2329">
        <v>23.45</v>
      </c>
      <c r="H2329" t="s">
        <v>17</v>
      </c>
      <c r="I2329" t="str">
        <f>"060723000665"</f>
        <v>060723000665</v>
      </c>
    </row>
    <row r="2330" spans="1:9" x14ac:dyDescent="0.25">
      <c r="A2330" t="s">
        <v>2090</v>
      </c>
      <c r="B2330" t="s">
        <v>13</v>
      </c>
      <c r="C2330">
        <v>3.83</v>
      </c>
      <c r="D2330">
        <v>3.7</v>
      </c>
      <c r="E2330" t="s">
        <v>17</v>
      </c>
      <c r="F2330">
        <v>15.4</v>
      </c>
      <c r="G2330">
        <v>17.3</v>
      </c>
      <c r="H2330" t="s">
        <v>17</v>
      </c>
      <c r="I2330" t="str">
        <f>"063442507166"</f>
        <v>063442507166</v>
      </c>
    </row>
    <row r="2331" spans="1:9" x14ac:dyDescent="0.25">
      <c r="A2331" t="s">
        <v>2091</v>
      </c>
      <c r="B2331" t="s">
        <v>13</v>
      </c>
      <c r="C2331">
        <v>17.88</v>
      </c>
      <c r="D2331">
        <v>18.600000000000001</v>
      </c>
      <c r="E2331" t="s">
        <v>17</v>
      </c>
      <c r="F2331">
        <v>17.39</v>
      </c>
      <c r="G2331">
        <v>17.579999999999998</v>
      </c>
      <c r="H2331" t="s">
        <v>17</v>
      </c>
      <c r="I2331" t="str">
        <f>"061074001190"</f>
        <v>061074001190</v>
      </c>
    </row>
    <row r="2332" spans="1:9" x14ac:dyDescent="0.25">
      <c r="A2332" t="s">
        <v>2092</v>
      </c>
      <c r="B2332" t="s">
        <v>13</v>
      </c>
      <c r="C2332">
        <v>26.96</v>
      </c>
      <c r="D2332">
        <v>26.52</v>
      </c>
      <c r="E2332" t="s">
        <v>17</v>
      </c>
      <c r="F2332">
        <v>16.989999999999998</v>
      </c>
      <c r="G2332">
        <v>15.99</v>
      </c>
      <c r="H2332" t="s">
        <v>17</v>
      </c>
      <c r="I2332" t="str">
        <f>"063216004977"</f>
        <v>063216004977</v>
      </c>
    </row>
    <row r="2333" spans="1:9" x14ac:dyDescent="0.25">
      <c r="A2333" t="s">
        <v>2093</v>
      </c>
      <c r="B2333" t="s">
        <v>13</v>
      </c>
      <c r="C2333" t="s">
        <v>14</v>
      </c>
      <c r="D2333" t="s">
        <v>17</v>
      </c>
      <c r="E2333" t="s">
        <v>17</v>
      </c>
      <c r="F2333" t="s">
        <v>17</v>
      </c>
      <c r="G2333" t="s">
        <v>17</v>
      </c>
      <c r="H2333" t="s">
        <v>17</v>
      </c>
      <c r="I2333" t="str">
        <f>"061077012431"</f>
        <v>061077012431</v>
      </c>
    </row>
    <row r="2334" spans="1:9" x14ac:dyDescent="0.25">
      <c r="A2334" t="s">
        <v>2094</v>
      </c>
      <c r="B2334" t="s">
        <v>13</v>
      </c>
      <c r="C2334">
        <v>1</v>
      </c>
      <c r="D2334">
        <v>1</v>
      </c>
      <c r="E2334" t="s">
        <v>17</v>
      </c>
      <c r="F2334" t="s">
        <v>14</v>
      </c>
      <c r="G2334">
        <v>1</v>
      </c>
      <c r="H2334" t="s">
        <v>17</v>
      </c>
      <c r="I2334" t="str">
        <f>"069106310477"</f>
        <v>069106310477</v>
      </c>
    </row>
    <row r="2335" spans="1:9" x14ac:dyDescent="0.25">
      <c r="A2335" t="s">
        <v>2095</v>
      </c>
      <c r="B2335" t="s">
        <v>13</v>
      </c>
      <c r="C2335">
        <v>1</v>
      </c>
      <c r="D2335">
        <v>1</v>
      </c>
      <c r="E2335" t="s">
        <v>17</v>
      </c>
      <c r="F2335">
        <v>7</v>
      </c>
      <c r="G2335">
        <v>9</v>
      </c>
      <c r="H2335" t="s">
        <v>17</v>
      </c>
      <c r="I2335" t="str">
        <f>"069106310476"</f>
        <v>069106310476</v>
      </c>
    </row>
    <row r="2336" spans="1:9" x14ac:dyDescent="0.25">
      <c r="A2336" t="s">
        <v>2096</v>
      </c>
      <c r="B2336" t="s">
        <v>13</v>
      </c>
      <c r="C2336" t="s">
        <v>17</v>
      </c>
      <c r="D2336" t="s">
        <v>17</v>
      </c>
      <c r="E2336" t="s">
        <v>17</v>
      </c>
      <c r="F2336" t="s">
        <v>17</v>
      </c>
      <c r="G2336" t="s">
        <v>17</v>
      </c>
      <c r="H2336" t="s">
        <v>17</v>
      </c>
      <c r="I2336" t="str">
        <f>"060009310765"</f>
        <v>060009310765</v>
      </c>
    </row>
    <row r="2337" spans="1:9" x14ac:dyDescent="0.25">
      <c r="A2337" t="s">
        <v>2097</v>
      </c>
      <c r="B2337" t="s">
        <v>13</v>
      </c>
      <c r="C2337">
        <v>38.11</v>
      </c>
      <c r="D2337">
        <v>39</v>
      </c>
      <c r="E2337" t="s">
        <v>17</v>
      </c>
      <c r="F2337">
        <v>19.68</v>
      </c>
      <c r="G2337">
        <v>20.05</v>
      </c>
      <c r="H2337" t="s">
        <v>17</v>
      </c>
      <c r="I2337" t="str">
        <f>"062847004394"</f>
        <v>062847004394</v>
      </c>
    </row>
    <row r="2338" spans="1:9" x14ac:dyDescent="0.25">
      <c r="A2338" t="s">
        <v>2098</v>
      </c>
      <c r="B2338" t="s">
        <v>13</v>
      </c>
      <c r="C2338">
        <v>57.1</v>
      </c>
      <c r="D2338">
        <v>48.99</v>
      </c>
      <c r="E2338" t="s">
        <v>17</v>
      </c>
      <c r="F2338">
        <v>31.52</v>
      </c>
      <c r="G2338">
        <v>32.130000000000003</v>
      </c>
      <c r="H2338" t="s">
        <v>17</v>
      </c>
      <c r="I2338" t="str">
        <f>"063153012216"</f>
        <v>063153012216</v>
      </c>
    </row>
    <row r="2339" spans="1:9" x14ac:dyDescent="0.25">
      <c r="A2339" t="s">
        <v>2098</v>
      </c>
      <c r="B2339" t="s">
        <v>13</v>
      </c>
      <c r="C2339">
        <v>41.4</v>
      </c>
      <c r="D2339">
        <v>42.2</v>
      </c>
      <c r="E2339" t="s">
        <v>17</v>
      </c>
      <c r="F2339">
        <v>22.49</v>
      </c>
      <c r="G2339">
        <v>24.86</v>
      </c>
      <c r="H2339" t="s">
        <v>17</v>
      </c>
      <c r="I2339" t="str">
        <f>"061077001193"</f>
        <v>061077001193</v>
      </c>
    </row>
    <row r="2340" spans="1:9" x14ac:dyDescent="0.25">
      <c r="A2340" t="s">
        <v>2099</v>
      </c>
      <c r="B2340" t="s">
        <v>13</v>
      </c>
      <c r="C2340">
        <v>16.43</v>
      </c>
      <c r="D2340">
        <v>17.8</v>
      </c>
      <c r="E2340" t="s">
        <v>17</v>
      </c>
      <c r="F2340">
        <v>24.35</v>
      </c>
      <c r="G2340">
        <v>24.61</v>
      </c>
      <c r="H2340" t="s">
        <v>17</v>
      </c>
      <c r="I2340" t="str">
        <f>"060744000690"</f>
        <v>060744000690</v>
      </c>
    </row>
    <row r="2341" spans="1:9" x14ac:dyDescent="0.25">
      <c r="A2341" t="s">
        <v>2100</v>
      </c>
      <c r="B2341" t="s">
        <v>13</v>
      </c>
      <c r="C2341">
        <v>65.83</v>
      </c>
      <c r="D2341">
        <v>64.83</v>
      </c>
      <c r="E2341" t="s">
        <v>17</v>
      </c>
      <c r="F2341">
        <v>25.92</v>
      </c>
      <c r="G2341">
        <v>26.28</v>
      </c>
      <c r="H2341" t="s">
        <v>17</v>
      </c>
      <c r="I2341" t="str">
        <f>"063075004782"</f>
        <v>063075004782</v>
      </c>
    </row>
    <row r="2342" spans="1:9" x14ac:dyDescent="0.25">
      <c r="A2342" t="s">
        <v>2101</v>
      </c>
      <c r="B2342" t="s">
        <v>13</v>
      </c>
      <c r="C2342">
        <v>17</v>
      </c>
      <c r="D2342">
        <v>19</v>
      </c>
      <c r="E2342" t="s">
        <v>17</v>
      </c>
      <c r="F2342">
        <v>28.47</v>
      </c>
      <c r="G2342">
        <v>27.26</v>
      </c>
      <c r="H2342" t="s">
        <v>17</v>
      </c>
      <c r="I2342" t="str">
        <f>"060133201201"</f>
        <v>060133201201</v>
      </c>
    </row>
    <row r="2343" spans="1:9" x14ac:dyDescent="0.25">
      <c r="A2343" t="s">
        <v>2102</v>
      </c>
      <c r="B2343" t="s">
        <v>13</v>
      </c>
      <c r="C2343">
        <v>20.62</v>
      </c>
      <c r="D2343">
        <v>24.5</v>
      </c>
      <c r="E2343" t="s">
        <v>17</v>
      </c>
      <c r="F2343">
        <v>28.32</v>
      </c>
      <c r="G2343">
        <v>24.08</v>
      </c>
      <c r="H2343" t="s">
        <v>17</v>
      </c>
      <c r="I2343" t="str">
        <f>"063462005771"</f>
        <v>063462005771</v>
      </c>
    </row>
    <row r="2344" spans="1:9" x14ac:dyDescent="0.25">
      <c r="A2344" t="s">
        <v>2103</v>
      </c>
      <c r="B2344" t="s">
        <v>13</v>
      </c>
      <c r="C2344">
        <v>5.72</v>
      </c>
      <c r="D2344">
        <v>7.56</v>
      </c>
      <c r="E2344" t="s">
        <v>17</v>
      </c>
      <c r="F2344">
        <v>20.100000000000001</v>
      </c>
      <c r="G2344">
        <v>17.2</v>
      </c>
      <c r="H2344" t="s">
        <v>17</v>
      </c>
      <c r="I2344" t="str">
        <f>"063003010334"</f>
        <v>063003010334</v>
      </c>
    </row>
    <row r="2345" spans="1:9" x14ac:dyDescent="0.25">
      <c r="A2345" t="s">
        <v>2104</v>
      </c>
      <c r="B2345" t="s">
        <v>13</v>
      </c>
      <c r="C2345">
        <v>14.2</v>
      </c>
      <c r="D2345">
        <v>15.2</v>
      </c>
      <c r="E2345" t="s">
        <v>17</v>
      </c>
      <c r="F2345">
        <v>19.23</v>
      </c>
      <c r="G2345">
        <v>18.29</v>
      </c>
      <c r="H2345" t="s">
        <v>17</v>
      </c>
      <c r="I2345" t="str">
        <f>"063525005969"</f>
        <v>063525005969</v>
      </c>
    </row>
    <row r="2346" spans="1:9" x14ac:dyDescent="0.25">
      <c r="A2346" t="s">
        <v>2104</v>
      </c>
      <c r="B2346" t="s">
        <v>13</v>
      </c>
      <c r="C2346">
        <v>18</v>
      </c>
      <c r="D2346">
        <v>17</v>
      </c>
      <c r="E2346" t="s">
        <v>17</v>
      </c>
      <c r="F2346">
        <v>29.06</v>
      </c>
      <c r="G2346">
        <v>30.71</v>
      </c>
      <c r="H2346" t="s">
        <v>17</v>
      </c>
      <c r="I2346" t="str">
        <f>"064104006771"</f>
        <v>064104006771</v>
      </c>
    </row>
    <row r="2347" spans="1:9" x14ac:dyDescent="0.25">
      <c r="A2347" t="s">
        <v>2104</v>
      </c>
      <c r="B2347" t="s">
        <v>13</v>
      </c>
      <c r="C2347">
        <v>43</v>
      </c>
      <c r="D2347">
        <v>41.9</v>
      </c>
      <c r="E2347" t="s">
        <v>17</v>
      </c>
      <c r="F2347">
        <v>17.190000000000001</v>
      </c>
      <c r="G2347">
        <v>18.07</v>
      </c>
      <c r="H2347" t="s">
        <v>17</v>
      </c>
      <c r="I2347" t="str">
        <f>"061968009146"</f>
        <v>061968009146</v>
      </c>
    </row>
    <row r="2348" spans="1:9" x14ac:dyDescent="0.25">
      <c r="A2348" t="s">
        <v>2104</v>
      </c>
      <c r="B2348" t="s">
        <v>13</v>
      </c>
      <c r="C2348">
        <v>24.9</v>
      </c>
      <c r="D2348">
        <v>24.43</v>
      </c>
      <c r="E2348" t="s">
        <v>17</v>
      </c>
      <c r="F2348">
        <v>21.77</v>
      </c>
      <c r="G2348">
        <v>21.98</v>
      </c>
      <c r="H2348" t="s">
        <v>17</v>
      </c>
      <c r="I2348" t="str">
        <f>"063471005850"</f>
        <v>063471005850</v>
      </c>
    </row>
    <row r="2349" spans="1:9" x14ac:dyDescent="0.25">
      <c r="A2349" t="s">
        <v>2104</v>
      </c>
      <c r="B2349" t="s">
        <v>13</v>
      </c>
      <c r="C2349">
        <v>20</v>
      </c>
      <c r="D2349">
        <v>19</v>
      </c>
      <c r="E2349" t="s">
        <v>17</v>
      </c>
      <c r="F2349">
        <v>20.7</v>
      </c>
      <c r="G2349">
        <v>21</v>
      </c>
      <c r="H2349" t="s">
        <v>17</v>
      </c>
      <c r="I2349" t="str">
        <f>"062886004470"</f>
        <v>062886004470</v>
      </c>
    </row>
    <row r="2350" spans="1:9" x14ac:dyDescent="0.25">
      <c r="A2350" t="s">
        <v>2105</v>
      </c>
      <c r="B2350" t="s">
        <v>13</v>
      </c>
      <c r="C2350">
        <v>19</v>
      </c>
      <c r="D2350">
        <v>19</v>
      </c>
      <c r="E2350" t="s">
        <v>17</v>
      </c>
      <c r="F2350">
        <v>22</v>
      </c>
      <c r="G2350">
        <v>23.32</v>
      </c>
      <c r="H2350" t="s">
        <v>17</v>
      </c>
      <c r="I2350" t="str">
        <f>"062553003823"</f>
        <v>062553003823</v>
      </c>
    </row>
    <row r="2351" spans="1:9" x14ac:dyDescent="0.25">
      <c r="A2351" t="s">
        <v>2106</v>
      </c>
      <c r="B2351" t="s">
        <v>13</v>
      </c>
      <c r="C2351">
        <v>4</v>
      </c>
      <c r="D2351">
        <v>3.9</v>
      </c>
      <c r="E2351" t="s">
        <v>17</v>
      </c>
      <c r="F2351">
        <v>26.5</v>
      </c>
      <c r="G2351">
        <v>33.85</v>
      </c>
      <c r="H2351" t="s">
        <v>17</v>
      </c>
      <c r="I2351" t="str">
        <f>"060330006562"</f>
        <v>060330006562</v>
      </c>
    </row>
    <row r="2352" spans="1:9" x14ac:dyDescent="0.25">
      <c r="A2352" t="s">
        <v>2107</v>
      </c>
      <c r="B2352" t="s">
        <v>13</v>
      </c>
      <c r="C2352">
        <v>16.98</v>
      </c>
      <c r="D2352">
        <v>20.45</v>
      </c>
      <c r="E2352" t="s">
        <v>17</v>
      </c>
      <c r="F2352">
        <v>27.09</v>
      </c>
      <c r="G2352">
        <v>25.04</v>
      </c>
      <c r="H2352" t="s">
        <v>17</v>
      </c>
      <c r="I2352" t="str">
        <f>"062825004357"</f>
        <v>062825004357</v>
      </c>
    </row>
    <row r="2353" spans="1:9" x14ac:dyDescent="0.25">
      <c r="A2353" t="s">
        <v>2107</v>
      </c>
      <c r="B2353" t="s">
        <v>13</v>
      </c>
      <c r="C2353">
        <v>17</v>
      </c>
      <c r="D2353">
        <v>17</v>
      </c>
      <c r="E2353" t="s">
        <v>17</v>
      </c>
      <c r="F2353">
        <v>23.88</v>
      </c>
      <c r="G2353">
        <v>24.65</v>
      </c>
      <c r="H2353" t="s">
        <v>17</v>
      </c>
      <c r="I2353" t="str">
        <f>"063348000415"</f>
        <v>063348000415</v>
      </c>
    </row>
    <row r="2354" spans="1:9" x14ac:dyDescent="0.25">
      <c r="A2354" t="s">
        <v>2108</v>
      </c>
      <c r="B2354" t="s">
        <v>13</v>
      </c>
      <c r="C2354">
        <v>18.5</v>
      </c>
      <c r="D2354">
        <v>20</v>
      </c>
      <c r="E2354" t="s">
        <v>17</v>
      </c>
      <c r="F2354">
        <v>28.27</v>
      </c>
      <c r="G2354">
        <v>27.2</v>
      </c>
      <c r="H2354" t="s">
        <v>17</v>
      </c>
      <c r="I2354" t="str">
        <f>"062781004210"</f>
        <v>062781004210</v>
      </c>
    </row>
    <row r="2355" spans="1:9" x14ac:dyDescent="0.25">
      <c r="A2355" t="s">
        <v>2109</v>
      </c>
      <c r="B2355" t="s">
        <v>13</v>
      </c>
      <c r="C2355">
        <v>25</v>
      </c>
      <c r="D2355">
        <v>27</v>
      </c>
      <c r="E2355" t="s">
        <v>17</v>
      </c>
      <c r="F2355">
        <v>29.88</v>
      </c>
      <c r="G2355">
        <v>28.7</v>
      </c>
      <c r="H2355" t="s">
        <v>17</v>
      </c>
      <c r="I2355" t="str">
        <f>"063417005357"</f>
        <v>063417005357</v>
      </c>
    </row>
    <row r="2356" spans="1:9" x14ac:dyDescent="0.25">
      <c r="A2356" t="s">
        <v>2110</v>
      </c>
      <c r="B2356" t="s">
        <v>13</v>
      </c>
      <c r="C2356">
        <v>21</v>
      </c>
      <c r="D2356">
        <v>19</v>
      </c>
      <c r="E2356" t="s">
        <v>17</v>
      </c>
      <c r="F2356">
        <v>27.67</v>
      </c>
      <c r="G2356">
        <v>25.74</v>
      </c>
      <c r="H2356" t="s">
        <v>17</v>
      </c>
      <c r="I2356" t="str">
        <f>"063153012196"</f>
        <v>063153012196</v>
      </c>
    </row>
    <row r="2357" spans="1:9" x14ac:dyDescent="0.25">
      <c r="A2357" t="s">
        <v>2111</v>
      </c>
      <c r="B2357" t="s">
        <v>13</v>
      </c>
      <c r="C2357">
        <v>27.67</v>
      </c>
      <c r="D2357">
        <v>32.35</v>
      </c>
      <c r="E2357" t="s">
        <v>17</v>
      </c>
      <c r="F2357">
        <v>27.21</v>
      </c>
      <c r="G2357">
        <v>24.57</v>
      </c>
      <c r="H2357" t="s">
        <v>17</v>
      </c>
      <c r="I2357" t="str">
        <f>"064212006889"</f>
        <v>064212006889</v>
      </c>
    </row>
    <row r="2358" spans="1:9" x14ac:dyDescent="0.25">
      <c r="A2358" t="s">
        <v>2112</v>
      </c>
      <c r="B2358" t="s">
        <v>13</v>
      </c>
      <c r="C2358">
        <v>5.4</v>
      </c>
      <c r="D2358">
        <v>4.8899999999999997</v>
      </c>
      <c r="E2358" t="s">
        <v>17</v>
      </c>
      <c r="F2358">
        <v>23.52</v>
      </c>
      <c r="G2358">
        <v>18.2</v>
      </c>
      <c r="H2358" t="s">
        <v>17</v>
      </c>
      <c r="I2358" t="str">
        <f>"062211002621"</f>
        <v>062211002621</v>
      </c>
    </row>
    <row r="2359" spans="1:9" x14ac:dyDescent="0.25">
      <c r="A2359" t="s">
        <v>2113</v>
      </c>
      <c r="B2359" t="s">
        <v>13</v>
      </c>
      <c r="C2359">
        <v>23</v>
      </c>
      <c r="D2359">
        <v>24</v>
      </c>
      <c r="E2359" t="s">
        <v>17</v>
      </c>
      <c r="F2359">
        <v>21.61</v>
      </c>
      <c r="G2359">
        <v>21.33</v>
      </c>
      <c r="H2359" t="s">
        <v>17</v>
      </c>
      <c r="I2359" t="str">
        <f>"061632502040"</f>
        <v>061632502040</v>
      </c>
    </row>
    <row r="2360" spans="1:9" x14ac:dyDescent="0.25">
      <c r="A2360" t="s">
        <v>2114</v>
      </c>
      <c r="B2360" t="s">
        <v>13</v>
      </c>
      <c r="C2360">
        <v>32</v>
      </c>
      <c r="D2360">
        <v>40</v>
      </c>
      <c r="E2360" t="s">
        <v>17</v>
      </c>
      <c r="F2360">
        <v>24.06</v>
      </c>
      <c r="G2360">
        <v>21.63</v>
      </c>
      <c r="H2360" t="s">
        <v>17</v>
      </c>
      <c r="I2360" t="str">
        <f>"063417009435"</f>
        <v>063417009435</v>
      </c>
    </row>
    <row r="2361" spans="1:9" x14ac:dyDescent="0.25">
      <c r="A2361" t="s">
        <v>2115</v>
      </c>
      <c r="B2361" t="s">
        <v>13</v>
      </c>
      <c r="C2361">
        <v>28.5</v>
      </c>
      <c r="D2361">
        <v>29.5</v>
      </c>
      <c r="E2361" t="s">
        <v>17</v>
      </c>
      <c r="F2361">
        <v>20.95</v>
      </c>
      <c r="G2361">
        <v>22.1</v>
      </c>
      <c r="H2361" t="s">
        <v>17</v>
      </c>
      <c r="I2361" t="str">
        <f>"061089001209"</f>
        <v>061089001209</v>
      </c>
    </row>
    <row r="2362" spans="1:9" x14ac:dyDescent="0.25">
      <c r="A2362" t="s">
        <v>2116</v>
      </c>
      <c r="B2362" t="s">
        <v>13</v>
      </c>
      <c r="C2362">
        <v>34.659999999999997</v>
      </c>
      <c r="D2362">
        <v>40</v>
      </c>
      <c r="E2362" t="s">
        <v>17</v>
      </c>
      <c r="F2362">
        <v>26.66</v>
      </c>
      <c r="G2362">
        <v>23.05</v>
      </c>
      <c r="H2362" t="s">
        <v>17</v>
      </c>
      <c r="I2362" t="str">
        <f>"062691008675"</f>
        <v>062691008675</v>
      </c>
    </row>
    <row r="2363" spans="1:9" x14ac:dyDescent="0.25">
      <c r="A2363" t="s">
        <v>2117</v>
      </c>
      <c r="B2363" t="s">
        <v>13</v>
      </c>
      <c r="C2363" t="s">
        <v>14</v>
      </c>
      <c r="D2363" t="s">
        <v>17</v>
      </c>
      <c r="E2363" t="s">
        <v>17</v>
      </c>
      <c r="F2363" t="s">
        <v>17</v>
      </c>
      <c r="G2363" t="s">
        <v>17</v>
      </c>
      <c r="H2363" t="s">
        <v>17</v>
      </c>
      <c r="I2363" t="str">
        <f>"061086012579"</f>
        <v>061086012579</v>
      </c>
    </row>
    <row r="2364" spans="1:9" x14ac:dyDescent="0.25">
      <c r="A2364" t="s">
        <v>2118</v>
      </c>
      <c r="B2364" t="s">
        <v>13</v>
      </c>
      <c r="C2364">
        <v>61.67</v>
      </c>
      <c r="D2364">
        <v>60.92</v>
      </c>
      <c r="E2364" t="s">
        <v>17</v>
      </c>
      <c r="F2364">
        <v>27.74</v>
      </c>
      <c r="G2364">
        <v>26.95</v>
      </c>
      <c r="H2364" t="s">
        <v>17</v>
      </c>
      <c r="I2364" t="str">
        <f>"061086001206"</f>
        <v>061086001206</v>
      </c>
    </row>
    <row r="2365" spans="1:9" x14ac:dyDescent="0.25">
      <c r="A2365" t="s">
        <v>2119</v>
      </c>
      <c r="B2365" t="s">
        <v>13</v>
      </c>
      <c r="C2365">
        <v>21</v>
      </c>
      <c r="D2365">
        <v>20</v>
      </c>
      <c r="E2365" t="s">
        <v>17</v>
      </c>
      <c r="F2365">
        <v>23.1</v>
      </c>
      <c r="G2365">
        <v>23.95</v>
      </c>
      <c r="H2365" t="s">
        <v>17</v>
      </c>
      <c r="I2365" t="str">
        <f>"062271002954"</f>
        <v>062271002954</v>
      </c>
    </row>
    <row r="2366" spans="1:9" x14ac:dyDescent="0.25">
      <c r="A2366" t="s">
        <v>2120</v>
      </c>
      <c r="B2366" t="s">
        <v>13</v>
      </c>
      <c r="C2366">
        <v>30.22</v>
      </c>
      <c r="D2366">
        <v>31.1</v>
      </c>
      <c r="E2366" t="s">
        <v>17</v>
      </c>
      <c r="F2366">
        <v>22.96</v>
      </c>
      <c r="G2366">
        <v>22.48</v>
      </c>
      <c r="H2366" t="s">
        <v>17</v>
      </c>
      <c r="I2366" t="str">
        <f>"060003907540"</f>
        <v>060003907540</v>
      </c>
    </row>
    <row r="2367" spans="1:9" x14ac:dyDescent="0.25">
      <c r="A2367" t="s">
        <v>2121</v>
      </c>
      <c r="B2367" t="s">
        <v>13</v>
      </c>
      <c r="C2367">
        <v>20</v>
      </c>
      <c r="D2367">
        <v>22</v>
      </c>
      <c r="E2367" t="s">
        <v>17</v>
      </c>
      <c r="F2367">
        <v>30.65</v>
      </c>
      <c r="G2367">
        <v>27.05</v>
      </c>
      <c r="H2367" t="s">
        <v>17</v>
      </c>
      <c r="I2367" t="str">
        <f>"062955008932"</f>
        <v>062955008932</v>
      </c>
    </row>
    <row r="2368" spans="1:9" x14ac:dyDescent="0.25">
      <c r="A2368" t="s">
        <v>2122</v>
      </c>
      <c r="B2368" t="s">
        <v>13</v>
      </c>
      <c r="C2368">
        <v>2</v>
      </c>
      <c r="D2368">
        <v>2</v>
      </c>
      <c r="E2368" t="s">
        <v>17</v>
      </c>
      <c r="F2368">
        <v>16.5</v>
      </c>
      <c r="G2368">
        <v>18</v>
      </c>
      <c r="H2368" t="s">
        <v>17</v>
      </c>
      <c r="I2368" t="str">
        <f>"061098001214"</f>
        <v>061098001214</v>
      </c>
    </row>
    <row r="2369" spans="1:9" x14ac:dyDescent="0.25">
      <c r="A2369" t="s">
        <v>2123</v>
      </c>
      <c r="B2369" t="s">
        <v>13</v>
      </c>
      <c r="C2369">
        <v>35.4</v>
      </c>
      <c r="D2369">
        <v>38.1</v>
      </c>
      <c r="E2369" t="s">
        <v>17</v>
      </c>
      <c r="F2369">
        <v>18.39</v>
      </c>
      <c r="G2369">
        <v>14.49</v>
      </c>
      <c r="H2369" t="s">
        <v>17</v>
      </c>
      <c r="I2369" t="str">
        <f>"062703010391"</f>
        <v>062703010391</v>
      </c>
    </row>
    <row r="2370" spans="1:9" x14ac:dyDescent="0.25">
      <c r="A2370" t="s">
        <v>2123</v>
      </c>
      <c r="B2370" t="s">
        <v>13</v>
      </c>
      <c r="C2370">
        <v>7.45</v>
      </c>
      <c r="D2370">
        <v>6.33</v>
      </c>
      <c r="E2370" t="s">
        <v>17</v>
      </c>
      <c r="F2370">
        <v>16.510000000000002</v>
      </c>
      <c r="G2370">
        <v>19.12</v>
      </c>
      <c r="H2370" t="s">
        <v>17</v>
      </c>
      <c r="I2370" t="str">
        <f>"063560006664"</f>
        <v>063560006664</v>
      </c>
    </row>
    <row r="2371" spans="1:9" x14ac:dyDescent="0.25">
      <c r="A2371" t="s">
        <v>2124</v>
      </c>
      <c r="B2371" t="s">
        <v>13</v>
      </c>
      <c r="C2371">
        <v>13</v>
      </c>
      <c r="D2371">
        <v>11.5</v>
      </c>
      <c r="E2371" t="s">
        <v>17</v>
      </c>
      <c r="F2371">
        <v>22.38</v>
      </c>
      <c r="G2371">
        <v>22.26</v>
      </c>
      <c r="H2371" t="s">
        <v>17</v>
      </c>
      <c r="I2371" t="str">
        <f>"063311012128"</f>
        <v>063311012128</v>
      </c>
    </row>
    <row r="2372" spans="1:9" x14ac:dyDescent="0.25">
      <c r="A2372" t="s">
        <v>2125</v>
      </c>
      <c r="B2372" t="s">
        <v>13</v>
      </c>
      <c r="C2372">
        <v>12.47</v>
      </c>
      <c r="D2372">
        <v>12.2</v>
      </c>
      <c r="E2372" t="s">
        <v>17</v>
      </c>
      <c r="F2372">
        <v>16.28</v>
      </c>
      <c r="G2372">
        <v>15.41</v>
      </c>
      <c r="H2372" t="s">
        <v>17</v>
      </c>
      <c r="I2372" t="str">
        <f>"063311005123"</f>
        <v>063311005123</v>
      </c>
    </row>
    <row r="2373" spans="1:9" x14ac:dyDescent="0.25">
      <c r="A2373" t="s">
        <v>2125</v>
      </c>
      <c r="B2373" t="s">
        <v>13</v>
      </c>
      <c r="C2373">
        <v>17.29</v>
      </c>
      <c r="D2373">
        <v>17.29</v>
      </c>
      <c r="E2373" t="s">
        <v>17</v>
      </c>
      <c r="F2373">
        <v>31.35</v>
      </c>
      <c r="G2373">
        <v>29.55</v>
      </c>
      <c r="H2373" t="s">
        <v>17</v>
      </c>
      <c r="I2373" t="str">
        <f>"063567006082"</f>
        <v>063567006082</v>
      </c>
    </row>
    <row r="2374" spans="1:9" x14ac:dyDescent="0.25">
      <c r="A2374" t="s">
        <v>2126</v>
      </c>
      <c r="B2374" t="s">
        <v>13</v>
      </c>
      <c r="C2374">
        <v>27.7</v>
      </c>
      <c r="D2374">
        <v>30</v>
      </c>
      <c r="E2374" t="s">
        <v>17</v>
      </c>
      <c r="F2374">
        <v>14.8</v>
      </c>
      <c r="G2374">
        <v>14.4</v>
      </c>
      <c r="H2374" t="s">
        <v>17</v>
      </c>
      <c r="I2374" t="str">
        <f>"062223009391"</f>
        <v>062223009391</v>
      </c>
    </row>
    <row r="2375" spans="1:9" x14ac:dyDescent="0.25">
      <c r="A2375" t="s">
        <v>2127</v>
      </c>
      <c r="B2375" t="s">
        <v>13</v>
      </c>
      <c r="C2375">
        <v>30.1</v>
      </c>
      <c r="D2375">
        <v>29</v>
      </c>
      <c r="E2375" t="s">
        <v>17</v>
      </c>
      <c r="F2375">
        <v>27.24</v>
      </c>
      <c r="G2375">
        <v>27.1</v>
      </c>
      <c r="H2375" t="s">
        <v>17</v>
      </c>
      <c r="I2375" t="str">
        <f>"062637010756"</f>
        <v>062637010756</v>
      </c>
    </row>
    <row r="2376" spans="1:9" x14ac:dyDescent="0.25">
      <c r="A2376" t="s">
        <v>2128</v>
      </c>
      <c r="B2376" t="s">
        <v>13</v>
      </c>
      <c r="C2376">
        <v>6</v>
      </c>
      <c r="D2376">
        <v>6</v>
      </c>
      <c r="E2376" t="s">
        <v>17</v>
      </c>
      <c r="F2376">
        <v>12.83</v>
      </c>
      <c r="G2376">
        <v>12.5</v>
      </c>
      <c r="H2376" t="s">
        <v>17</v>
      </c>
      <c r="I2376" t="str">
        <f>"069100509216"</f>
        <v>069100509216</v>
      </c>
    </row>
    <row r="2377" spans="1:9" x14ac:dyDescent="0.25">
      <c r="A2377" t="s">
        <v>2129</v>
      </c>
      <c r="B2377" t="s">
        <v>13</v>
      </c>
      <c r="C2377">
        <v>36.01</v>
      </c>
      <c r="D2377">
        <v>37</v>
      </c>
      <c r="E2377" t="s">
        <v>17</v>
      </c>
      <c r="F2377">
        <v>22.91</v>
      </c>
      <c r="G2377">
        <v>21.95</v>
      </c>
      <c r="H2377" t="s">
        <v>17</v>
      </c>
      <c r="I2377" t="str">
        <f>"062808008689"</f>
        <v>062808008689</v>
      </c>
    </row>
    <row r="2378" spans="1:9" x14ac:dyDescent="0.25">
      <c r="A2378" t="s">
        <v>2130</v>
      </c>
      <c r="B2378" t="s">
        <v>13</v>
      </c>
      <c r="C2378">
        <v>19</v>
      </c>
      <c r="D2378">
        <v>19</v>
      </c>
      <c r="E2378" t="s">
        <v>17</v>
      </c>
      <c r="F2378">
        <v>24.53</v>
      </c>
      <c r="G2378">
        <v>26.42</v>
      </c>
      <c r="H2378" t="s">
        <v>17</v>
      </c>
      <c r="I2378" t="str">
        <f>"064215006904"</f>
        <v>064215006904</v>
      </c>
    </row>
    <row r="2379" spans="1:9" x14ac:dyDescent="0.25">
      <c r="A2379" t="s">
        <v>2131</v>
      </c>
      <c r="B2379" t="s">
        <v>13</v>
      </c>
      <c r="C2379">
        <v>21.45</v>
      </c>
      <c r="D2379">
        <v>23.2</v>
      </c>
      <c r="E2379" t="s">
        <v>17</v>
      </c>
      <c r="F2379">
        <v>25.97</v>
      </c>
      <c r="G2379">
        <v>24.78</v>
      </c>
      <c r="H2379" t="s">
        <v>17</v>
      </c>
      <c r="I2379" t="str">
        <f>"063390006759"</f>
        <v>063390006759</v>
      </c>
    </row>
    <row r="2380" spans="1:9" x14ac:dyDescent="0.25">
      <c r="A2380" t="s">
        <v>2132</v>
      </c>
      <c r="B2380" t="s">
        <v>13</v>
      </c>
      <c r="C2380">
        <v>10</v>
      </c>
      <c r="D2380">
        <v>7.5</v>
      </c>
      <c r="E2380" t="s">
        <v>17</v>
      </c>
      <c r="F2380">
        <v>20.8</v>
      </c>
      <c r="G2380">
        <v>21.2</v>
      </c>
      <c r="H2380" t="s">
        <v>17</v>
      </c>
      <c r="I2380" t="str">
        <f>"061104012826"</f>
        <v>061104012826</v>
      </c>
    </row>
    <row r="2381" spans="1:9" x14ac:dyDescent="0.25">
      <c r="A2381" t="s">
        <v>2133</v>
      </c>
      <c r="B2381" t="s">
        <v>13</v>
      </c>
      <c r="C2381">
        <v>19.25</v>
      </c>
      <c r="D2381">
        <v>20.149999999999999</v>
      </c>
      <c r="E2381" t="s">
        <v>17</v>
      </c>
      <c r="F2381">
        <v>17.510000000000002</v>
      </c>
      <c r="G2381">
        <v>16.87</v>
      </c>
      <c r="H2381" t="s">
        <v>17</v>
      </c>
      <c r="I2381" t="str">
        <f>"061104010438"</f>
        <v>061104010438</v>
      </c>
    </row>
    <row r="2382" spans="1:9" x14ac:dyDescent="0.25">
      <c r="A2382" t="s">
        <v>2134</v>
      </c>
      <c r="B2382" t="s">
        <v>13</v>
      </c>
      <c r="C2382" t="str">
        <f>"0.50"</f>
        <v>0.50</v>
      </c>
      <c r="D2382" t="str">
        <f>"0.50"</f>
        <v>0.50</v>
      </c>
      <c r="E2382" t="s">
        <v>17</v>
      </c>
      <c r="F2382">
        <v>2</v>
      </c>
      <c r="G2382" t="s">
        <v>17</v>
      </c>
      <c r="H2382" t="s">
        <v>17</v>
      </c>
      <c r="I2382" t="str">
        <f>"061104011810"</f>
        <v>061104011810</v>
      </c>
    </row>
    <row r="2383" spans="1:9" x14ac:dyDescent="0.25">
      <c r="A2383" t="s">
        <v>2135</v>
      </c>
      <c r="B2383" t="s">
        <v>13</v>
      </c>
      <c r="C2383">
        <v>18.22</v>
      </c>
      <c r="D2383">
        <v>19.36</v>
      </c>
      <c r="E2383" t="s">
        <v>17</v>
      </c>
      <c r="F2383">
        <v>18.55</v>
      </c>
      <c r="G2383">
        <v>19.63</v>
      </c>
      <c r="H2383" t="s">
        <v>17</v>
      </c>
      <c r="I2383" t="str">
        <f>"061104008653"</f>
        <v>061104008653</v>
      </c>
    </row>
    <row r="2384" spans="1:9" x14ac:dyDescent="0.25">
      <c r="A2384" t="s">
        <v>2136</v>
      </c>
      <c r="B2384" t="s">
        <v>13</v>
      </c>
      <c r="C2384" t="s">
        <v>17</v>
      </c>
      <c r="D2384">
        <v>1</v>
      </c>
      <c r="E2384" t="s">
        <v>17</v>
      </c>
      <c r="F2384" t="s">
        <v>17</v>
      </c>
      <c r="G2384" t="s">
        <v>17</v>
      </c>
      <c r="H2384" t="s">
        <v>17</v>
      </c>
      <c r="I2384" t="str">
        <f>"061104012219"</f>
        <v>061104012219</v>
      </c>
    </row>
    <row r="2385" spans="1:9" x14ac:dyDescent="0.25">
      <c r="A2385" t="s">
        <v>2137</v>
      </c>
      <c r="B2385" t="s">
        <v>13</v>
      </c>
      <c r="C2385">
        <v>20.010000000000002</v>
      </c>
      <c r="D2385">
        <v>19.57</v>
      </c>
      <c r="E2385" t="s">
        <v>17</v>
      </c>
      <c r="F2385">
        <v>17.09</v>
      </c>
      <c r="G2385">
        <v>18.45</v>
      </c>
      <c r="H2385" t="s">
        <v>17</v>
      </c>
      <c r="I2385" t="str">
        <f>"061104001218"</f>
        <v>061104001218</v>
      </c>
    </row>
    <row r="2386" spans="1:9" x14ac:dyDescent="0.25">
      <c r="A2386" t="s">
        <v>2138</v>
      </c>
      <c r="B2386" t="s">
        <v>13</v>
      </c>
      <c r="C2386">
        <v>16.14</v>
      </c>
      <c r="D2386">
        <v>16.12</v>
      </c>
      <c r="E2386" t="s">
        <v>17</v>
      </c>
      <c r="F2386">
        <v>18.22</v>
      </c>
      <c r="G2386">
        <v>19.420000000000002</v>
      </c>
      <c r="H2386" t="s">
        <v>17</v>
      </c>
      <c r="I2386" t="str">
        <f>"061104008654"</f>
        <v>061104008654</v>
      </c>
    </row>
    <row r="2387" spans="1:9" x14ac:dyDescent="0.25">
      <c r="A2387" t="s">
        <v>2139</v>
      </c>
      <c r="B2387" t="s">
        <v>13</v>
      </c>
      <c r="C2387">
        <v>32</v>
      </c>
      <c r="D2387">
        <v>31</v>
      </c>
      <c r="E2387" t="s">
        <v>17</v>
      </c>
      <c r="F2387">
        <v>24.56</v>
      </c>
      <c r="G2387">
        <v>24.97</v>
      </c>
      <c r="H2387" t="s">
        <v>17</v>
      </c>
      <c r="I2387" t="str">
        <f>"062271002955"</f>
        <v>062271002955</v>
      </c>
    </row>
    <row r="2388" spans="1:9" x14ac:dyDescent="0.25">
      <c r="A2388" t="s">
        <v>2140</v>
      </c>
      <c r="B2388" t="s">
        <v>13</v>
      </c>
      <c r="C2388">
        <v>27.45</v>
      </c>
      <c r="D2388">
        <v>29.65</v>
      </c>
      <c r="E2388" t="s">
        <v>17</v>
      </c>
      <c r="F2388">
        <v>21.38</v>
      </c>
      <c r="G2388">
        <v>20.37</v>
      </c>
      <c r="H2388" t="s">
        <v>17</v>
      </c>
      <c r="I2388" t="str">
        <f>"063441005628"</f>
        <v>063441005628</v>
      </c>
    </row>
    <row r="2389" spans="1:9" x14ac:dyDescent="0.25">
      <c r="A2389" t="s">
        <v>2141</v>
      </c>
      <c r="B2389" t="s">
        <v>13</v>
      </c>
      <c r="C2389">
        <v>40</v>
      </c>
      <c r="D2389">
        <v>37</v>
      </c>
      <c r="E2389" t="s">
        <v>17</v>
      </c>
      <c r="F2389">
        <v>21.6</v>
      </c>
      <c r="G2389">
        <v>22.16</v>
      </c>
      <c r="H2389" t="s">
        <v>17</v>
      </c>
      <c r="I2389" t="str">
        <f>"060015811515"</f>
        <v>060015811515</v>
      </c>
    </row>
    <row r="2390" spans="1:9" x14ac:dyDescent="0.25">
      <c r="A2390" t="s">
        <v>2142</v>
      </c>
      <c r="B2390" t="s">
        <v>13</v>
      </c>
      <c r="C2390">
        <v>29.3</v>
      </c>
      <c r="D2390">
        <v>30.17</v>
      </c>
      <c r="E2390" t="s">
        <v>17</v>
      </c>
      <c r="F2390">
        <v>22.15</v>
      </c>
      <c r="G2390">
        <v>21.68</v>
      </c>
      <c r="H2390" t="s">
        <v>17</v>
      </c>
      <c r="I2390" t="str">
        <f>"061284001446"</f>
        <v>061284001446</v>
      </c>
    </row>
    <row r="2391" spans="1:9" x14ac:dyDescent="0.25">
      <c r="A2391" t="s">
        <v>2143</v>
      </c>
      <c r="B2391" t="s">
        <v>13</v>
      </c>
      <c r="C2391">
        <v>8</v>
      </c>
      <c r="D2391">
        <v>6</v>
      </c>
      <c r="E2391" t="s">
        <v>17</v>
      </c>
      <c r="F2391">
        <v>24.5</v>
      </c>
      <c r="G2391">
        <v>18.5</v>
      </c>
      <c r="H2391" t="s">
        <v>17</v>
      </c>
      <c r="I2391" t="str">
        <f>"062610003902"</f>
        <v>062610003902</v>
      </c>
    </row>
    <row r="2392" spans="1:9" x14ac:dyDescent="0.25">
      <c r="A2392" t="s">
        <v>2144</v>
      </c>
      <c r="B2392" t="s">
        <v>13</v>
      </c>
      <c r="C2392">
        <v>14</v>
      </c>
      <c r="D2392">
        <v>15.5</v>
      </c>
      <c r="E2392" t="s">
        <v>17</v>
      </c>
      <c r="F2392">
        <v>25.79</v>
      </c>
      <c r="G2392">
        <v>27.35</v>
      </c>
      <c r="H2392" t="s">
        <v>17</v>
      </c>
      <c r="I2392" t="str">
        <f>"061203001333"</f>
        <v>061203001333</v>
      </c>
    </row>
    <row r="2393" spans="1:9" x14ac:dyDescent="0.25">
      <c r="A2393" t="s">
        <v>2145</v>
      </c>
      <c r="B2393" t="s">
        <v>13</v>
      </c>
      <c r="C2393">
        <v>73.5</v>
      </c>
      <c r="D2393">
        <v>75.41</v>
      </c>
      <c r="E2393" t="s">
        <v>17</v>
      </c>
      <c r="F2393">
        <v>24.67</v>
      </c>
      <c r="G2393">
        <v>24.68</v>
      </c>
      <c r="H2393" t="s">
        <v>17</v>
      </c>
      <c r="I2393" t="str">
        <f>"062955008267"</f>
        <v>062955008267</v>
      </c>
    </row>
    <row r="2394" spans="1:9" x14ac:dyDescent="0.25">
      <c r="A2394" t="s">
        <v>2146</v>
      </c>
      <c r="B2394" t="s">
        <v>13</v>
      </c>
      <c r="C2394">
        <v>28</v>
      </c>
      <c r="D2394">
        <v>28.9</v>
      </c>
      <c r="E2394" t="s">
        <v>17</v>
      </c>
      <c r="F2394">
        <v>22.32</v>
      </c>
      <c r="G2394">
        <v>21.9</v>
      </c>
      <c r="H2394" t="s">
        <v>17</v>
      </c>
      <c r="I2394" t="str">
        <f>"062649003995"</f>
        <v>062649003995</v>
      </c>
    </row>
    <row r="2395" spans="1:9" x14ac:dyDescent="0.25">
      <c r="A2395" t="s">
        <v>2147</v>
      </c>
      <c r="B2395" t="s">
        <v>13</v>
      </c>
      <c r="C2395">
        <v>22</v>
      </c>
      <c r="D2395">
        <v>23</v>
      </c>
      <c r="E2395" t="s">
        <v>17</v>
      </c>
      <c r="F2395">
        <v>24.64</v>
      </c>
      <c r="G2395">
        <v>24.78</v>
      </c>
      <c r="H2395" t="s">
        <v>17</v>
      </c>
      <c r="I2395" t="str">
        <f>"060001709103"</f>
        <v>060001709103</v>
      </c>
    </row>
    <row r="2396" spans="1:9" x14ac:dyDescent="0.25">
      <c r="A2396" t="s">
        <v>2148</v>
      </c>
      <c r="B2396" t="s">
        <v>13</v>
      </c>
      <c r="C2396">
        <v>91.89</v>
      </c>
      <c r="D2396">
        <v>91.35</v>
      </c>
      <c r="E2396" t="s">
        <v>17</v>
      </c>
      <c r="F2396">
        <v>21.14</v>
      </c>
      <c r="G2396">
        <v>21.16</v>
      </c>
      <c r="H2396" t="s">
        <v>17</v>
      </c>
      <c r="I2396" t="str">
        <f>"060907011175"</f>
        <v>060907011175</v>
      </c>
    </row>
    <row r="2397" spans="1:9" x14ac:dyDescent="0.25">
      <c r="A2397" t="s">
        <v>2149</v>
      </c>
      <c r="B2397" t="s">
        <v>13</v>
      </c>
      <c r="C2397">
        <v>8</v>
      </c>
      <c r="D2397">
        <v>12.7</v>
      </c>
      <c r="E2397" t="s">
        <v>17</v>
      </c>
      <c r="F2397">
        <v>15.5</v>
      </c>
      <c r="G2397">
        <v>8.66</v>
      </c>
      <c r="H2397" t="s">
        <v>17</v>
      </c>
      <c r="I2397" t="str">
        <f>"069102908285"</f>
        <v>069102908285</v>
      </c>
    </row>
    <row r="2398" spans="1:9" x14ac:dyDescent="0.25">
      <c r="A2398" t="s">
        <v>2150</v>
      </c>
      <c r="B2398" t="s">
        <v>13</v>
      </c>
      <c r="C2398">
        <v>10.4</v>
      </c>
      <c r="D2398">
        <v>10.8</v>
      </c>
      <c r="E2398" t="s">
        <v>17</v>
      </c>
      <c r="F2398">
        <v>17.600000000000001</v>
      </c>
      <c r="G2398">
        <v>14.35</v>
      </c>
      <c r="H2398" t="s">
        <v>17</v>
      </c>
      <c r="I2398" t="str">
        <f>"060801000772"</f>
        <v>060801000772</v>
      </c>
    </row>
    <row r="2399" spans="1:9" x14ac:dyDescent="0.25">
      <c r="A2399" t="s">
        <v>2151</v>
      </c>
      <c r="B2399" t="s">
        <v>13</v>
      </c>
      <c r="C2399">
        <v>37.67</v>
      </c>
      <c r="D2399">
        <v>38</v>
      </c>
      <c r="E2399" t="s">
        <v>17</v>
      </c>
      <c r="F2399">
        <v>28.64</v>
      </c>
      <c r="G2399">
        <v>28.11</v>
      </c>
      <c r="H2399" t="s">
        <v>17</v>
      </c>
      <c r="I2399" t="str">
        <f>"061111012396"</f>
        <v>061111012396</v>
      </c>
    </row>
    <row r="2400" spans="1:9" x14ac:dyDescent="0.25">
      <c r="A2400" t="s">
        <v>2152</v>
      </c>
      <c r="B2400" t="s">
        <v>13</v>
      </c>
      <c r="C2400">
        <v>39.14</v>
      </c>
      <c r="D2400">
        <v>41.02</v>
      </c>
      <c r="E2400" t="s">
        <v>17</v>
      </c>
      <c r="F2400">
        <v>29.84</v>
      </c>
      <c r="G2400">
        <v>28.45</v>
      </c>
      <c r="H2400" t="s">
        <v>17</v>
      </c>
      <c r="I2400" t="str">
        <f>"062958008934"</f>
        <v>062958008934</v>
      </c>
    </row>
    <row r="2401" spans="1:9" x14ac:dyDescent="0.25">
      <c r="A2401" t="s">
        <v>2153</v>
      </c>
      <c r="B2401" t="s">
        <v>13</v>
      </c>
      <c r="C2401">
        <v>38.39</v>
      </c>
      <c r="D2401">
        <v>56.5</v>
      </c>
      <c r="E2401" t="s">
        <v>17</v>
      </c>
      <c r="F2401">
        <v>28.6</v>
      </c>
      <c r="G2401">
        <v>31.58</v>
      </c>
      <c r="H2401" t="s">
        <v>17</v>
      </c>
      <c r="I2401" t="str">
        <f>"060282008714"</f>
        <v>060282008714</v>
      </c>
    </row>
    <row r="2402" spans="1:9" x14ac:dyDescent="0.25">
      <c r="A2402" t="s">
        <v>2154</v>
      </c>
      <c r="B2402" t="s">
        <v>13</v>
      </c>
      <c r="C2402">
        <v>34</v>
      </c>
      <c r="D2402">
        <v>34.5</v>
      </c>
      <c r="E2402" t="s">
        <v>17</v>
      </c>
      <c r="F2402">
        <v>25.94</v>
      </c>
      <c r="G2402">
        <v>25.59</v>
      </c>
      <c r="H2402" t="s">
        <v>17</v>
      </c>
      <c r="I2402" t="str">
        <f>"062955009602"</f>
        <v>062955009602</v>
      </c>
    </row>
    <row r="2403" spans="1:9" x14ac:dyDescent="0.25">
      <c r="A2403" t="s">
        <v>2155</v>
      </c>
      <c r="B2403" t="s">
        <v>13</v>
      </c>
      <c r="C2403">
        <v>21</v>
      </c>
      <c r="D2403">
        <v>22</v>
      </c>
      <c r="E2403" t="s">
        <v>17</v>
      </c>
      <c r="F2403">
        <v>28.95</v>
      </c>
      <c r="G2403">
        <v>31.64</v>
      </c>
      <c r="H2403" t="s">
        <v>17</v>
      </c>
      <c r="I2403" t="str">
        <f>"060171003819"</f>
        <v>060171003819</v>
      </c>
    </row>
    <row r="2404" spans="1:9" x14ac:dyDescent="0.25">
      <c r="A2404" t="s">
        <v>2156</v>
      </c>
      <c r="B2404" t="s">
        <v>13</v>
      </c>
      <c r="C2404">
        <v>8</v>
      </c>
      <c r="D2404">
        <v>7.5</v>
      </c>
      <c r="E2404" t="s">
        <v>17</v>
      </c>
      <c r="F2404">
        <v>21.38</v>
      </c>
      <c r="G2404">
        <v>22.67</v>
      </c>
      <c r="H2404" t="s">
        <v>17</v>
      </c>
      <c r="I2404" t="str">
        <f>"060582000525"</f>
        <v>060582000525</v>
      </c>
    </row>
    <row r="2405" spans="1:9" x14ac:dyDescent="0.25">
      <c r="A2405" t="s">
        <v>2157</v>
      </c>
      <c r="B2405" t="s">
        <v>13</v>
      </c>
      <c r="C2405">
        <v>1</v>
      </c>
      <c r="D2405">
        <v>1</v>
      </c>
      <c r="E2405" t="s">
        <v>17</v>
      </c>
      <c r="F2405">
        <v>6</v>
      </c>
      <c r="G2405">
        <v>7</v>
      </c>
      <c r="H2405" t="s">
        <v>17</v>
      </c>
      <c r="I2405" t="str">
        <f>"061944012500"</f>
        <v>061944012500</v>
      </c>
    </row>
    <row r="2406" spans="1:9" x14ac:dyDescent="0.25">
      <c r="A2406" t="s">
        <v>2158</v>
      </c>
      <c r="B2406" t="s">
        <v>13</v>
      </c>
      <c r="C2406">
        <v>26</v>
      </c>
      <c r="D2406">
        <v>26</v>
      </c>
      <c r="E2406" t="s">
        <v>17</v>
      </c>
      <c r="F2406">
        <v>28.77</v>
      </c>
      <c r="G2406">
        <v>30.15</v>
      </c>
      <c r="H2406" t="s">
        <v>17</v>
      </c>
      <c r="I2406" t="str">
        <f>"062088002505"</f>
        <v>062088002505</v>
      </c>
    </row>
    <row r="2407" spans="1:9" x14ac:dyDescent="0.25">
      <c r="A2407" t="s">
        <v>2159</v>
      </c>
      <c r="B2407" t="s">
        <v>13</v>
      </c>
      <c r="C2407">
        <v>28.51</v>
      </c>
      <c r="D2407">
        <v>37.04</v>
      </c>
      <c r="E2407" t="s">
        <v>17</v>
      </c>
      <c r="F2407">
        <v>21.75</v>
      </c>
      <c r="G2407">
        <v>21.6</v>
      </c>
      <c r="H2407" t="s">
        <v>17</v>
      </c>
      <c r="I2407" t="str">
        <f>"062958010905"</f>
        <v>062958010905</v>
      </c>
    </row>
    <row r="2408" spans="1:9" x14ac:dyDescent="0.25">
      <c r="A2408" t="s">
        <v>2160</v>
      </c>
      <c r="B2408" t="s">
        <v>13</v>
      </c>
      <c r="C2408">
        <v>49.06</v>
      </c>
      <c r="D2408">
        <v>48.56</v>
      </c>
      <c r="E2408" t="s">
        <v>17</v>
      </c>
      <c r="F2408">
        <v>26.03</v>
      </c>
      <c r="G2408">
        <v>24.36</v>
      </c>
      <c r="H2408" t="s">
        <v>17</v>
      </c>
      <c r="I2408" t="str">
        <f>"060282000204"</f>
        <v>060282000204</v>
      </c>
    </row>
    <row r="2409" spans="1:9" x14ac:dyDescent="0.25">
      <c r="A2409" t="s">
        <v>2161</v>
      </c>
      <c r="B2409" t="s">
        <v>13</v>
      </c>
      <c r="C2409">
        <v>10</v>
      </c>
      <c r="D2409">
        <v>7</v>
      </c>
      <c r="E2409" t="s">
        <v>17</v>
      </c>
      <c r="F2409">
        <v>24.6</v>
      </c>
      <c r="G2409">
        <v>36.29</v>
      </c>
      <c r="H2409" t="s">
        <v>17</v>
      </c>
      <c r="I2409" t="str">
        <f>"061455010779"</f>
        <v>061455010779</v>
      </c>
    </row>
    <row r="2410" spans="1:9" x14ac:dyDescent="0.25">
      <c r="A2410" t="s">
        <v>2162</v>
      </c>
      <c r="B2410" t="s">
        <v>13</v>
      </c>
      <c r="C2410">
        <v>8.0299999999999994</v>
      </c>
      <c r="D2410">
        <v>8.01</v>
      </c>
      <c r="E2410" t="s">
        <v>17</v>
      </c>
      <c r="F2410">
        <v>28.39</v>
      </c>
      <c r="G2410">
        <v>29.71</v>
      </c>
      <c r="H2410" t="s">
        <v>17</v>
      </c>
      <c r="I2410" t="str">
        <f>"062805004255"</f>
        <v>062805004255</v>
      </c>
    </row>
    <row r="2411" spans="1:9" x14ac:dyDescent="0.25">
      <c r="A2411" t="s">
        <v>2163</v>
      </c>
      <c r="B2411" t="s">
        <v>13</v>
      </c>
      <c r="C2411">
        <v>15</v>
      </c>
      <c r="D2411">
        <v>16.75</v>
      </c>
      <c r="E2411" t="s">
        <v>17</v>
      </c>
      <c r="F2411">
        <v>25.2</v>
      </c>
      <c r="G2411">
        <v>23.82</v>
      </c>
      <c r="H2411" t="s">
        <v>17</v>
      </c>
      <c r="I2411" t="str">
        <f>"061494001892"</f>
        <v>061494001892</v>
      </c>
    </row>
    <row r="2412" spans="1:9" x14ac:dyDescent="0.25">
      <c r="A2412" t="s">
        <v>2164</v>
      </c>
      <c r="B2412" t="s">
        <v>13</v>
      </c>
      <c r="C2412">
        <v>20</v>
      </c>
      <c r="D2412">
        <v>21</v>
      </c>
      <c r="E2412" t="s">
        <v>17</v>
      </c>
      <c r="F2412">
        <v>19.600000000000001</v>
      </c>
      <c r="G2412">
        <v>19.95</v>
      </c>
      <c r="H2412" t="s">
        <v>17</v>
      </c>
      <c r="I2412" t="str">
        <f>"063432005447"</f>
        <v>063432005447</v>
      </c>
    </row>
    <row r="2413" spans="1:9" x14ac:dyDescent="0.25">
      <c r="A2413" t="s">
        <v>2165</v>
      </c>
      <c r="B2413" t="s">
        <v>13</v>
      </c>
      <c r="C2413">
        <v>16.3</v>
      </c>
      <c r="D2413">
        <v>15.1</v>
      </c>
      <c r="E2413" t="s">
        <v>17</v>
      </c>
      <c r="F2413">
        <v>19.940000000000001</v>
      </c>
      <c r="G2413">
        <v>22.58</v>
      </c>
      <c r="H2413" t="s">
        <v>17</v>
      </c>
      <c r="I2413" t="str">
        <f>"061455001720"</f>
        <v>061455001720</v>
      </c>
    </row>
    <row r="2414" spans="1:9" x14ac:dyDescent="0.25">
      <c r="A2414" t="s">
        <v>2166</v>
      </c>
      <c r="B2414" t="s">
        <v>13</v>
      </c>
      <c r="C2414">
        <v>10</v>
      </c>
      <c r="D2414">
        <v>6.25</v>
      </c>
      <c r="E2414" t="s">
        <v>17</v>
      </c>
      <c r="F2414">
        <v>20.399999999999999</v>
      </c>
      <c r="G2414">
        <v>31.2</v>
      </c>
      <c r="H2414" t="s">
        <v>17</v>
      </c>
      <c r="I2414" t="str">
        <f>"061113001236"</f>
        <v>061113001236</v>
      </c>
    </row>
    <row r="2415" spans="1:9" x14ac:dyDescent="0.25">
      <c r="A2415" t="s">
        <v>2167</v>
      </c>
      <c r="B2415" t="s">
        <v>13</v>
      </c>
      <c r="C2415">
        <v>3</v>
      </c>
      <c r="D2415">
        <v>3</v>
      </c>
      <c r="E2415" t="s">
        <v>17</v>
      </c>
      <c r="F2415">
        <v>8.67</v>
      </c>
      <c r="G2415">
        <v>8</v>
      </c>
      <c r="H2415" t="s">
        <v>17</v>
      </c>
      <c r="I2415" t="str">
        <f>"062637008458"</f>
        <v>062637008458</v>
      </c>
    </row>
    <row r="2416" spans="1:9" x14ac:dyDescent="0.25">
      <c r="A2416" t="s">
        <v>2168</v>
      </c>
      <c r="B2416" t="s">
        <v>13</v>
      </c>
      <c r="C2416">
        <v>26.35</v>
      </c>
      <c r="D2416">
        <v>27.85</v>
      </c>
      <c r="E2416" t="s">
        <v>17</v>
      </c>
      <c r="F2416">
        <v>24.82</v>
      </c>
      <c r="G2416">
        <v>24.74</v>
      </c>
      <c r="H2416" t="s">
        <v>17</v>
      </c>
      <c r="I2416" t="str">
        <f>"062637001967"</f>
        <v>062637001967</v>
      </c>
    </row>
    <row r="2417" spans="1:9" x14ac:dyDescent="0.25">
      <c r="A2417" t="s">
        <v>2169</v>
      </c>
      <c r="B2417" t="s">
        <v>13</v>
      </c>
      <c r="C2417">
        <v>22</v>
      </c>
      <c r="D2417">
        <v>23.4</v>
      </c>
      <c r="E2417" t="s">
        <v>17</v>
      </c>
      <c r="F2417">
        <v>28.23</v>
      </c>
      <c r="G2417">
        <v>26.79</v>
      </c>
      <c r="H2417" t="s">
        <v>17</v>
      </c>
      <c r="I2417" t="str">
        <f>"060285008454"</f>
        <v>060285008454</v>
      </c>
    </row>
    <row r="2418" spans="1:9" x14ac:dyDescent="0.25">
      <c r="A2418" t="s">
        <v>2170</v>
      </c>
      <c r="B2418" t="s">
        <v>13</v>
      </c>
      <c r="C2418">
        <v>33.18</v>
      </c>
      <c r="D2418">
        <v>33.72</v>
      </c>
      <c r="E2418" t="s">
        <v>17</v>
      </c>
      <c r="F2418">
        <v>24.98</v>
      </c>
      <c r="G2418">
        <v>25.24</v>
      </c>
      <c r="H2418" t="s">
        <v>17</v>
      </c>
      <c r="I2418" t="str">
        <f>"063513008460"</f>
        <v>063513008460</v>
      </c>
    </row>
    <row r="2419" spans="1:9" x14ac:dyDescent="0.25">
      <c r="A2419" t="s">
        <v>2171</v>
      </c>
      <c r="B2419" t="s">
        <v>13</v>
      </c>
      <c r="C2419">
        <v>113.51</v>
      </c>
      <c r="D2419">
        <v>111.77</v>
      </c>
      <c r="E2419" t="s">
        <v>17</v>
      </c>
      <c r="F2419">
        <v>26.69</v>
      </c>
      <c r="G2419">
        <v>27.23</v>
      </c>
      <c r="H2419" t="s">
        <v>17</v>
      </c>
      <c r="I2419" t="str">
        <f>"064128007894"</f>
        <v>064128007894</v>
      </c>
    </row>
    <row r="2420" spans="1:9" x14ac:dyDescent="0.25">
      <c r="A2420" t="s">
        <v>2172</v>
      </c>
      <c r="B2420" t="s">
        <v>13</v>
      </c>
      <c r="C2420">
        <v>24</v>
      </c>
      <c r="D2420">
        <v>26.5</v>
      </c>
      <c r="E2420" t="s">
        <v>17</v>
      </c>
      <c r="F2420">
        <v>26.13</v>
      </c>
      <c r="G2420">
        <v>24.83</v>
      </c>
      <c r="H2420" t="s">
        <v>17</v>
      </c>
      <c r="I2420" t="str">
        <f>"063360008760"</f>
        <v>063360008760</v>
      </c>
    </row>
    <row r="2421" spans="1:9" x14ac:dyDescent="0.25">
      <c r="A2421" t="s">
        <v>2173</v>
      </c>
      <c r="B2421" t="s">
        <v>13</v>
      </c>
      <c r="C2421">
        <v>19</v>
      </c>
      <c r="D2421">
        <v>24</v>
      </c>
      <c r="E2421" t="s">
        <v>17</v>
      </c>
      <c r="F2421">
        <v>30.63</v>
      </c>
      <c r="G2421">
        <v>24.63</v>
      </c>
      <c r="H2421" t="s">
        <v>17</v>
      </c>
      <c r="I2421" t="str">
        <f>"063531005983"</f>
        <v>063531005983</v>
      </c>
    </row>
    <row r="2422" spans="1:9" x14ac:dyDescent="0.25">
      <c r="A2422" t="s">
        <v>2174</v>
      </c>
      <c r="B2422" t="s">
        <v>13</v>
      </c>
      <c r="C2422">
        <v>2.16</v>
      </c>
      <c r="D2422">
        <v>2.79</v>
      </c>
      <c r="E2422" t="s">
        <v>17</v>
      </c>
      <c r="F2422">
        <v>26.39</v>
      </c>
      <c r="G2422">
        <v>21.51</v>
      </c>
      <c r="H2422" t="s">
        <v>17</v>
      </c>
      <c r="I2422" t="str">
        <f>"062106010821"</f>
        <v>062106010821</v>
      </c>
    </row>
    <row r="2423" spans="1:9" x14ac:dyDescent="0.25">
      <c r="A2423" t="s">
        <v>2175</v>
      </c>
      <c r="B2423" t="s">
        <v>13</v>
      </c>
      <c r="C2423">
        <v>15</v>
      </c>
      <c r="D2423">
        <v>17.5</v>
      </c>
      <c r="E2423" t="s">
        <v>17</v>
      </c>
      <c r="F2423">
        <v>23.27</v>
      </c>
      <c r="G2423">
        <v>20.57</v>
      </c>
      <c r="H2423" t="s">
        <v>17</v>
      </c>
      <c r="I2423" t="str">
        <f>"063132004838"</f>
        <v>063132004838</v>
      </c>
    </row>
    <row r="2424" spans="1:9" x14ac:dyDescent="0.25">
      <c r="A2424" t="s">
        <v>2176</v>
      </c>
      <c r="B2424" t="s">
        <v>13</v>
      </c>
      <c r="C2424">
        <v>72</v>
      </c>
      <c r="D2424">
        <v>70.5</v>
      </c>
      <c r="E2424" t="s">
        <v>17</v>
      </c>
      <c r="F2424">
        <v>25.97</v>
      </c>
      <c r="G2424">
        <v>27.19</v>
      </c>
      <c r="H2424" t="s">
        <v>17</v>
      </c>
      <c r="I2424" t="str">
        <f>"063132007136"</f>
        <v>063132007136</v>
      </c>
    </row>
    <row r="2425" spans="1:9" x14ac:dyDescent="0.25">
      <c r="A2425" t="s">
        <v>2177</v>
      </c>
      <c r="B2425" t="s">
        <v>13</v>
      </c>
      <c r="C2425">
        <v>7</v>
      </c>
      <c r="D2425">
        <v>7</v>
      </c>
      <c r="E2425" t="s">
        <v>17</v>
      </c>
      <c r="F2425">
        <v>14.43</v>
      </c>
      <c r="G2425">
        <v>13.43</v>
      </c>
      <c r="H2425" t="s">
        <v>17</v>
      </c>
      <c r="I2425" t="str">
        <f>"060207000090"</f>
        <v>060207000090</v>
      </c>
    </row>
    <row r="2426" spans="1:9" x14ac:dyDescent="0.25">
      <c r="A2426" t="s">
        <v>2178</v>
      </c>
      <c r="B2426" t="s">
        <v>13</v>
      </c>
      <c r="C2426">
        <v>41.5</v>
      </c>
      <c r="D2426">
        <v>43.23</v>
      </c>
      <c r="E2426" t="s">
        <v>17</v>
      </c>
      <c r="F2426">
        <v>27.08</v>
      </c>
      <c r="G2426">
        <v>27.06</v>
      </c>
      <c r="H2426" t="s">
        <v>17</v>
      </c>
      <c r="I2426" t="str">
        <f>"061692011019"</f>
        <v>061692011019</v>
      </c>
    </row>
    <row r="2427" spans="1:9" x14ac:dyDescent="0.25">
      <c r="A2427" t="s">
        <v>2179</v>
      </c>
      <c r="B2427" t="s">
        <v>13</v>
      </c>
      <c r="C2427">
        <v>13.04</v>
      </c>
      <c r="D2427">
        <v>13.5</v>
      </c>
      <c r="E2427" t="s">
        <v>17</v>
      </c>
      <c r="F2427">
        <v>24.08</v>
      </c>
      <c r="G2427">
        <v>25.63</v>
      </c>
      <c r="H2427" t="s">
        <v>17</v>
      </c>
      <c r="I2427" t="str">
        <f>"063855006471"</f>
        <v>063855006471</v>
      </c>
    </row>
    <row r="2428" spans="1:9" x14ac:dyDescent="0.25">
      <c r="A2428" t="s">
        <v>2180</v>
      </c>
      <c r="B2428" t="s">
        <v>13</v>
      </c>
      <c r="C2428">
        <v>20.5</v>
      </c>
      <c r="D2428">
        <v>20.03</v>
      </c>
      <c r="E2428" t="s">
        <v>17</v>
      </c>
      <c r="F2428">
        <v>10.39</v>
      </c>
      <c r="G2428">
        <v>10.33</v>
      </c>
      <c r="H2428" t="s">
        <v>17</v>
      </c>
      <c r="I2428" t="str">
        <f>"062271008886"</f>
        <v>062271008886</v>
      </c>
    </row>
    <row r="2429" spans="1:9" x14ac:dyDescent="0.25">
      <c r="A2429" t="s">
        <v>2181</v>
      </c>
      <c r="B2429" t="s">
        <v>13</v>
      </c>
      <c r="C2429">
        <v>1</v>
      </c>
      <c r="D2429">
        <v>1</v>
      </c>
      <c r="E2429" t="s">
        <v>17</v>
      </c>
      <c r="F2429">
        <v>25</v>
      </c>
      <c r="G2429">
        <v>34</v>
      </c>
      <c r="H2429" t="s">
        <v>17</v>
      </c>
      <c r="I2429" t="str">
        <f>"060006004164"</f>
        <v>060006004164</v>
      </c>
    </row>
    <row r="2430" spans="1:9" x14ac:dyDescent="0.25">
      <c r="A2430" t="s">
        <v>2182</v>
      </c>
      <c r="B2430" t="s">
        <v>13</v>
      </c>
      <c r="C2430">
        <v>39.5</v>
      </c>
      <c r="D2430">
        <v>40</v>
      </c>
      <c r="E2430" t="s">
        <v>17</v>
      </c>
      <c r="F2430">
        <v>21.67</v>
      </c>
      <c r="G2430">
        <v>20.88</v>
      </c>
      <c r="H2430" t="s">
        <v>17</v>
      </c>
      <c r="I2430" t="str">
        <f>"060962000977"</f>
        <v>060962000977</v>
      </c>
    </row>
    <row r="2431" spans="1:9" x14ac:dyDescent="0.25">
      <c r="A2431" t="s">
        <v>2183</v>
      </c>
      <c r="B2431" t="s">
        <v>13</v>
      </c>
      <c r="C2431">
        <v>23.25</v>
      </c>
      <c r="D2431">
        <v>26.83</v>
      </c>
      <c r="E2431" t="s">
        <v>17</v>
      </c>
      <c r="F2431">
        <v>27.83</v>
      </c>
      <c r="G2431">
        <v>27.17</v>
      </c>
      <c r="H2431" t="s">
        <v>17</v>
      </c>
      <c r="I2431" t="str">
        <f>"060846000837"</f>
        <v>060846000837</v>
      </c>
    </row>
    <row r="2432" spans="1:9" x14ac:dyDescent="0.25">
      <c r="A2432" t="s">
        <v>2184</v>
      </c>
      <c r="B2432" t="s">
        <v>13</v>
      </c>
      <c r="C2432">
        <v>20.3</v>
      </c>
      <c r="D2432">
        <v>15.1</v>
      </c>
      <c r="E2432" t="s">
        <v>17</v>
      </c>
      <c r="F2432">
        <v>29.26</v>
      </c>
      <c r="G2432">
        <v>37.15</v>
      </c>
      <c r="H2432" t="s">
        <v>17</v>
      </c>
      <c r="I2432" t="str">
        <f>"061071012509"</f>
        <v>061071012509</v>
      </c>
    </row>
    <row r="2433" spans="1:9" x14ac:dyDescent="0.25">
      <c r="A2433" t="s">
        <v>2185</v>
      </c>
      <c r="B2433" t="s">
        <v>13</v>
      </c>
      <c r="C2433">
        <v>11.63</v>
      </c>
      <c r="D2433">
        <v>5.3</v>
      </c>
      <c r="E2433" t="s">
        <v>14</v>
      </c>
      <c r="F2433">
        <v>20.21</v>
      </c>
      <c r="G2433">
        <v>18.87</v>
      </c>
      <c r="H2433" t="s">
        <v>14</v>
      </c>
      <c r="I2433" t="str">
        <f>"061914012880"</f>
        <v>061914012880</v>
      </c>
    </row>
    <row r="2434" spans="1:9" x14ac:dyDescent="0.25">
      <c r="A2434" t="s">
        <v>2186</v>
      </c>
      <c r="B2434" t="s">
        <v>13</v>
      </c>
      <c r="C2434">
        <v>32.200000000000003</v>
      </c>
      <c r="D2434">
        <v>31.2</v>
      </c>
      <c r="E2434" t="s">
        <v>17</v>
      </c>
      <c r="F2434">
        <v>25.34</v>
      </c>
      <c r="G2434">
        <v>26.03</v>
      </c>
      <c r="H2434" t="s">
        <v>17</v>
      </c>
      <c r="I2434" t="str">
        <f>"063438008186"</f>
        <v>063438008186</v>
      </c>
    </row>
    <row r="2435" spans="1:9" x14ac:dyDescent="0.25">
      <c r="A2435" t="s">
        <v>2187</v>
      </c>
      <c r="B2435" t="s">
        <v>13</v>
      </c>
      <c r="C2435">
        <v>39</v>
      </c>
      <c r="D2435">
        <v>35</v>
      </c>
      <c r="E2435" t="s">
        <v>17</v>
      </c>
      <c r="F2435">
        <v>21.9</v>
      </c>
      <c r="G2435">
        <v>23.83</v>
      </c>
      <c r="H2435" t="s">
        <v>17</v>
      </c>
      <c r="I2435" t="str">
        <f>"063432005330"</f>
        <v>063432005330</v>
      </c>
    </row>
    <row r="2436" spans="1:9" x14ac:dyDescent="0.25">
      <c r="A2436" t="s">
        <v>2188</v>
      </c>
      <c r="B2436" t="s">
        <v>13</v>
      </c>
      <c r="C2436">
        <v>18.21</v>
      </c>
      <c r="D2436">
        <v>20.9</v>
      </c>
      <c r="E2436" t="s">
        <v>17</v>
      </c>
      <c r="F2436">
        <v>22.3</v>
      </c>
      <c r="G2436">
        <v>22.87</v>
      </c>
      <c r="H2436" t="s">
        <v>17</v>
      </c>
      <c r="I2436" t="str">
        <f>"064308006999"</f>
        <v>064308006999</v>
      </c>
    </row>
    <row r="2437" spans="1:9" x14ac:dyDescent="0.25">
      <c r="A2437" t="s">
        <v>2189</v>
      </c>
      <c r="B2437" t="s">
        <v>13</v>
      </c>
      <c r="C2437">
        <v>86.99</v>
      </c>
      <c r="D2437">
        <v>83</v>
      </c>
      <c r="E2437" t="s">
        <v>17</v>
      </c>
      <c r="F2437">
        <v>21.08</v>
      </c>
      <c r="G2437">
        <v>21.99</v>
      </c>
      <c r="H2437" t="s">
        <v>17</v>
      </c>
      <c r="I2437" t="str">
        <f>"060006501242"</f>
        <v>060006501242</v>
      </c>
    </row>
    <row r="2438" spans="1:9" x14ac:dyDescent="0.25">
      <c r="A2438" t="s">
        <v>2190</v>
      </c>
      <c r="B2438" t="s">
        <v>13</v>
      </c>
      <c r="C2438">
        <v>30</v>
      </c>
      <c r="D2438">
        <v>25</v>
      </c>
      <c r="E2438" t="s">
        <v>14</v>
      </c>
      <c r="F2438">
        <v>32.200000000000003</v>
      </c>
      <c r="G2438">
        <v>33.24</v>
      </c>
      <c r="H2438" t="s">
        <v>14</v>
      </c>
      <c r="I2438" t="str">
        <f>"062088012829"</f>
        <v>062088012829</v>
      </c>
    </row>
    <row r="2439" spans="1:9" x14ac:dyDescent="0.25">
      <c r="A2439" t="s">
        <v>2191</v>
      </c>
      <c r="B2439" t="s">
        <v>13</v>
      </c>
      <c r="C2439">
        <v>19</v>
      </c>
      <c r="D2439">
        <v>19</v>
      </c>
      <c r="E2439" t="s">
        <v>17</v>
      </c>
      <c r="F2439">
        <v>25.95</v>
      </c>
      <c r="G2439">
        <v>26.84</v>
      </c>
      <c r="H2439" t="s">
        <v>17</v>
      </c>
      <c r="I2439" t="str">
        <f>"060675007653"</f>
        <v>060675007653</v>
      </c>
    </row>
    <row r="2440" spans="1:9" x14ac:dyDescent="0.25">
      <c r="A2440" t="s">
        <v>2192</v>
      </c>
      <c r="B2440" t="s">
        <v>13</v>
      </c>
      <c r="C2440">
        <v>40</v>
      </c>
      <c r="D2440">
        <v>38.549999999999997</v>
      </c>
      <c r="E2440" t="s">
        <v>17</v>
      </c>
      <c r="F2440">
        <v>21.33</v>
      </c>
      <c r="G2440">
        <v>21.27</v>
      </c>
      <c r="H2440" t="s">
        <v>17</v>
      </c>
      <c r="I2440" t="str">
        <f>"060861002633"</f>
        <v>060861002633</v>
      </c>
    </row>
    <row r="2441" spans="1:9" x14ac:dyDescent="0.25">
      <c r="A2441" t="s">
        <v>2192</v>
      </c>
      <c r="B2441" t="s">
        <v>13</v>
      </c>
      <c r="C2441">
        <v>14</v>
      </c>
      <c r="D2441">
        <v>14</v>
      </c>
      <c r="E2441" t="s">
        <v>17</v>
      </c>
      <c r="F2441">
        <v>26.71</v>
      </c>
      <c r="G2441">
        <v>27.14</v>
      </c>
      <c r="H2441" t="s">
        <v>17</v>
      </c>
      <c r="I2441" t="str">
        <f>"060004710393"</f>
        <v>060004710393</v>
      </c>
    </row>
    <row r="2442" spans="1:9" x14ac:dyDescent="0.25">
      <c r="A2442" t="s">
        <v>2192</v>
      </c>
      <c r="B2442" t="s">
        <v>13</v>
      </c>
      <c r="C2442">
        <v>23.64</v>
      </c>
      <c r="D2442">
        <v>26.39</v>
      </c>
      <c r="E2442" t="s">
        <v>17</v>
      </c>
      <c r="F2442">
        <v>23.94</v>
      </c>
      <c r="G2442">
        <v>21.6</v>
      </c>
      <c r="H2442" t="s">
        <v>17</v>
      </c>
      <c r="I2442" t="str">
        <f>"069103511792"</f>
        <v>069103511792</v>
      </c>
    </row>
    <row r="2443" spans="1:9" x14ac:dyDescent="0.25">
      <c r="A2443" t="s">
        <v>2193</v>
      </c>
      <c r="B2443" t="s">
        <v>13</v>
      </c>
      <c r="C2443" t="s">
        <v>17</v>
      </c>
      <c r="D2443" t="s">
        <v>14</v>
      </c>
      <c r="E2443" t="s">
        <v>14</v>
      </c>
      <c r="F2443" t="s">
        <v>17</v>
      </c>
      <c r="G2443" t="s">
        <v>14</v>
      </c>
      <c r="H2443" t="s">
        <v>14</v>
      </c>
      <c r="I2443" t="str">
        <f>"069103513640"</f>
        <v>069103513640</v>
      </c>
    </row>
    <row r="2444" spans="1:9" x14ac:dyDescent="0.25">
      <c r="A2444" t="s">
        <v>2194</v>
      </c>
      <c r="B2444" t="s">
        <v>13</v>
      </c>
      <c r="C2444">
        <v>17.600000000000001</v>
      </c>
      <c r="D2444">
        <v>19</v>
      </c>
      <c r="E2444" t="s">
        <v>17</v>
      </c>
      <c r="F2444">
        <v>19.77</v>
      </c>
      <c r="G2444">
        <v>18.420000000000002</v>
      </c>
      <c r="H2444" t="s">
        <v>17</v>
      </c>
      <c r="I2444" t="str">
        <f>"062271011889"</f>
        <v>062271011889</v>
      </c>
    </row>
    <row r="2445" spans="1:9" x14ac:dyDescent="0.25">
      <c r="A2445" t="s">
        <v>2195</v>
      </c>
      <c r="B2445" t="s">
        <v>13</v>
      </c>
      <c r="C2445">
        <v>37.1</v>
      </c>
      <c r="D2445">
        <v>38.25</v>
      </c>
      <c r="E2445" t="s">
        <v>17</v>
      </c>
      <c r="F2445">
        <v>23.48</v>
      </c>
      <c r="G2445">
        <v>23.01</v>
      </c>
      <c r="H2445" t="s">
        <v>17</v>
      </c>
      <c r="I2445" t="str">
        <f>"061470010222"</f>
        <v>061470010222</v>
      </c>
    </row>
    <row r="2446" spans="1:9" x14ac:dyDescent="0.25">
      <c r="A2446" t="s">
        <v>2195</v>
      </c>
      <c r="B2446" t="s">
        <v>13</v>
      </c>
      <c r="C2446">
        <v>36.97</v>
      </c>
      <c r="D2446">
        <v>35.4</v>
      </c>
      <c r="E2446" t="s">
        <v>17</v>
      </c>
      <c r="F2446">
        <v>28</v>
      </c>
      <c r="G2446">
        <v>27.88</v>
      </c>
      <c r="H2446" t="s">
        <v>17</v>
      </c>
      <c r="I2446" t="str">
        <f>"063488007353"</f>
        <v>063488007353</v>
      </c>
    </row>
    <row r="2447" spans="1:9" x14ac:dyDescent="0.25">
      <c r="A2447" t="s">
        <v>2196</v>
      </c>
      <c r="B2447" t="s">
        <v>13</v>
      </c>
      <c r="C2447">
        <v>9</v>
      </c>
      <c r="D2447">
        <v>7</v>
      </c>
      <c r="E2447" t="s">
        <v>17</v>
      </c>
      <c r="F2447">
        <v>15.44</v>
      </c>
      <c r="G2447">
        <v>20.86</v>
      </c>
      <c r="H2447" t="s">
        <v>17</v>
      </c>
      <c r="I2447" t="str">
        <f>"060003606335"</f>
        <v>060003606335</v>
      </c>
    </row>
    <row r="2448" spans="1:9" x14ac:dyDescent="0.25">
      <c r="A2448" t="s">
        <v>2196</v>
      </c>
      <c r="B2448" t="s">
        <v>13</v>
      </c>
      <c r="C2448">
        <v>1.5</v>
      </c>
      <c r="D2448">
        <v>1</v>
      </c>
      <c r="E2448" t="s">
        <v>17</v>
      </c>
      <c r="F2448">
        <v>16.670000000000002</v>
      </c>
      <c r="G2448">
        <v>10</v>
      </c>
      <c r="H2448" t="s">
        <v>17</v>
      </c>
      <c r="I2448" t="str">
        <f>"064341007904"</f>
        <v>064341007904</v>
      </c>
    </row>
    <row r="2449" spans="1:9" x14ac:dyDescent="0.25">
      <c r="A2449" t="s">
        <v>2197</v>
      </c>
      <c r="B2449" t="s">
        <v>13</v>
      </c>
      <c r="C2449">
        <v>31</v>
      </c>
      <c r="D2449">
        <v>30</v>
      </c>
      <c r="E2449" t="s">
        <v>17</v>
      </c>
      <c r="F2449">
        <v>31.97</v>
      </c>
      <c r="G2449">
        <v>32.17</v>
      </c>
      <c r="H2449" t="s">
        <v>17</v>
      </c>
      <c r="I2449" t="str">
        <f>"064104008586"</f>
        <v>064104008586</v>
      </c>
    </row>
    <row r="2450" spans="1:9" x14ac:dyDescent="0.25">
      <c r="A2450" t="s">
        <v>2198</v>
      </c>
      <c r="B2450" t="s">
        <v>13</v>
      </c>
      <c r="C2450">
        <v>1</v>
      </c>
      <c r="D2450">
        <v>1</v>
      </c>
      <c r="E2450" t="s">
        <v>17</v>
      </c>
      <c r="F2450">
        <v>13</v>
      </c>
      <c r="G2450">
        <v>7</v>
      </c>
      <c r="H2450" t="s">
        <v>17</v>
      </c>
      <c r="I2450" t="str">
        <f>"069101708731"</f>
        <v>069101708731</v>
      </c>
    </row>
    <row r="2451" spans="1:9" x14ac:dyDescent="0.25">
      <c r="A2451" t="s">
        <v>2199</v>
      </c>
      <c r="B2451" t="s">
        <v>13</v>
      </c>
      <c r="C2451">
        <v>18.62</v>
      </c>
      <c r="D2451">
        <v>25.33</v>
      </c>
      <c r="E2451" t="s">
        <v>17</v>
      </c>
      <c r="F2451">
        <v>2.15</v>
      </c>
      <c r="G2451">
        <v>1.03</v>
      </c>
      <c r="H2451" t="s">
        <v>17</v>
      </c>
      <c r="I2451" t="str">
        <f>"063801008991"</f>
        <v>063801008991</v>
      </c>
    </row>
    <row r="2452" spans="1:9" x14ac:dyDescent="0.25">
      <c r="A2452" t="s">
        <v>2200</v>
      </c>
      <c r="B2452" t="s">
        <v>13</v>
      </c>
      <c r="C2452">
        <v>1</v>
      </c>
      <c r="D2452">
        <v>2</v>
      </c>
      <c r="E2452" t="s">
        <v>17</v>
      </c>
      <c r="F2452">
        <v>24</v>
      </c>
      <c r="G2452">
        <v>11</v>
      </c>
      <c r="H2452" t="s">
        <v>17</v>
      </c>
      <c r="I2452" t="str">
        <f>"060524007650"</f>
        <v>060524007650</v>
      </c>
    </row>
    <row r="2453" spans="1:9" x14ac:dyDescent="0.25">
      <c r="A2453" t="s">
        <v>2201</v>
      </c>
      <c r="B2453" t="s">
        <v>13</v>
      </c>
      <c r="C2453">
        <v>37.04</v>
      </c>
      <c r="D2453">
        <v>36.71</v>
      </c>
      <c r="E2453" t="s">
        <v>17</v>
      </c>
      <c r="F2453">
        <v>25.54</v>
      </c>
      <c r="G2453">
        <v>25.22</v>
      </c>
      <c r="H2453" t="s">
        <v>17</v>
      </c>
      <c r="I2453" t="str">
        <f>"064116006788"</f>
        <v>064116006788</v>
      </c>
    </row>
    <row r="2454" spans="1:9" x14ac:dyDescent="0.25">
      <c r="A2454" t="s">
        <v>2202</v>
      </c>
      <c r="B2454" t="s">
        <v>13</v>
      </c>
      <c r="C2454">
        <v>1</v>
      </c>
      <c r="D2454">
        <v>2</v>
      </c>
      <c r="E2454" t="s">
        <v>17</v>
      </c>
      <c r="F2454">
        <v>11</v>
      </c>
      <c r="G2454">
        <v>8</v>
      </c>
      <c r="H2454" t="s">
        <v>17</v>
      </c>
      <c r="I2454" t="str">
        <f>"069112212709"</f>
        <v>069112212709</v>
      </c>
    </row>
    <row r="2455" spans="1:9" x14ac:dyDescent="0.25">
      <c r="A2455" t="s">
        <v>2203</v>
      </c>
      <c r="B2455" t="s">
        <v>13</v>
      </c>
      <c r="C2455">
        <v>27.5</v>
      </c>
      <c r="D2455">
        <v>27.01</v>
      </c>
      <c r="E2455" t="s">
        <v>17</v>
      </c>
      <c r="F2455">
        <v>24.55</v>
      </c>
      <c r="G2455">
        <v>24.55</v>
      </c>
      <c r="H2455" t="s">
        <v>17</v>
      </c>
      <c r="I2455" t="str">
        <f>"062271002959"</f>
        <v>062271002959</v>
      </c>
    </row>
    <row r="2456" spans="1:9" x14ac:dyDescent="0.25">
      <c r="A2456" t="s">
        <v>2204</v>
      </c>
      <c r="B2456" t="s">
        <v>13</v>
      </c>
      <c r="C2456">
        <v>17</v>
      </c>
      <c r="D2456">
        <v>18</v>
      </c>
      <c r="E2456" t="s">
        <v>17</v>
      </c>
      <c r="F2456">
        <v>22.65</v>
      </c>
      <c r="G2456">
        <v>20.329999999999998</v>
      </c>
      <c r="H2456" t="s">
        <v>17</v>
      </c>
      <c r="I2456" t="str">
        <f>"061122001244"</f>
        <v>061122001244</v>
      </c>
    </row>
    <row r="2457" spans="1:9" x14ac:dyDescent="0.25">
      <c r="A2457" t="s">
        <v>2205</v>
      </c>
      <c r="B2457" t="s">
        <v>13</v>
      </c>
      <c r="C2457">
        <v>10.199999999999999</v>
      </c>
      <c r="D2457">
        <v>11</v>
      </c>
      <c r="E2457" t="s">
        <v>17</v>
      </c>
      <c r="F2457">
        <v>27.84</v>
      </c>
      <c r="G2457">
        <v>26.73</v>
      </c>
      <c r="H2457" t="s">
        <v>17</v>
      </c>
      <c r="I2457" t="str">
        <f>"062334003544"</f>
        <v>062334003544</v>
      </c>
    </row>
    <row r="2458" spans="1:9" x14ac:dyDescent="0.25">
      <c r="A2458" t="s">
        <v>2206</v>
      </c>
      <c r="B2458" t="s">
        <v>13</v>
      </c>
      <c r="C2458">
        <v>1</v>
      </c>
      <c r="D2458">
        <v>1</v>
      </c>
      <c r="E2458" t="s">
        <v>17</v>
      </c>
      <c r="F2458">
        <v>8</v>
      </c>
      <c r="G2458">
        <v>16</v>
      </c>
      <c r="H2458" t="s">
        <v>17</v>
      </c>
      <c r="I2458" t="str">
        <f>"061128011236"</f>
        <v>061128011236</v>
      </c>
    </row>
    <row r="2459" spans="1:9" x14ac:dyDescent="0.25">
      <c r="A2459" t="s">
        <v>2207</v>
      </c>
      <c r="B2459" t="s">
        <v>13</v>
      </c>
      <c r="C2459">
        <v>51.8</v>
      </c>
      <c r="D2459">
        <v>54.4</v>
      </c>
      <c r="E2459" t="s">
        <v>17</v>
      </c>
      <c r="F2459">
        <v>22.45</v>
      </c>
      <c r="G2459">
        <v>21.21</v>
      </c>
      <c r="H2459" t="s">
        <v>17</v>
      </c>
      <c r="I2459" t="str">
        <f>"061128001251"</f>
        <v>061128001251</v>
      </c>
    </row>
    <row r="2460" spans="1:9" x14ac:dyDescent="0.25">
      <c r="A2460" t="s">
        <v>2208</v>
      </c>
      <c r="B2460" t="s">
        <v>13</v>
      </c>
      <c r="C2460">
        <v>14.5</v>
      </c>
      <c r="D2460">
        <v>15</v>
      </c>
      <c r="E2460" t="s">
        <v>17</v>
      </c>
      <c r="F2460">
        <v>24.97</v>
      </c>
      <c r="G2460">
        <v>19.13</v>
      </c>
      <c r="H2460" t="s">
        <v>17</v>
      </c>
      <c r="I2460" t="str">
        <f>"060134011473"</f>
        <v>060134011473</v>
      </c>
    </row>
    <row r="2461" spans="1:9" x14ac:dyDescent="0.25">
      <c r="A2461" t="s">
        <v>2209</v>
      </c>
      <c r="B2461" t="s">
        <v>13</v>
      </c>
      <c r="C2461">
        <v>21</v>
      </c>
      <c r="D2461">
        <v>19</v>
      </c>
      <c r="E2461" t="s">
        <v>17</v>
      </c>
      <c r="F2461">
        <v>27.52</v>
      </c>
      <c r="G2461">
        <v>29.26</v>
      </c>
      <c r="H2461" t="s">
        <v>17</v>
      </c>
      <c r="I2461" t="str">
        <f>"060795000763"</f>
        <v>060795000763</v>
      </c>
    </row>
    <row r="2462" spans="1:9" x14ac:dyDescent="0.25">
      <c r="A2462" t="s">
        <v>2210</v>
      </c>
      <c r="B2462" t="s">
        <v>13</v>
      </c>
      <c r="C2462">
        <v>3.4</v>
      </c>
      <c r="D2462">
        <v>3.8</v>
      </c>
      <c r="E2462" t="s">
        <v>17</v>
      </c>
      <c r="F2462">
        <v>16.18</v>
      </c>
      <c r="G2462">
        <v>17.11</v>
      </c>
      <c r="H2462" t="s">
        <v>17</v>
      </c>
      <c r="I2462" t="str">
        <f>"062409003625"</f>
        <v>062409003625</v>
      </c>
    </row>
    <row r="2463" spans="1:9" x14ac:dyDescent="0.25">
      <c r="A2463" t="s">
        <v>2211</v>
      </c>
      <c r="B2463" t="s">
        <v>13</v>
      </c>
      <c r="C2463">
        <v>14.72</v>
      </c>
      <c r="D2463">
        <v>17.63</v>
      </c>
      <c r="E2463" t="s">
        <v>17</v>
      </c>
      <c r="F2463">
        <v>37.840000000000003</v>
      </c>
      <c r="G2463">
        <v>29.27</v>
      </c>
      <c r="H2463" t="s">
        <v>17</v>
      </c>
      <c r="I2463" t="str">
        <f>"063801010392"</f>
        <v>063801010392</v>
      </c>
    </row>
    <row r="2464" spans="1:9" x14ac:dyDescent="0.25">
      <c r="A2464" t="s">
        <v>2211</v>
      </c>
      <c r="B2464" t="s">
        <v>13</v>
      </c>
      <c r="C2464">
        <v>24.4</v>
      </c>
      <c r="D2464">
        <v>24.5</v>
      </c>
      <c r="E2464" t="s">
        <v>17</v>
      </c>
      <c r="F2464">
        <v>23.4</v>
      </c>
      <c r="G2464">
        <v>23.47</v>
      </c>
      <c r="H2464" t="s">
        <v>17</v>
      </c>
      <c r="I2464" t="str">
        <f>"062142011299"</f>
        <v>062142011299</v>
      </c>
    </row>
    <row r="2465" spans="1:9" x14ac:dyDescent="0.25">
      <c r="A2465" t="s">
        <v>2211</v>
      </c>
      <c r="B2465" t="s">
        <v>13</v>
      </c>
      <c r="C2465">
        <v>18</v>
      </c>
      <c r="D2465">
        <v>17.010000000000002</v>
      </c>
      <c r="E2465" t="s">
        <v>17</v>
      </c>
      <c r="F2465">
        <v>24.78</v>
      </c>
      <c r="G2465">
        <v>24.81</v>
      </c>
      <c r="H2465" t="s">
        <v>17</v>
      </c>
      <c r="I2465" t="str">
        <f>"062271012688"</f>
        <v>062271012688</v>
      </c>
    </row>
    <row r="2466" spans="1:9" x14ac:dyDescent="0.25">
      <c r="A2466" t="s">
        <v>2212</v>
      </c>
      <c r="B2466" t="s">
        <v>13</v>
      </c>
      <c r="C2466">
        <v>24</v>
      </c>
      <c r="D2466">
        <v>25</v>
      </c>
      <c r="E2466" t="s">
        <v>17</v>
      </c>
      <c r="F2466">
        <v>25.13</v>
      </c>
      <c r="G2466">
        <v>24.52</v>
      </c>
      <c r="H2466" t="s">
        <v>17</v>
      </c>
      <c r="I2466" t="str">
        <f>"062271002962"</f>
        <v>062271002962</v>
      </c>
    </row>
    <row r="2467" spans="1:9" x14ac:dyDescent="0.25">
      <c r="A2467" t="s">
        <v>2213</v>
      </c>
      <c r="B2467" t="s">
        <v>13</v>
      </c>
      <c r="C2467">
        <v>25.33</v>
      </c>
      <c r="D2467">
        <v>26</v>
      </c>
      <c r="E2467" t="s">
        <v>17</v>
      </c>
      <c r="F2467">
        <v>24.04</v>
      </c>
      <c r="G2467">
        <v>23.77</v>
      </c>
      <c r="H2467" t="s">
        <v>17</v>
      </c>
      <c r="I2467" t="str">
        <f>"062271002963"</f>
        <v>062271002963</v>
      </c>
    </row>
    <row r="2468" spans="1:9" x14ac:dyDescent="0.25">
      <c r="A2468" t="s">
        <v>2214</v>
      </c>
      <c r="B2468" t="s">
        <v>13</v>
      </c>
      <c r="C2468">
        <v>89.35</v>
      </c>
      <c r="D2468">
        <v>90</v>
      </c>
      <c r="E2468" t="s">
        <v>17</v>
      </c>
      <c r="F2468">
        <v>25.36</v>
      </c>
      <c r="G2468">
        <v>26.5</v>
      </c>
      <c r="H2468" t="s">
        <v>17</v>
      </c>
      <c r="I2468" t="str">
        <f>"060962000978"</f>
        <v>060962000978</v>
      </c>
    </row>
    <row r="2469" spans="1:9" x14ac:dyDescent="0.25">
      <c r="A2469" t="s">
        <v>2215</v>
      </c>
      <c r="B2469" t="s">
        <v>13</v>
      </c>
      <c r="C2469">
        <v>86.2</v>
      </c>
      <c r="D2469">
        <v>88.31</v>
      </c>
      <c r="E2469" t="s">
        <v>17</v>
      </c>
      <c r="F2469">
        <v>23.19</v>
      </c>
      <c r="G2469">
        <v>24.79</v>
      </c>
      <c r="H2469" t="s">
        <v>17</v>
      </c>
      <c r="I2469" t="str">
        <f>"060846000838"</f>
        <v>060846000838</v>
      </c>
    </row>
    <row r="2470" spans="1:9" x14ac:dyDescent="0.25">
      <c r="A2470" t="s">
        <v>2216</v>
      </c>
      <c r="B2470" t="s">
        <v>13</v>
      </c>
      <c r="C2470">
        <v>24</v>
      </c>
      <c r="D2470">
        <v>26</v>
      </c>
      <c r="E2470" t="s">
        <v>17</v>
      </c>
      <c r="F2470">
        <v>26.58</v>
      </c>
      <c r="G2470">
        <v>25.96</v>
      </c>
      <c r="H2470" t="s">
        <v>17</v>
      </c>
      <c r="I2470" t="str">
        <f>"062994004665"</f>
        <v>062994004665</v>
      </c>
    </row>
    <row r="2471" spans="1:9" x14ac:dyDescent="0.25">
      <c r="A2471" t="s">
        <v>2217</v>
      </c>
      <c r="B2471" t="s">
        <v>13</v>
      </c>
      <c r="C2471">
        <v>36.1</v>
      </c>
      <c r="D2471">
        <v>35</v>
      </c>
      <c r="E2471" t="s">
        <v>17</v>
      </c>
      <c r="F2471">
        <v>26.2</v>
      </c>
      <c r="G2471">
        <v>26.43</v>
      </c>
      <c r="H2471" t="s">
        <v>17</v>
      </c>
      <c r="I2471" t="str">
        <f>"063543011797"</f>
        <v>063543011797</v>
      </c>
    </row>
    <row r="2472" spans="1:9" x14ac:dyDescent="0.25">
      <c r="A2472" t="s">
        <v>2218</v>
      </c>
      <c r="B2472" t="s">
        <v>13</v>
      </c>
      <c r="C2472">
        <v>24.68</v>
      </c>
      <c r="D2472">
        <v>26.4</v>
      </c>
      <c r="E2472" t="s">
        <v>17</v>
      </c>
      <c r="F2472">
        <v>30.88</v>
      </c>
      <c r="G2472">
        <v>29.2</v>
      </c>
      <c r="H2472" t="s">
        <v>17</v>
      </c>
      <c r="I2472" t="str">
        <f>"060744008537"</f>
        <v>060744008537</v>
      </c>
    </row>
    <row r="2473" spans="1:9" x14ac:dyDescent="0.25">
      <c r="A2473" t="s">
        <v>2219</v>
      </c>
      <c r="B2473" t="s">
        <v>13</v>
      </c>
      <c r="C2473">
        <v>41.8</v>
      </c>
      <c r="D2473">
        <v>43.9</v>
      </c>
      <c r="E2473" t="s">
        <v>17</v>
      </c>
      <c r="F2473">
        <v>28.71</v>
      </c>
      <c r="G2473">
        <v>27.29</v>
      </c>
      <c r="H2473" t="s">
        <v>17</v>
      </c>
      <c r="I2473" t="str">
        <f>"060744008538"</f>
        <v>060744008538</v>
      </c>
    </row>
    <row r="2474" spans="1:9" x14ac:dyDescent="0.25">
      <c r="A2474" t="s">
        <v>2220</v>
      </c>
      <c r="B2474" t="s">
        <v>13</v>
      </c>
      <c r="C2474">
        <v>24</v>
      </c>
      <c r="D2474">
        <v>24.5</v>
      </c>
      <c r="E2474" t="s">
        <v>17</v>
      </c>
      <c r="F2474">
        <v>23.04</v>
      </c>
      <c r="G2474">
        <v>22.53</v>
      </c>
      <c r="H2474" t="s">
        <v>17</v>
      </c>
      <c r="I2474" t="str">
        <f>"060411007263"</f>
        <v>060411007263</v>
      </c>
    </row>
    <row r="2475" spans="1:9" x14ac:dyDescent="0.25">
      <c r="A2475" t="s">
        <v>2221</v>
      </c>
      <c r="B2475" t="s">
        <v>13</v>
      </c>
      <c r="C2475" t="s">
        <v>17</v>
      </c>
      <c r="D2475" t="s">
        <v>17</v>
      </c>
      <c r="E2475" t="s">
        <v>17</v>
      </c>
      <c r="F2475" t="s">
        <v>17</v>
      </c>
      <c r="G2475" t="s">
        <v>17</v>
      </c>
      <c r="H2475" t="s">
        <v>17</v>
      </c>
      <c r="I2475" t="str">
        <f>"069113711828"</f>
        <v>069113711828</v>
      </c>
    </row>
    <row r="2476" spans="1:9" x14ac:dyDescent="0.25">
      <c r="A2476" t="s">
        <v>2222</v>
      </c>
      <c r="B2476" t="s">
        <v>13</v>
      </c>
      <c r="C2476">
        <v>21</v>
      </c>
      <c r="D2476">
        <v>21</v>
      </c>
      <c r="E2476" t="s">
        <v>17</v>
      </c>
      <c r="F2476">
        <v>25.29</v>
      </c>
      <c r="G2476">
        <v>24.1</v>
      </c>
      <c r="H2476" t="s">
        <v>17</v>
      </c>
      <c r="I2476" t="str">
        <f>"060813000786"</f>
        <v>060813000786</v>
      </c>
    </row>
    <row r="2477" spans="1:9" x14ac:dyDescent="0.25">
      <c r="A2477" t="s">
        <v>2223</v>
      </c>
      <c r="B2477" t="s">
        <v>13</v>
      </c>
      <c r="C2477">
        <v>3.5</v>
      </c>
      <c r="D2477">
        <v>3.5</v>
      </c>
      <c r="E2477" t="s">
        <v>17</v>
      </c>
      <c r="F2477">
        <v>8.86</v>
      </c>
      <c r="G2477">
        <v>6.29</v>
      </c>
      <c r="H2477" t="s">
        <v>17</v>
      </c>
      <c r="I2477" t="str">
        <f>"069113710340"</f>
        <v>069113710340</v>
      </c>
    </row>
    <row r="2478" spans="1:9" x14ac:dyDescent="0.25">
      <c r="A2478" t="s">
        <v>2224</v>
      </c>
      <c r="B2478" t="s">
        <v>13</v>
      </c>
      <c r="C2478">
        <v>27.9</v>
      </c>
      <c r="D2478">
        <v>29.8</v>
      </c>
      <c r="E2478" t="s">
        <v>17</v>
      </c>
      <c r="F2478">
        <v>26.16</v>
      </c>
      <c r="G2478">
        <v>23.62</v>
      </c>
      <c r="H2478" t="s">
        <v>17</v>
      </c>
      <c r="I2478" t="str">
        <f>"062169008876"</f>
        <v>062169008876</v>
      </c>
    </row>
    <row r="2479" spans="1:9" x14ac:dyDescent="0.25">
      <c r="A2479" t="s">
        <v>2225</v>
      </c>
      <c r="B2479" t="s">
        <v>13</v>
      </c>
      <c r="C2479">
        <v>21</v>
      </c>
      <c r="D2479">
        <v>23</v>
      </c>
      <c r="E2479" t="s">
        <v>17</v>
      </c>
      <c r="F2479">
        <v>23.43</v>
      </c>
      <c r="G2479">
        <v>24.48</v>
      </c>
      <c r="H2479" t="s">
        <v>17</v>
      </c>
      <c r="I2479" t="str">
        <f>"062460007539"</f>
        <v>062460007539</v>
      </c>
    </row>
    <row r="2480" spans="1:9" x14ac:dyDescent="0.25">
      <c r="A2480" t="s">
        <v>2226</v>
      </c>
      <c r="B2480" t="s">
        <v>13</v>
      </c>
      <c r="C2480">
        <v>23</v>
      </c>
      <c r="D2480">
        <v>21.7</v>
      </c>
      <c r="E2480" t="s">
        <v>17</v>
      </c>
      <c r="F2480">
        <v>21.7</v>
      </c>
      <c r="G2480">
        <v>21.57</v>
      </c>
      <c r="H2480" t="s">
        <v>17</v>
      </c>
      <c r="I2480" t="str">
        <f>"060177000051"</f>
        <v>060177000051</v>
      </c>
    </row>
    <row r="2481" spans="1:9" x14ac:dyDescent="0.25">
      <c r="A2481" t="s">
        <v>2227</v>
      </c>
      <c r="B2481" t="s">
        <v>13</v>
      </c>
      <c r="C2481">
        <v>29</v>
      </c>
      <c r="D2481">
        <v>35.75</v>
      </c>
      <c r="E2481" t="s">
        <v>17</v>
      </c>
      <c r="F2481">
        <v>25.34</v>
      </c>
      <c r="G2481">
        <v>20.14</v>
      </c>
      <c r="H2481" t="s">
        <v>17</v>
      </c>
      <c r="I2481" t="str">
        <f>"062073007505"</f>
        <v>062073007505</v>
      </c>
    </row>
    <row r="2482" spans="1:9" x14ac:dyDescent="0.25">
      <c r="A2482" t="s">
        <v>2228</v>
      </c>
      <c r="B2482" t="s">
        <v>13</v>
      </c>
      <c r="C2482">
        <v>24</v>
      </c>
      <c r="D2482">
        <v>23</v>
      </c>
      <c r="E2482" t="s">
        <v>17</v>
      </c>
      <c r="F2482">
        <v>27.38</v>
      </c>
      <c r="G2482">
        <v>29.26</v>
      </c>
      <c r="H2482" t="s">
        <v>17</v>
      </c>
      <c r="I2482" t="str">
        <f>"060171007613"</f>
        <v>060171007613</v>
      </c>
    </row>
    <row r="2483" spans="1:9" x14ac:dyDescent="0.25">
      <c r="A2483" t="s">
        <v>2229</v>
      </c>
      <c r="B2483" t="s">
        <v>13</v>
      </c>
      <c r="C2483">
        <v>22</v>
      </c>
      <c r="D2483">
        <v>24.5</v>
      </c>
      <c r="E2483" t="s">
        <v>17</v>
      </c>
      <c r="F2483">
        <v>23.5</v>
      </c>
      <c r="G2483">
        <v>23.18</v>
      </c>
      <c r="H2483" t="s">
        <v>17</v>
      </c>
      <c r="I2483" t="str">
        <f>"060002702452"</f>
        <v>060002702452</v>
      </c>
    </row>
    <row r="2484" spans="1:9" x14ac:dyDescent="0.25">
      <c r="A2484" t="s">
        <v>2230</v>
      </c>
      <c r="B2484" t="s">
        <v>13</v>
      </c>
      <c r="C2484">
        <v>26.72</v>
      </c>
      <c r="D2484">
        <v>27.08</v>
      </c>
      <c r="E2484" t="s">
        <v>17</v>
      </c>
      <c r="F2484">
        <v>18.34</v>
      </c>
      <c r="G2484">
        <v>18.760000000000002</v>
      </c>
      <c r="H2484" t="s">
        <v>17</v>
      </c>
      <c r="I2484" t="str">
        <f>"060231000113"</f>
        <v>060231000113</v>
      </c>
    </row>
    <row r="2485" spans="1:9" x14ac:dyDescent="0.25">
      <c r="A2485" t="s">
        <v>2231</v>
      </c>
      <c r="B2485" t="s">
        <v>13</v>
      </c>
      <c r="C2485">
        <v>17</v>
      </c>
      <c r="D2485">
        <v>16</v>
      </c>
      <c r="E2485" t="s">
        <v>17</v>
      </c>
      <c r="F2485">
        <v>23.71</v>
      </c>
      <c r="G2485">
        <v>23.81</v>
      </c>
      <c r="H2485" t="s">
        <v>17</v>
      </c>
      <c r="I2485" t="str">
        <f>"062574003850"</f>
        <v>062574003850</v>
      </c>
    </row>
    <row r="2486" spans="1:9" x14ac:dyDescent="0.25">
      <c r="A2486" t="s">
        <v>2232</v>
      </c>
      <c r="B2486" t="s">
        <v>13</v>
      </c>
      <c r="C2486">
        <v>22.84</v>
      </c>
      <c r="D2486">
        <v>22.85</v>
      </c>
      <c r="E2486" t="s">
        <v>17</v>
      </c>
      <c r="F2486">
        <v>32.22</v>
      </c>
      <c r="G2486">
        <v>29.15</v>
      </c>
      <c r="H2486" t="s">
        <v>17</v>
      </c>
      <c r="I2486" t="str">
        <f>"061488001853"</f>
        <v>061488001853</v>
      </c>
    </row>
    <row r="2487" spans="1:9" x14ac:dyDescent="0.25">
      <c r="A2487" t="s">
        <v>2233</v>
      </c>
      <c r="B2487" t="s">
        <v>13</v>
      </c>
      <c r="C2487">
        <v>20</v>
      </c>
      <c r="D2487">
        <v>19</v>
      </c>
      <c r="E2487" t="s">
        <v>17</v>
      </c>
      <c r="F2487">
        <v>28.4</v>
      </c>
      <c r="G2487">
        <v>29.37</v>
      </c>
      <c r="H2487" t="s">
        <v>17</v>
      </c>
      <c r="I2487" t="str">
        <f>"062664004017"</f>
        <v>062664004017</v>
      </c>
    </row>
    <row r="2488" spans="1:9" x14ac:dyDescent="0.25">
      <c r="A2488" t="s">
        <v>2234</v>
      </c>
      <c r="B2488" t="s">
        <v>13</v>
      </c>
      <c r="C2488">
        <v>32.58</v>
      </c>
      <c r="D2488">
        <v>36.07</v>
      </c>
      <c r="E2488" t="s">
        <v>17</v>
      </c>
      <c r="F2488">
        <v>24.89</v>
      </c>
      <c r="G2488">
        <v>22.12</v>
      </c>
      <c r="H2488" t="s">
        <v>17</v>
      </c>
      <c r="I2488" t="str">
        <f>"060002009283"</f>
        <v>060002009283</v>
      </c>
    </row>
    <row r="2489" spans="1:9" x14ac:dyDescent="0.25">
      <c r="A2489" t="s">
        <v>2235</v>
      </c>
      <c r="B2489" t="s">
        <v>13</v>
      </c>
      <c r="C2489">
        <v>31</v>
      </c>
      <c r="D2489">
        <v>29</v>
      </c>
      <c r="E2489" t="s">
        <v>17</v>
      </c>
      <c r="F2489">
        <v>25.23</v>
      </c>
      <c r="G2489">
        <v>25.07</v>
      </c>
      <c r="H2489" t="s">
        <v>17</v>
      </c>
      <c r="I2489" t="str">
        <f>"062460003688"</f>
        <v>062460003688</v>
      </c>
    </row>
    <row r="2490" spans="1:9" x14ac:dyDescent="0.25">
      <c r="A2490" t="s">
        <v>2236</v>
      </c>
      <c r="B2490" t="s">
        <v>13</v>
      </c>
      <c r="C2490">
        <v>3</v>
      </c>
      <c r="D2490">
        <v>3</v>
      </c>
      <c r="E2490" t="s">
        <v>17</v>
      </c>
      <c r="F2490">
        <v>19</v>
      </c>
      <c r="G2490">
        <v>23</v>
      </c>
      <c r="H2490" t="s">
        <v>17</v>
      </c>
      <c r="I2490" t="str">
        <f>"063877006512"</f>
        <v>063877006512</v>
      </c>
    </row>
    <row r="2491" spans="1:9" x14ac:dyDescent="0.25">
      <c r="A2491" t="s">
        <v>2237</v>
      </c>
      <c r="B2491" t="s">
        <v>13</v>
      </c>
      <c r="C2491">
        <v>23</v>
      </c>
      <c r="D2491">
        <v>24.7</v>
      </c>
      <c r="E2491" t="s">
        <v>17</v>
      </c>
      <c r="F2491">
        <v>28.52</v>
      </c>
      <c r="G2491">
        <v>33.97</v>
      </c>
      <c r="H2491" t="s">
        <v>17</v>
      </c>
      <c r="I2491" t="str">
        <f>"060690000636"</f>
        <v>060690000636</v>
      </c>
    </row>
    <row r="2492" spans="1:9" x14ac:dyDescent="0.25">
      <c r="A2492" t="s">
        <v>2238</v>
      </c>
      <c r="B2492" t="s">
        <v>13</v>
      </c>
      <c r="C2492">
        <v>38</v>
      </c>
      <c r="D2492">
        <v>40</v>
      </c>
      <c r="E2492" t="s">
        <v>17</v>
      </c>
      <c r="F2492">
        <v>29.13</v>
      </c>
      <c r="G2492">
        <v>27.93</v>
      </c>
      <c r="H2492" t="s">
        <v>17</v>
      </c>
      <c r="I2492" t="str">
        <f>"062250012153"</f>
        <v>062250012153</v>
      </c>
    </row>
    <row r="2493" spans="1:9" x14ac:dyDescent="0.25">
      <c r="A2493" t="s">
        <v>2239</v>
      </c>
      <c r="B2493" t="s">
        <v>13</v>
      </c>
      <c r="C2493">
        <v>5</v>
      </c>
      <c r="D2493" t="s">
        <v>17</v>
      </c>
      <c r="E2493" t="s">
        <v>17</v>
      </c>
      <c r="F2493">
        <v>22.2</v>
      </c>
      <c r="G2493" t="s">
        <v>17</v>
      </c>
      <c r="H2493" t="s">
        <v>17</v>
      </c>
      <c r="I2493" t="str">
        <f>"060133312363"</f>
        <v>060133312363</v>
      </c>
    </row>
    <row r="2494" spans="1:9" x14ac:dyDescent="0.25">
      <c r="A2494" t="s">
        <v>2240</v>
      </c>
      <c r="B2494" t="s">
        <v>13</v>
      </c>
      <c r="C2494">
        <v>24.67</v>
      </c>
      <c r="D2494">
        <v>22.58</v>
      </c>
      <c r="E2494" t="s">
        <v>17</v>
      </c>
      <c r="F2494">
        <v>26.79</v>
      </c>
      <c r="G2494">
        <v>28.12</v>
      </c>
      <c r="H2494" t="s">
        <v>17</v>
      </c>
      <c r="I2494" t="str">
        <f>"061392011097"</f>
        <v>061392011097</v>
      </c>
    </row>
    <row r="2495" spans="1:9" x14ac:dyDescent="0.25">
      <c r="A2495" t="s">
        <v>2241</v>
      </c>
      <c r="B2495" t="s">
        <v>13</v>
      </c>
      <c r="C2495">
        <v>42.51</v>
      </c>
      <c r="D2495">
        <v>38</v>
      </c>
      <c r="E2495" t="s">
        <v>17</v>
      </c>
      <c r="F2495">
        <v>28.72</v>
      </c>
      <c r="G2495">
        <v>28.45</v>
      </c>
      <c r="H2495" t="s">
        <v>17</v>
      </c>
      <c r="I2495" t="str">
        <f>"060002912243"</f>
        <v>060002912243</v>
      </c>
    </row>
    <row r="2496" spans="1:9" x14ac:dyDescent="0.25">
      <c r="A2496" t="s">
        <v>2242</v>
      </c>
      <c r="B2496" t="s">
        <v>13</v>
      </c>
      <c r="C2496">
        <v>4.5</v>
      </c>
      <c r="D2496">
        <v>4.01</v>
      </c>
      <c r="E2496" t="s">
        <v>17</v>
      </c>
      <c r="F2496">
        <v>19.11</v>
      </c>
      <c r="G2496">
        <v>16.21</v>
      </c>
      <c r="H2496" t="s">
        <v>17</v>
      </c>
      <c r="I2496" t="str">
        <f>"062271012482"</f>
        <v>062271012482</v>
      </c>
    </row>
    <row r="2497" spans="1:9" x14ac:dyDescent="0.25">
      <c r="A2497" t="s">
        <v>2243</v>
      </c>
      <c r="B2497" t="s">
        <v>13</v>
      </c>
      <c r="C2497">
        <v>12</v>
      </c>
      <c r="D2497">
        <v>11</v>
      </c>
      <c r="E2497" t="s">
        <v>17</v>
      </c>
      <c r="F2497">
        <v>25.75</v>
      </c>
      <c r="G2497">
        <v>27.55</v>
      </c>
      <c r="H2497" t="s">
        <v>17</v>
      </c>
      <c r="I2497" t="str">
        <f>"062271002964"</f>
        <v>062271002964</v>
      </c>
    </row>
    <row r="2498" spans="1:9" x14ac:dyDescent="0.25">
      <c r="A2498" t="s">
        <v>2244</v>
      </c>
      <c r="B2498" t="s">
        <v>13</v>
      </c>
      <c r="C2498">
        <v>8</v>
      </c>
      <c r="D2498">
        <v>4</v>
      </c>
      <c r="E2498" t="s">
        <v>14</v>
      </c>
      <c r="F2498">
        <v>29.75</v>
      </c>
      <c r="G2498">
        <v>30</v>
      </c>
      <c r="H2498" t="s">
        <v>14</v>
      </c>
      <c r="I2498" t="str">
        <f>"062958012870"</f>
        <v>062958012870</v>
      </c>
    </row>
    <row r="2499" spans="1:9" x14ac:dyDescent="0.25">
      <c r="A2499" t="s">
        <v>2245</v>
      </c>
      <c r="B2499" t="s">
        <v>13</v>
      </c>
      <c r="C2499">
        <v>16.29</v>
      </c>
      <c r="D2499">
        <v>18.239999999999998</v>
      </c>
      <c r="E2499" t="s">
        <v>17</v>
      </c>
      <c r="F2499">
        <v>20.99</v>
      </c>
      <c r="G2499">
        <v>20.010000000000002</v>
      </c>
      <c r="H2499" t="s">
        <v>17</v>
      </c>
      <c r="I2499" t="str">
        <f>"063099004797"</f>
        <v>063099004797</v>
      </c>
    </row>
    <row r="2500" spans="1:9" x14ac:dyDescent="0.25">
      <c r="A2500" t="s">
        <v>2246</v>
      </c>
      <c r="B2500" t="s">
        <v>13</v>
      </c>
      <c r="C2500" t="s">
        <v>14</v>
      </c>
      <c r="D2500" t="s">
        <v>17</v>
      </c>
      <c r="E2500" t="s">
        <v>17</v>
      </c>
      <c r="F2500" t="s">
        <v>17</v>
      </c>
      <c r="G2500" t="s">
        <v>17</v>
      </c>
      <c r="H2500" t="s">
        <v>17</v>
      </c>
      <c r="I2500" t="str">
        <f>"060003312608"</f>
        <v>060003312608</v>
      </c>
    </row>
    <row r="2501" spans="1:9" x14ac:dyDescent="0.25">
      <c r="A2501" t="s">
        <v>2247</v>
      </c>
      <c r="B2501" t="s">
        <v>13</v>
      </c>
      <c r="C2501" t="s">
        <v>17</v>
      </c>
      <c r="D2501" t="s">
        <v>14</v>
      </c>
      <c r="E2501" t="s">
        <v>14</v>
      </c>
      <c r="F2501" t="s">
        <v>17</v>
      </c>
      <c r="G2501" t="s">
        <v>14</v>
      </c>
      <c r="H2501" t="s">
        <v>14</v>
      </c>
      <c r="I2501" t="str">
        <f>"060003313609"</f>
        <v>060003313609</v>
      </c>
    </row>
    <row r="2502" spans="1:9" x14ac:dyDescent="0.25">
      <c r="A2502" t="s">
        <v>2248</v>
      </c>
      <c r="B2502" t="s">
        <v>13</v>
      </c>
      <c r="C2502">
        <v>20</v>
      </c>
      <c r="D2502">
        <v>20</v>
      </c>
      <c r="E2502" t="s">
        <v>17</v>
      </c>
      <c r="F2502">
        <v>27.45</v>
      </c>
      <c r="G2502">
        <v>27.9</v>
      </c>
      <c r="H2502" t="s">
        <v>17</v>
      </c>
      <c r="I2502" t="str">
        <f>"060003301256"</f>
        <v>060003301256</v>
      </c>
    </row>
    <row r="2503" spans="1:9" x14ac:dyDescent="0.25">
      <c r="A2503" t="s">
        <v>2249</v>
      </c>
      <c r="B2503" t="s">
        <v>13</v>
      </c>
      <c r="C2503">
        <v>23.7</v>
      </c>
      <c r="D2503">
        <v>22</v>
      </c>
      <c r="E2503" t="s">
        <v>17</v>
      </c>
      <c r="F2503">
        <v>26.71</v>
      </c>
      <c r="G2503">
        <v>30.5</v>
      </c>
      <c r="H2503" t="s">
        <v>17</v>
      </c>
      <c r="I2503" t="str">
        <f>"060003301258"</f>
        <v>060003301258</v>
      </c>
    </row>
    <row r="2504" spans="1:9" x14ac:dyDescent="0.25">
      <c r="A2504" t="s">
        <v>2250</v>
      </c>
      <c r="B2504" t="s">
        <v>13</v>
      </c>
      <c r="C2504" t="s">
        <v>14</v>
      </c>
      <c r="D2504" t="s">
        <v>14</v>
      </c>
      <c r="E2504" t="s">
        <v>17</v>
      </c>
      <c r="F2504" t="s">
        <v>14</v>
      </c>
      <c r="G2504" t="s">
        <v>14</v>
      </c>
      <c r="H2504" t="s">
        <v>17</v>
      </c>
      <c r="I2504" t="str">
        <f>"063537008983"</f>
        <v>063537008983</v>
      </c>
    </row>
    <row r="2505" spans="1:9" x14ac:dyDescent="0.25">
      <c r="A2505" t="s">
        <v>2250</v>
      </c>
      <c r="B2505" t="s">
        <v>13</v>
      </c>
      <c r="C2505" t="s">
        <v>17</v>
      </c>
      <c r="D2505" t="s">
        <v>17</v>
      </c>
      <c r="E2505" t="s">
        <v>14</v>
      </c>
      <c r="F2505" t="s">
        <v>17</v>
      </c>
      <c r="G2505" t="s">
        <v>17</v>
      </c>
      <c r="H2505" t="s">
        <v>14</v>
      </c>
      <c r="I2505" t="str">
        <f>"060141408983"</f>
        <v>060141408983</v>
      </c>
    </row>
    <row r="2506" spans="1:9" x14ac:dyDescent="0.25">
      <c r="A2506" t="s">
        <v>2251</v>
      </c>
      <c r="B2506" t="s">
        <v>13</v>
      </c>
      <c r="C2506">
        <v>88</v>
      </c>
      <c r="D2506">
        <v>91.97</v>
      </c>
      <c r="E2506" t="s">
        <v>14</v>
      </c>
      <c r="F2506">
        <v>24.89</v>
      </c>
      <c r="G2506">
        <v>24.73</v>
      </c>
      <c r="H2506" t="s">
        <v>14</v>
      </c>
      <c r="I2506" t="str">
        <f>"060141406017"</f>
        <v>060141406017</v>
      </c>
    </row>
    <row r="2507" spans="1:9" x14ac:dyDescent="0.25">
      <c r="A2507" t="s">
        <v>2251</v>
      </c>
      <c r="B2507" t="s">
        <v>13</v>
      </c>
      <c r="C2507" t="s">
        <v>14</v>
      </c>
      <c r="D2507" t="s">
        <v>14</v>
      </c>
      <c r="E2507" t="s">
        <v>17</v>
      </c>
      <c r="F2507" t="s">
        <v>14</v>
      </c>
      <c r="G2507" t="s">
        <v>14</v>
      </c>
      <c r="H2507" t="s">
        <v>17</v>
      </c>
      <c r="I2507" t="str">
        <f>"063537006017"</f>
        <v>063537006017</v>
      </c>
    </row>
    <row r="2508" spans="1:9" x14ac:dyDescent="0.25">
      <c r="A2508" t="s">
        <v>2252</v>
      </c>
      <c r="B2508" t="s">
        <v>13</v>
      </c>
      <c r="C2508">
        <v>54.65</v>
      </c>
      <c r="D2508">
        <v>55</v>
      </c>
      <c r="E2508" t="s">
        <v>17</v>
      </c>
      <c r="F2508">
        <v>26.31</v>
      </c>
      <c r="G2508">
        <v>25.31</v>
      </c>
      <c r="H2508" t="s">
        <v>17</v>
      </c>
      <c r="I2508" t="str">
        <f>"061146001265"</f>
        <v>061146001265</v>
      </c>
    </row>
    <row r="2509" spans="1:9" x14ac:dyDescent="0.25">
      <c r="A2509" t="s">
        <v>2253</v>
      </c>
      <c r="B2509" t="s">
        <v>13</v>
      </c>
      <c r="C2509">
        <v>90.5</v>
      </c>
      <c r="D2509">
        <v>82</v>
      </c>
      <c r="E2509" t="s">
        <v>17</v>
      </c>
      <c r="F2509">
        <v>24.45</v>
      </c>
      <c r="G2509">
        <v>24.95</v>
      </c>
      <c r="H2509" t="s">
        <v>17</v>
      </c>
      <c r="I2509" t="str">
        <f>"063513011990"</f>
        <v>063513011990</v>
      </c>
    </row>
    <row r="2510" spans="1:9" x14ac:dyDescent="0.25">
      <c r="A2510" t="s">
        <v>2254</v>
      </c>
      <c r="B2510" t="s">
        <v>13</v>
      </c>
      <c r="C2510">
        <v>2</v>
      </c>
      <c r="D2510">
        <v>1</v>
      </c>
      <c r="E2510" t="s">
        <v>17</v>
      </c>
      <c r="F2510">
        <v>3.5</v>
      </c>
      <c r="G2510">
        <v>6</v>
      </c>
      <c r="H2510" t="s">
        <v>17</v>
      </c>
      <c r="I2510" t="str">
        <f>"062523009403"</f>
        <v>062523009403</v>
      </c>
    </row>
    <row r="2511" spans="1:9" x14ac:dyDescent="0.25">
      <c r="A2511" t="s">
        <v>2255</v>
      </c>
      <c r="B2511" t="s">
        <v>13</v>
      </c>
      <c r="C2511">
        <v>8.4700000000000006</v>
      </c>
      <c r="D2511">
        <v>7.24</v>
      </c>
      <c r="E2511" t="s">
        <v>17</v>
      </c>
      <c r="F2511">
        <v>19.48</v>
      </c>
      <c r="G2511">
        <v>18.23</v>
      </c>
      <c r="H2511" t="s">
        <v>17</v>
      </c>
      <c r="I2511" t="str">
        <f>"061143001259"</f>
        <v>061143001259</v>
      </c>
    </row>
    <row r="2512" spans="1:9" x14ac:dyDescent="0.25">
      <c r="A2512" t="s">
        <v>2256</v>
      </c>
      <c r="B2512" t="s">
        <v>13</v>
      </c>
      <c r="C2512">
        <v>26.93</v>
      </c>
      <c r="D2512">
        <v>24.29</v>
      </c>
      <c r="E2512" t="s">
        <v>17</v>
      </c>
      <c r="F2512">
        <v>29.97</v>
      </c>
      <c r="G2512">
        <v>31.29</v>
      </c>
      <c r="H2512" t="s">
        <v>17</v>
      </c>
      <c r="I2512" t="str">
        <f>"060639012414"</f>
        <v>060639012414</v>
      </c>
    </row>
    <row r="2513" spans="1:9" x14ac:dyDescent="0.25">
      <c r="A2513" t="s">
        <v>2257</v>
      </c>
      <c r="B2513" t="s">
        <v>13</v>
      </c>
      <c r="C2513">
        <v>41.67</v>
      </c>
      <c r="D2513">
        <v>44</v>
      </c>
      <c r="E2513" t="s">
        <v>17</v>
      </c>
      <c r="F2513">
        <v>30.53</v>
      </c>
      <c r="G2513">
        <v>29.25</v>
      </c>
      <c r="H2513" t="s">
        <v>17</v>
      </c>
      <c r="I2513" t="str">
        <f>"063531007862"</f>
        <v>063531007862</v>
      </c>
    </row>
    <row r="2514" spans="1:9" x14ac:dyDescent="0.25">
      <c r="A2514" t="s">
        <v>2258</v>
      </c>
      <c r="B2514" t="s">
        <v>13</v>
      </c>
      <c r="C2514">
        <v>39.54</v>
      </c>
      <c r="D2514">
        <v>38.57</v>
      </c>
      <c r="E2514" t="s">
        <v>17</v>
      </c>
      <c r="F2514">
        <v>21.88</v>
      </c>
      <c r="G2514">
        <v>22.22</v>
      </c>
      <c r="H2514" t="s">
        <v>17</v>
      </c>
      <c r="I2514" t="str">
        <f>"064308007901"</f>
        <v>064308007901</v>
      </c>
    </row>
    <row r="2515" spans="1:9" x14ac:dyDescent="0.25">
      <c r="A2515" t="s">
        <v>2259</v>
      </c>
      <c r="B2515" t="s">
        <v>13</v>
      </c>
      <c r="C2515">
        <v>22.4</v>
      </c>
      <c r="D2515">
        <v>24.75</v>
      </c>
      <c r="E2515" t="s">
        <v>17</v>
      </c>
      <c r="F2515">
        <v>25.71</v>
      </c>
      <c r="G2515">
        <v>24</v>
      </c>
      <c r="H2515" t="s">
        <v>17</v>
      </c>
      <c r="I2515" t="str">
        <f>"061314009366"</f>
        <v>061314009366</v>
      </c>
    </row>
    <row r="2516" spans="1:9" x14ac:dyDescent="0.25">
      <c r="A2516" t="s">
        <v>2260</v>
      </c>
      <c r="B2516" t="s">
        <v>13</v>
      </c>
      <c r="C2516">
        <v>6</v>
      </c>
      <c r="D2516">
        <v>5.3</v>
      </c>
      <c r="E2516" t="s">
        <v>14</v>
      </c>
      <c r="F2516">
        <v>16.329999999999998</v>
      </c>
      <c r="G2516">
        <v>15.66</v>
      </c>
      <c r="H2516" t="s">
        <v>14</v>
      </c>
      <c r="I2516" t="str">
        <f>"061336012909"</f>
        <v>061336012909</v>
      </c>
    </row>
    <row r="2517" spans="1:9" x14ac:dyDescent="0.25">
      <c r="A2517" t="s">
        <v>2261</v>
      </c>
      <c r="B2517" t="s">
        <v>13</v>
      </c>
      <c r="C2517">
        <v>27</v>
      </c>
      <c r="D2517">
        <v>28</v>
      </c>
      <c r="E2517" t="s">
        <v>17</v>
      </c>
      <c r="F2517">
        <v>28.63</v>
      </c>
      <c r="G2517">
        <v>25.21</v>
      </c>
      <c r="H2517" t="s">
        <v>17</v>
      </c>
      <c r="I2517" t="str">
        <f>"063255005020"</f>
        <v>063255005020</v>
      </c>
    </row>
    <row r="2518" spans="1:9" x14ac:dyDescent="0.25">
      <c r="A2518" t="s">
        <v>2262</v>
      </c>
      <c r="B2518" t="s">
        <v>13</v>
      </c>
      <c r="C2518">
        <v>157.08000000000001</v>
      </c>
      <c r="D2518">
        <v>155.5</v>
      </c>
      <c r="E2518" t="s">
        <v>17</v>
      </c>
      <c r="F2518">
        <v>27.58</v>
      </c>
      <c r="G2518">
        <v>27.36</v>
      </c>
      <c r="H2518" t="s">
        <v>17</v>
      </c>
      <c r="I2518" t="str">
        <f>"061146001264"</f>
        <v>061146001264</v>
      </c>
    </row>
    <row r="2519" spans="1:9" x14ac:dyDescent="0.25">
      <c r="A2519" t="s">
        <v>2263</v>
      </c>
      <c r="B2519" t="s">
        <v>13</v>
      </c>
      <c r="C2519">
        <v>2</v>
      </c>
      <c r="D2519">
        <v>2</v>
      </c>
      <c r="E2519" t="s">
        <v>17</v>
      </c>
      <c r="F2519">
        <v>14</v>
      </c>
      <c r="G2519">
        <v>14.5</v>
      </c>
      <c r="H2519" t="s">
        <v>17</v>
      </c>
      <c r="I2519" t="str">
        <f>"063678006226"</f>
        <v>063678006226</v>
      </c>
    </row>
    <row r="2520" spans="1:9" x14ac:dyDescent="0.25">
      <c r="A2520" t="s">
        <v>2264</v>
      </c>
      <c r="B2520" t="s">
        <v>13</v>
      </c>
      <c r="C2520">
        <v>3.35</v>
      </c>
      <c r="D2520">
        <v>4.75</v>
      </c>
      <c r="E2520" t="s">
        <v>17</v>
      </c>
      <c r="F2520">
        <v>7.16</v>
      </c>
      <c r="G2520">
        <v>5.68</v>
      </c>
      <c r="H2520" t="s">
        <v>17</v>
      </c>
      <c r="I2520" t="str">
        <f>"063678006227"</f>
        <v>063678006227</v>
      </c>
    </row>
    <row r="2521" spans="1:9" x14ac:dyDescent="0.25">
      <c r="A2521" t="s">
        <v>2265</v>
      </c>
      <c r="B2521" t="s">
        <v>13</v>
      </c>
      <c r="C2521">
        <v>37.5</v>
      </c>
      <c r="D2521">
        <v>41.54</v>
      </c>
      <c r="E2521" t="s">
        <v>17</v>
      </c>
      <c r="F2521">
        <v>27.92</v>
      </c>
      <c r="G2521">
        <v>25.32</v>
      </c>
      <c r="H2521" t="s">
        <v>17</v>
      </c>
      <c r="I2521" t="str">
        <f>"062271007757"</f>
        <v>062271007757</v>
      </c>
    </row>
    <row r="2522" spans="1:9" x14ac:dyDescent="0.25">
      <c r="A2522" t="s">
        <v>2266</v>
      </c>
      <c r="B2522" t="s">
        <v>13</v>
      </c>
      <c r="C2522">
        <v>7</v>
      </c>
      <c r="D2522">
        <v>7</v>
      </c>
      <c r="E2522" t="s">
        <v>14</v>
      </c>
      <c r="F2522">
        <v>37.86</v>
      </c>
      <c r="G2522">
        <v>25.71</v>
      </c>
      <c r="H2522" t="s">
        <v>14</v>
      </c>
      <c r="I2522" t="str">
        <f>"069103512827"</f>
        <v>069103512827</v>
      </c>
    </row>
    <row r="2523" spans="1:9" x14ac:dyDescent="0.25">
      <c r="A2523" t="s">
        <v>2267</v>
      </c>
      <c r="B2523" t="s">
        <v>13</v>
      </c>
      <c r="C2523" t="s">
        <v>14</v>
      </c>
      <c r="D2523" t="s">
        <v>17</v>
      </c>
      <c r="E2523" t="s">
        <v>17</v>
      </c>
      <c r="F2523" t="s">
        <v>17</v>
      </c>
      <c r="G2523" t="s">
        <v>17</v>
      </c>
      <c r="H2523" t="s">
        <v>17</v>
      </c>
      <c r="I2523" t="str">
        <f>"063543012279"</f>
        <v>063543012279</v>
      </c>
    </row>
    <row r="2524" spans="1:9" x14ac:dyDescent="0.25">
      <c r="A2524" t="s">
        <v>2268</v>
      </c>
      <c r="B2524" t="s">
        <v>13</v>
      </c>
      <c r="C2524">
        <v>20</v>
      </c>
      <c r="D2524">
        <v>20</v>
      </c>
      <c r="E2524" t="s">
        <v>17</v>
      </c>
      <c r="F2524">
        <v>19.95</v>
      </c>
      <c r="G2524">
        <v>19.850000000000001</v>
      </c>
      <c r="H2524" t="s">
        <v>17</v>
      </c>
      <c r="I2524" t="str">
        <f>"063459008632"</f>
        <v>063459008632</v>
      </c>
    </row>
    <row r="2525" spans="1:9" x14ac:dyDescent="0.25">
      <c r="A2525" t="s">
        <v>2269</v>
      </c>
      <c r="B2525" t="s">
        <v>13</v>
      </c>
      <c r="C2525">
        <v>14.2</v>
      </c>
      <c r="D2525">
        <v>13.2</v>
      </c>
      <c r="E2525" t="s">
        <v>17</v>
      </c>
      <c r="F2525">
        <v>21.83</v>
      </c>
      <c r="G2525">
        <v>22.27</v>
      </c>
      <c r="H2525" t="s">
        <v>17</v>
      </c>
      <c r="I2525" t="str">
        <f>"060363007101"</f>
        <v>060363007101</v>
      </c>
    </row>
    <row r="2526" spans="1:9" x14ac:dyDescent="0.25">
      <c r="A2526" t="s">
        <v>2270</v>
      </c>
      <c r="B2526" t="s">
        <v>13</v>
      </c>
      <c r="C2526">
        <v>12.4</v>
      </c>
      <c r="D2526">
        <v>14.25</v>
      </c>
      <c r="E2526" t="s">
        <v>17</v>
      </c>
      <c r="F2526">
        <v>20.32</v>
      </c>
      <c r="G2526">
        <v>17.75</v>
      </c>
      <c r="H2526" t="s">
        <v>17</v>
      </c>
      <c r="I2526" t="str">
        <f>"063441005602"</f>
        <v>063441005602</v>
      </c>
    </row>
    <row r="2527" spans="1:9" x14ac:dyDescent="0.25">
      <c r="A2527" t="s">
        <v>2271</v>
      </c>
      <c r="B2527" t="s">
        <v>13</v>
      </c>
      <c r="C2527">
        <v>19</v>
      </c>
      <c r="D2527">
        <v>18</v>
      </c>
      <c r="E2527" t="s">
        <v>17</v>
      </c>
      <c r="F2527">
        <v>23.63</v>
      </c>
      <c r="G2527">
        <v>24.61</v>
      </c>
      <c r="H2527" t="s">
        <v>17</v>
      </c>
      <c r="I2527" t="str">
        <f>"062271010522"</f>
        <v>062271010522</v>
      </c>
    </row>
    <row r="2528" spans="1:9" x14ac:dyDescent="0.25">
      <c r="A2528" t="s">
        <v>2272</v>
      </c>
      <c r="B2528" t="s">
        <v>13</v>
      </c>
      <c r="C2528">
        <v>20</v>
      </c>
      <c r="D2528">
        <v>18.48</v>
      </c>
      <c r="E2528" t="s">
        <v>17</v>
      </c>
      <c r="F2528">
        <v>22.75</v>
      </c>
      <c r="G2528">
        <v>24.08</v>
      </c>
      <c r="H2528" t="s">
        <v>17</v>
      </c>
      <c r="I2528" t="str">
        <f>"062430003650"</f>
        <v>062430003650</v>
      </c>
    </row>
    <row r="2529" spans="1:9" x14ac:dyDescent="0.25">
      <c r="A2529" t="s">
        <v>2273</v>
      </c>
      <c r="B2529" t="s">
        <v>13</v>
      </c>
      <c r="C2529">
        <v>36.6</v>
      </c>
      <c r="D2529">
        <v>35.200000000000003</v>
      </c>
      <c r="E2529" t="s">
        <v>17</v>
      </c>
      <c r="F2529">
        <v>22.65</v>
      </c>
      <c r="G2529">
        <v>22.24</v>
      </c>
      <c r="H2529" t="s">
        <v>17</v>
      </c>
      <c r="I2529" t="str">
        <f>"063432005448"</f>
        <v>063432005448</v>
      </c>
    </row>
    <row r="2530" spans="1:9" x14ac:dyDescent="0.25">
      <c r="A2530" t="s">
        <v>2274</v>
      </c>
      <c r="B2530" t="s">
        <v>13</v>
      </c>
      <c r="C2530">
        <v>27.43</v>
      </c>
      <c r="D2530">
        <v>27.8</v>
      </c>
      <c r="E2530" t="s">
        <v>17</v>
      </c>
      <c r="F2530">
        <v>23.3</v>
      </c>
      <c r="G2530">
        <v>22.59</v>
      </c>
      <c r="H2530" t="s">
        <v>17</v>
      </c>
      <c r="I2530" t="str">
        <f>"060285012278"</f>
        <v>060285012278</v>
      </c>
    </row>
    <row r="2531" spans="1:9" x14ac:dyDescent="0.25">
      <c r="A2531" t="s">
        <v>2275</v>
      </c>
      <c r="B2531" t="s">
        <v>13</v>
      </c>
      <c r="C2531">
        <v>40.01</v>
      </c>
      <c r="D2531">
        <v>37</v>
      </c>
      <c r="E2531" t="s">
        <v>14</v>
      </c>
      <c r="F2531">
        <v>25.82</v>
      </c>
      <c r="G2531">
        <v>21.89</v>
      </c>
      <c r="H2531" t="s">
        <v>14</v>
      </c>
      <c r="I2531" t="str">
        <f>"060985012824"</f>
        <v>060985012824</v>
      </c>
    </row>
    <row r="2532" spans="1:9" x14ac:dyDescent="0.25">
      <c r="A2532" t="s">
        <v>2276</v>
      </c>
      <c r="B2532" t="s">
        <v>13</v>
      </c>
      <c r="C2532">
        <v>30</v>
      </c>
      <c r="D2532">
        <v>28</v>
      </c>
      <c r="E2532" t="s">
        <v>17</v>
      </c>
      <c r="F2532">
        <v>27</v>
      </c>
      <c r="G2532">
        <v>27.14</v>
      </c>
      <c r="H2532" t="s">
        <v>17</v>
      </c>
      <c r="I2532" t="str">
        <f>"060985011861"</f>
        <v>060985011861</v>
      </c>
    </row>
    <row r="2533" spans="1:9" x14ac:dyDescent="0.25">
      <c r="A2533" t="s">
        <v>2277</v>
      </c>
      <c r="B2533" t="s">
        <v>13</v>
      </c>
      <c r="C2533">
        <v>4</v>
      </c>
      <c r="D2533">
        <v>4.2</v>
      </c>
      <c r="E2533" t="s">
        <v>17</v>
      </c>
      <c r="F2533">
        <v>11.75</v>
      </c>
      <c r="G2533">
        <v>12.38</v>
      </c>
      <c r="H2533" t="s">
        <v>17</v>
      </c>
      <c r="I2533" t="str">
        <f>"063898002195"</f>
        <v>063898002195</v>
      </c>
    </row>
    <row r="2534" spans="1:9" x14ac:dyDescent="0.25">
      <c r="A2534" t="s">
        <v>2278</v>
      </c>
      <c r="B2534" t="s">
        <v>13</v>
      </c>
      <c r="C2534">
        <v>28.5</v>
      </c>
      <c r="D2534">
        <v>27.5</v>
      </c>
      <c r="E2534" t="s">
        <v>17</v>
      </c>
      <c r="F2534">
        <v>25.86</v>
      </c>
      <c r="G2534">
        <v>25.64</v>
      </c>
      <c r="H2534" t="s">
        <v>17</v>
      </c>
      <c r="I2534" t="str">
        <f>"062718011317"</f>
        <v>062718011317</v>
      </c>
    </row>
    <row r="2535" spans="1:9" x14ac:dyDescent="0.25">
      <c r="A2535" t="s">
        <v>2279</v>
      </c>
      <c r="B2535" t="s">
        <v>13</v>
      </c>
      <c r="C2535">
        <v>6</v>
      </c>
      <c r="D2535">
        <v>8</v>
      </c>
      <c r="E2535" t="s">
        <v>17</v>
      </c>
      <c r="F2535">
        <v>22.83</v>
      </c>
      <c r="G2535">
        <v>22</v>
      </c>
      <c r="H2535" t="s">
        <v>17</v>
      </c>
      <c r="I2535" t="str">
        <f>"062271012223"</f>
        <v>062271012223</v>
      </c>
    </row>
    <row r="2536" spans="1:9" x14ac:dyDescent="0.25">
      <c r="A2536" t="s">
        <v>2280</v>
      </c>
      <c r="B2536" t="s">
        <v>13</v>
      </c>
      <c r="C2536">
        <v>15.75</v>
      </c>
      <c r="D2536">
        <v>17.11</v>
      </c>
      <c r="E2536" t="s">
        <v>14</v>
      </c>
      <c r="F2536">
        <v>30.41</v>
      </c>
      <c r="G2536">
        <v>21.39</v>
      </c>
      <c r="H2536" t="s">
        <v>14</v>
      </c>
      <c r="I2536" t="str">
        <f>"062271012881"</f>
        <v>062271012881</v>
      </c>
    </row>
    <row r="2537" spans="1:9" x14ac:dyDescent="0.25">
      <c r="A2537" t="s">
        <v>2281</v>
      </c>
      <c r="B2537" t="s">
        <v>13</v>
      </c>
      <c r="C2537">
        <v>15.75</v>
      </c>
      <c r="D2537">
        <v>14.08</v>
      </c>
      <c r="E2537" t="s">
        <v>14</v>
      </c>
      <c r="F2537">
        <v>28.38</v>
      </c>
      <c r="G2537">
        <v>26.14</v>
      </c>
      <c r="H2537" t="s">
        <v>14</v>
      </c>
      <c r="I2537" t="str">
        <f>"062271012896"</f>
        <v>062271012896</v>
      </c>
    </row>
    <row r="2538" spans="1:9" x14ac:dyDescent="0.25">
      <c r="A2538" t="s">
        <v>2282</v>
      </c>
      <c r="B2538" t="s">
        <v>13</v>
      </c>
      <c r="C2538">
        <v>41.4</v>
      </c>
      <c r="D2538">
        <v>42.23</v>
      </c>
      <c r="E2538" t="s">
        <v>17</v>
      </c>
      <c r="F2538">
        <v>22.46</v>
      </c>
      <c r="G2538">
        <v>21.12</v>
      </c>
      <c r="H2538" t="s">
        <v>17</v>
      </c>
      <c r="I2538" t="str">
        <f>"060363009714"</f>
        <v>060363009714</v>
      </c>
    </row>
    <row r="2539" spans="1:9" x14ac:dyDescent="0.25">
      <c r="A2539" t="s">
        <v>2283</v>
      </c>
      <c r="B2539" t="s">
        <v>13</v>
      </c>
      <c r="C2539">
        <v>30.5</v>
      </c>
      <c r="D2539" t="s">
        <v>14</v>
      </c>
      <c r="E2539" t="s">
        <v>14</v>
      </c>
      <c r="F2539">
        <v>24.69</v>
      </c>
      <c r="G2539" t="s">
        <v>14</v>
      </c>
      <c r="H2539" t="s">
        <v>14</v>
      </c>
      <c r="I2539" t="str">
        <f>"062271013082"</f>
        <v>062271013082</v>
      </c>
    </row>
    <row r="2540" spans="1:9" x14ac:dyDescent="0.25">
      <c r="A2540" t="s">
        <v>2284</v>
      </c>
      <c r="B2540" t="s">
        <v>13</v>
      </c>
      <c r="C2540">
        <v>10</v>
      </c>
      <c r="D2540">
        <v>11</v>
      </c>
      <c r="E2540" t="s">
        <v>17</v>
      </c>
      <c r="F2540">
        <v>17.2</v>
      </c>
      <c r="G2540">
        <v>13.55</v>
      </c>
      <c r="H2540" t="s">
        <v>17</v>
      </c>
      <c r="I2540" t="str">
        <f>"063801012374"</f>
        <v>063801012374</v>
      </c>
    </row>
    <row r="2541" spans="1:9" x14ac:dyDescent="0.25">
      <c r="A2541" t="s">
        <v>2285</v>
      </c>
      <c r="B2541" t="s">
        <v>13</v>
      </c>
      <c r="C2541">
        <v>17</v>
      </c>
      <c r="D2541">
        <v>14</v>
      </c>
      <c r="E2541" t="s">
        <v>17</v>
      </c>
      <c r="F2541">
        <v>30.24</v>
      </c>
      <c r="G2541">
        <v>31.5</v>
      </c>
      <c r="H2541" t="s">
        <v>17</v>
      </c>
      <c r="I2541" t="str">
        <f>"060195010559"</f>
        <v>060195010559</v>
      </c>
    </row>
    <row r="2542" spans="1:9" x14ac:dyDescent="0.25">
      <c r="A2542" t="s">
        <v>2286</v>
      </c>
      <c r="B2542" t="s">
        <v>13</v>
      </c>
      <c r="C2542" t="s">
        <v>17</v>
      </c>
      <c r="D2542" t="s">
        <v>14</v>
      </c>
      <c r="E2542" t="s">
        <v>14</v>
      </c>
      <c r="F2542" t="s">
        <v>17</v>
      </c>
      <c r="G2542" t="s">
        <v>14</v>
      </c>
      <c r="H2542" t="s">
        <v>14</v>
      </c>
      <c r="I2542" t="str">
        <f>"063417013080"</f>
        <v>063417013080</v>
      </c>
    </row>
    <row r="2543" spans="1:9" x14ac:dyDescent="0.25">
      <c r="A2543" t="s">
        <v>2287</v>
      </c>
      <c r="B2543" t="s">
        <v>13</v>
      </c>
      <c r="C2543">
        <v>36</v>
      </c>
      <c r="D2543">
        <v>34</v>
      </c>
      <c r="E2543" t="s">
        <v>17</v>
      </c>
      <c r="F2543">
        <v>24.89</v>
      </c>
      <c r="G2543">
        <v>24.71</v>
      </c>
      <c r="H2543" t="s">
        <v>17</v>
      </c>
      <c r="I2543" t="str">
        <f>"062271012627"</f>
        <v>062271012627</v>
      </c>
    </row>
    <row r="2544" spans="1:9" x14ac:dyDescent="0.25">
      <c r="A2544" t="s">
        <v>2288</v>
      </c>
      <c r="B2544" t="s">
        <v>13</v>
      </c>
      <c r="C2544">
        <v>29</v>
      </c>
      <c r="D2544">
        <v>30</v>
      </c>
      <c r="E2544" t="s">
        <v>17</v>
      </c>
      <c r="F2544">
        <v>24.1</v>
      </c>
      <c r="G2544">
        <v>25.77</v>
      </c>
      <c r="H2544" t="s">
        <v>17</v>
      </c>
      <c r="I2544" t="str">
        <f>"061111011244"</f>
        <v>061111011244</v>
      </c>
    </row>
    <row r="2545" spans="1:9" x14ac:dyDescent="0.25">
      <c r="A2545" t="s">
        <v>2289</v>
      </c>
      <c r="B2545" t="s">
        <v>13</v>
      </c>
      <c r="C2545">
        <v>8.5</v>
      </c>
      <c r="D2545">
        <v>8</v>
      </c>
      <c r="E2545" t="s">
        <v>17</v>
      </c>
      <c r="F2545">
        <v>26.24</v>
      </c>
      <c r="G2545">
        <v>31</v>
      </c>
      <c r="H2545" t="s">
        <v>17</v>
      </c>
      <c r="I2545" t="str">
        <f>"061518012174"</f>
        <v>061518012174</v>
      </c>
    </row>
    <row r="2546" spans="1:9" x14ac:dyDescent="0.25">
      <c r="A2546" t="s">
        <v>2290</v>
      </c>
      <c r="B2546" t="s">
        <v>13</v>
      </c>
      <c r="C2546">
        <v>25.5</v>
      </c>
      <c r="D2546">
        <v>24.51</v>
      </c>
      <c r="E2546" t="s">
        <v>17</v>
      </c>
      <c r="F2546">
        <v>25.02</v>
      </c>
      <c r="G2546">
        <v>26.19</v>
      </c>
      <c r="H2546" t="s">
        <v>17</v>
      </c>
      <c r="I2546" t="str">
        <f>"062271010839"</f>
        <v>062271010839</v>
      </c>
    </row>
    <row r="2547" spans="1:9" x14ac:dyDescent="0.25">
      <c r="A2547" t="s">
        <v>2291</v>
      </c>
      <c r="B2547" t="s">
        <v>13</v>
      </c>
      <c r="C2547">
        <v>22.31</v>
      </c>
      <c r="D2547">
        <v>22.21</v>
      </c>
      <c r="E2547" t="s">
        <v>17</v>
      </c>
      <c r="F2547">
        <v>29.09</v>
      </c>
      <c r="G2547">
        <v>29.31</v>
      </c>
      <c r="H2547" t="s">
        <v>17</v>
      </c>
      <c r="I2547" t="str">
        <f>"061488001856"</f>
        <v>061488001856</v>
      </c>
    </row>
    <row r="2548" spans="1:9" x14ac:dyDescent="0.25">
      <c r="A2548" t="s">
        <v>2292</v>
      </c>
      <c r="B2548" t="s">
        <v>13</v>
      </c>
      <c r="C2548">
        <v>14.9</v>
      </c>
      <c r="D2548">
        <v>18</v>
      </c>
      <c r="E2548" t="s">
        <v>17</v>
      </c>
      <c r="F2548">
        <v>19.059999999999999</v>
      </c>
      <c r="G2548">
        <v>15.28</v>
      </c>
      <c r="H2548" t="s">
        <v>17</v>
      </c>
      <c r="I2548" t="str">
        <f>"063441008191"</f>
        <v>063441008191</v>
      </c>
    </row>
    <row r="2549" spans="1:9" x14ac:dyDescent="0.25">
      <c r="A2549" t="s">
        <v>2293</v>
      </c>
      <c r="B2549" t="s">
        <v>13</v>
      </c>
      <c r="C2549">
        <v>33</v>
      </c>
      <c r="D2549">
        <v>31</v>
      </c>
      <c r="E2549" t="s">
        <v>17</v>
      </c>
      <c r="F2549">
        <v>29.67</v>
      </c>
      <c r="G2549">
        <v>30.58</v>
      </c>
      <c r="H2549" t="s">
        <v>17</v>
      </c>
      <c r="I2549" t="str">
        <f>"062922004502"</f>
        <v>062922004502</v>
      </c>
    </row>
    <row r="2550" spans="1:9" x14ac:dyDescent="0.25">
      <c r="A2550" t="s">
        <v>2294</v>
      </c>
      <c r="B2550" t="s">
        <v>13</v>
      </c>
      <c r="C2550">
        <v>27</v>
      </c>
      <c r="D2550">
        <v>29</v>
      </c>
      <c r="E2550" t="s">
        <v>17</v>
      </c>
      <c r="F2550">
        <v>29.37</v>
      </c>
      <c r="G2550">
        <v>27.17</v>
      </c>
      <c r="H2550" t="s">
        <v>17</v>
      </c>
      <c r="I2550" t="str">
        <f>"060903000908"</f>
        <v>060903000908</v>
      </c>
    </row>
    <row r="2551" spans="1:9" x14ac:dyDescent="0.25">
      <c r="A2551" t="s">
        <v>2294</v>
      </c>
      <c r="B2551" t="s">
        <v>13</v>
      </c>
      <c r="C2551">
        <v>15</v>
      </c>
      <c r="D2551">
        <v>15</v>
      </c>
      <c r="E2551" t="s">
        <v>17</v>
      </c>
      <c r="F2551">
        <v>26.2</v>
      </c>
      <c r="G2551">
        <v>27.27</v>
      </c>
      <c r="H2551" t="s">
        <v>17</v>
      </c>
      <c r="I2551" t="str">
        <f>"060133205095"</f>
        <v>060133205095</v>
      </c>
    </row>
    <row r="2552" spans="1:9" x14ac:dyDescent="0.25">
      <c r="A2552" t="s">
        <v>2294</v>
      </c>
      <c r="B2552" t="s">
        <v>13</v>
      </c>
      <c r="C2552">
        <v>19.5</v>
      </c>
      <c r="D2552">
        <v>21.4</v>
      </c>
      <c r="E2552" t="s">
        <v>17</v>
      </c>
      <c r="F2552">
        <v>23.9</v>
      </c>
      <c r="G2552">
        <v>23.41</v>
      </c>
      <c r="H2552" t="s">
        <v>17</v>
      </c>
      <c r="I2552" t="str">
        <f>"061149001281"</f>
        <v>061149001281</v>
      </c>
    </row>
    <row r="2553" spans="1:9" x14ac:dyDescent="0.25">
      <c r="A2553" t="s">
        <v>2295</v>
      </c>
      <c r="B2553" t="s">
        <v>13</v>
      </c>
      <c r="C2553">
        <v>42.9</v>
      </c>
      <c r="D2553">
        <v>40.5</v>
      </c>
      <c r="E2553" t="s">
        <v>17</v>
      </c>
      <c r="F2553">
        <v>25.78</v>
      </c>
      <c r="G2553">
        <v>29.63</v>
      </c>
      <c r="H2553" t="s">
        <v>17</v>
      </c>
      <c r="I2553" t="str">
        <f>"061152001284"</f>
        <v>061152001284</v>
      </c>
    </row>
    <row r="2554" spans="1:9" x14ac:dyDescent="0.25">
      <c r="A2554" t="s">
        <v>2296</v>
      </c>
      <c r="B2554" t="s">
        <v>13</v>
      </c>
      <c r="C2554">
        <v>27.25</v>
      </c>
      <c r="D2554">
        <v>25.95</v>
      </c>
      <c r="E2554" t="s">
        <v>17</v>
      </c>
      <c r="F2554">
        <v>22.5</v>
      </c>
      <c r="G2554">
        <v>21.85</v>
      </c>
      <c r="H2554" t="s">
        <v>17</v>
      </c>
      <c r="I2554" t="str">
        <f>"060001906929"</f>
        <v>060001906929</v>
      </c>
    </row>
    <row r="2555" spans="1:9" x14ac:dyDescent="0.25">
      <c r="A2555" t="s">
        <v>2297</v>
      </c>
      <c r="B2555" t="s">
        <v>13</v>
      </c>
      <c r="C2555">
        <v>72.3</v>
      </c>
      <c r="D2555">
        <v>67.599999999999994</v>
      </c>
      <c r="E2555" t="s">
        <v>17</v>
      </c>
      <c r="F2555">
        <v>24.33</v>
      </c>
      <c r="G2555">
        <v>24.45</v>
      </c>
      <c r="H2555" t="s">
        <v>17</v>
      </c>
      <c r="I2555" t="str">
        <f>"060001909273"</f>
        <v>060001909273</v>
      </c>
    </row>
    <row r="2556" spans="1:9" x14ac:dyDescent="0.25">
      <c r="A2556" t="s">
        <v>2298</v>
      </c>
      <c r="B2556" t="s">
        <v>13</v>
      </c>
      <c r="C2556">
        <v>9</v>
      </c>
      <c r="D2556">
        <v>10</v>
      </c>
      <c r="E2556" t="s">
        <v>17</v>
      </c>
      <c r="F2556">
        <v>19.89</v>
      </c>
      <c r="G2556">
        <v>19.8</v>
      </c>
      <c r="H2556" t="s">
        <v>17</v>
      </c>
      <c r="I2556" t="str">
        <f>"061155001290"</f>
        <v>061155001290</v>
      </c>
    </row>
    <row r="2557" spans="1:9" x14ac:dyDescent="0.25">
      <c r="A2557" t="s">
        <v>2299</v>
      </c>
      <c r="B2557" t="s">
        <v>13</v>
      </c>
      <c r="C2557">
        <v>9.6</v>
      </c>
      <c r="D2557">
        <v>10.52</v>
      </c>
      <c r="E2557" t="s">
        <v>17</v>
      </c>
      <c r="F2557">
        <v>26.25</v>
      </c>
      <c r="G2557">
        <v>23.48</v>
      </c>
      <c r="H2557" t="s">
        <v>17</v>
      </c>
      <c r="I2557" t="str">
        <f>"063720006299"</f>
        <v>063720006299</v>
      </c>
    </row>
    <row r="2558" spans="1:9" x14ac:dyDescent="0.25">
      <c r="A2558" t="s">
        <v>2300</v>
      </c>
      <c r="B2558" t="s">
        <v>13</v>
      </c>
      <c r="C2558">
        <v>1</v>
      </c>
      <c r="D2558">
        <v>1</v>
      </c>
      <c r="E2558" t="s">
        <v>17</v>
      </c>
      <c r="F2558">
        <v>37</v>
      </c>
      <c r="G2558">
        <v>39</v>
      </c>
      <c r="H2558" t="s">
        <v>17</v>
      </c>
      <c r="I2558" t="str">
        <f>"060004707379"</f>
        <v>060004707379</v>
      </c>
    </row>
    <row r="2559" spans="1:9" x14ac:dyDescent="0.25">
      <c r="A2559" t="s">
        <v>2301</v>
      </c>
      <c r="B2559" t="s">
        <v>13</v>
      </c>
      <c r="C2559">
        <v>9.0399999999999991</v>
      </c>
      <c r="D2559">
        <v>9.57</v>
      </c>
      <c r="E2559" t="s">
        <v>17</v>
      </c>
      <c r="F2559">
        <v>18.690000000000001</v>
      </c>
      <c r="G2559">
        <v>16.72</v>
      </c>
      <c r="H2559" t="s">
        <v>17</v>
      </c>
      <c r="I2559" t="str">
        <f>"061161012748"</f>
        <v>061161012748</v>
      </c>
    </row>
    <row r="2560" spans="1:9" x14ac:dyDescent="0.25">
      <c r="A2560" t="s">
        <v>2302</v>
      </c>
      <c r="B2560" t="s">
        <v>13</v>
      </c>
      <c r="C2560">
        <v>1.27</v>
      </c>
      <c r="D2560">
        <v>1.43</v>
      </c>
      <c r="E2560" t="s">
        <v>17</v>
      </c>
      <c r="F2560">
        <v>6.3</v>
      </c>
      <c r="G2560">
        <v>13.99</v>
      </c>
      <c r="H2560" t="s">
        <v>17</v>
      </c>
      <c r="I2560" t="str">
        <f>"061161001291"</f>
        <v>061161001291</v>
      </c>
    </row>
    <row r="2561" spans="1:9" x14ac:dyDescent="0.25">
      <c r="A2561" t="s">
        <v>2303</v>
      </c>
      <c r="B2561" t="s">
        <v>13</v>
      </c>
      <c r="C2561">
        <v>19</v>
      </c>
      <c r="D2561">
        <v>21</v>
      </c>
      <c r="E2561" t="s">
        <v>17</v>
      </c>
      <c r="F2561">
        <v>22.16</v>
      </c>
      <c r="G2561">
        <v>20.14</v>
      </c>
      <c r="H2561" t="s">
        <v>17</v>
      </c>
      <c r="I2561" t="str">
        <f>"064356007043"</f>
        <v>064356007043</v>
      </c>
    </row>
    <row r="2562" spans="1:9" x14ac:dyDescent="0.25">
      <c r="A2562" t="s">
        <v>2303</v>
      </c>
      <c r="B2562" t="s">
        <v>13</v>
      </c>
      <c r="C2562">
        <v>15.6</v>
      </c>
      <c r="D2562">
        <v>15.4</v>
      </c>
      <c r="E2562" t="s">
        <v>17</v>
      </c>
      <c r="F2562">
        <v>22.95</v>
      </c>
      <c r="G2562">
        <v>24.16</v>
      </c>
      <c r="H2562" t="s">
        <v>17</v>
      </c>
      <c r="I2562" t="str">
        <f>"061970002365"</f>
        <v>061970002365</v>
      </c>
    </row>
    <row r="2563" spans="1:9" x14ac:dyDescent="0.25">
      <c r="A2563" t="s">
        <v>2304</v>
      </c>
      <c r="B2563" t="s">
        <v>13</v>
      </c>
      <c r="C2563">
        <v>1</v>
      </c>
      <c r="D2563">
        <v>1</v>
      </c>
      <c r="E2563" t="s">
        <v>17</v>
      </c>
      <c r="F2563">
        <v>61</v>
      </c>
      <c r="G2563">
        <v>49</v>
      </c>
      <c r="H2563" t="s">
        <v>17</v>
      </c>
      <c r="I2563" t="str">
        <f>"061970012321"</f>
        <v>061970012321</v>
      </c>
    </row>
    <row r="2564" spans="1:9" x14ac:dyDescent="0.25">
      <c r="A2564" t="s">
        <v>2305</v>
      </c>
      <c r="B2564" t="s">
        <v>13</v>
      </c>
      <c r="C2564">
        <v>26.7</v>
      </c>
      <c r="D2564">
        <v>26.01</v>
      </c>
      <c r="E2564" t="s">
        <v>17</v>
      </c>
      <c r="F2564">
        <v>26.7</v>
      </c>
      <c r="G2564">
        <v>25.99</v>
      </c>
      <c r="H2564" t="s">
        <v>17</v>
      </c>
      <c r="I2564" t="str">
        <f>"063237004989"</f>
        <v>063237004989</v>
      </c>
    </row>
    <row r="2565" spans="1:9" x14ac:dyDescent="0.25">
      <c r="A2565" t="s">
        <v>2306</v>
      </c>
      <c r="B2565" t="s">
        <v>13</v>
      </c>
      <c r="C2565">
        <v>14.5</v>
      </c>
      <c r="D2565">
        <v>16</v>
      </c>
      <c r="E2565" t="s">
        <v>17</v>
      </c>
      <c r="F2565">
        <v>26.28</v>
      </c>
      <c r="G2565">
        <v>25.19</v>
      </c>
      <c r="H2565" t="s">
        <v>17</v>
      </c>
      <c r="I2565" t="str">
        <f>"061524001925"</f>
        <v>061524001925</v>
      </c>
    </row>
    <row r="2566" spans="1:9" x14ac:dyDescent="0.25">
      <c r="A2566" t="s">
        <v>2307</v>
      </c>
      <c r="B2566" t="s">
        <v>13</v>
      </c>
      <c r="C2566">
        <v>8</v>
      </c>
      <c r="D2566">
        <v>8</v>
      </c>
      <c r="E2566" t="s">
        <v>17</v>
      </c>
      <c r="F2566">
        <v>16</v>
      </c>
      <c r="G2566">
        <v>17.25</v>
      </c>
      <c r="H2566" t="s">
        <v>17</v>
      </c>
      <c r="I2566" t="str">
        <f>"061167001292"</f>
        <v>061167001292</v>
      </c>
    </row>
    <row r="2567" spans="1:9" x14ac:dyDescent="0.25">
      <c r="A2567" t="s">
        <v>2308</v>
      </c>
      <c r="B2567" t="s">
        <v>13</v>
      </c>
      <c r="C2567">
        <v>6.35</v>
      </c>
      <c r="D2567">
        <v>7.85</v>
      </c>
      <c r="E2567" t="s">
        <v>17</v>
      </c>
      <c r="F2567">
        <v>13.07</v>
      </c>
      <c r="G2567">
        <v>10.57</v>
      </c>
      <c r="H2567" t="s">
        <v>17</v>
      </c>
      <c r="I2567" t="str">
        <f>"061170001294"</f>
        <v>061170001294</v>
      </c>
    </row>
    <row r="2568" spans="1:9" x14ac:dyDescent="0.25">
      <c r="A2568" t="s">
        <v>2309</v>
      </c>
      <c r="B2568" t="s">
        <v>13</v>
      </c>
      <c r="C2568">
        <v>1</v>
      </c>
      <c r="D2568" t="s">
        <v>17</v>
      </c>
      <c r="E2568" t="s">
        <v>17</v>
      </c>
      <c r="F2568">
        <v>4</v>
      </c>
      <c r="G2568" t="s">
        <v>17</v>
      </c>
      <c r="H2568" t="s">
        <v>17</v>
      </c>
      <c r="I2568" t="str">
        <f>"061170007828"</f>
        <v>061170007828</v>
      </c>
    </row>
    <row r="2569" spans="1:9" x14ac:dyDescent="0.25">
      <c r="A2569" t="s">
        <v>2310</v>
      </c>
      <c r="B2569" t="s">
        <v>13</v>
      </c>
      <c r="C2569">
        <v>42</v>
      </c>
      <c r="D2569">
        <v>44</v>
      </c>
      <c r="E2569" t="s">
        <v>17</v>
      </c>
      <c r="F2569">
        <v>26.21</v>
      </c>
      <c r="G2569">
        <v>24.95</v>
      </c>
      <c r="H2569" t="s">
        <v>17</v>
      </c>
      <c r="I2569" t="str">
        <f>"061209001349"</f>
        <v>061209001349</v>
      </c>
    </row>
    <row r="2570" spans="1:9" x14ac:dyDescent="0.25">
      <c r="A2570" t="s">
        <v>2310</v>
      </c>
      <c r="B2570" t="s">
        <v>13</v>
      </c>
      <c r="C2570">
        <v>19</v>
      </c>
      <c r="D2570">
        <v>21</v>
      </c>
      <c r="E2570" t="s">
        <v>17</v>
      </c>
      <c r="F2570">
        <v>24.42</v>
      </c>
      <c r="G2570">
        <v>24.05</v>
      </c>
      <c r="H2570" t="s">
        <v>17</v>
      </c>
      <c r="I2570" t="str">
        <f>"061218001371"</f>
        <v>061218001371</v>
      </c>
    </row>
    <row r="2571" spans="1:9" x14ac:dyDescent="0.25">
      <c r="A2571" t="s">
        <v>2311</v>
      </c>
      <c r="B2571" t="s">
        <v>13</v>
      </c>
      <c r="C2571">
        <v>22.9</v>
      </c>
      <c r="D2571">
        <v>21.9</v>
      </c>
      <c r="E2571" t="s">
        <v>17</v>
      </c>
      <c r="F2571">
        <v>19.04</v>
      </c>
      <c r="G2571">
        <v>19</v>
      </c>
      <c r="H2571" t="s">
        <v>17</v>
      </c>
      <c r="I2571" t="str">
        <f>"061173001295"</f>
        <v>061173001295</v>
      </c>
    </row>
    <row r="2572" spans="1:9" x14ac:dyDescent="0.25">
      <c r="A2572" t="s">
        <v>2312</v>
      </c>
      <c r="B2572" t="s">
        <v>13</v>
      </c>
      <c r="C2572">
        <v>18.7</v>
      </c>
      <c r="D2572">
        <v>17.8</v>
      </c>
      <c r="E2572" t="s">
        <v>17</v>
      </c>
      <c r="F2572">
        <v>17.43</v>
      </c>
      <c r="G2572">
        <v>20.11</v>
      </c>
      <c r="H2572" t="s">
        <v>17</v>
      </c>
      <c r="I2572" t="str">
        <f>"061173001296"</f>
        <v>061173001296</v>
      </c>
    </row>
    <row r="2573" spans="1:9" x14ac:dyDescent="0.25">
      <c r="A2573" t="s">
        <v>2313</v>
      </c>
      <c r="B2573" t="s">
        <v>13</v>
      </c>
      <c r="C2573">
        <v>12.2</v>
      </c>
      <c r="D2573">
        <v>11.3</v>
      </c>
      <c r="E2573" t="s">
        <v>17</v>
      </c>
      <c r="F2573">
        <v>18.77</v>
      </c>
      <c r="G2573">
        <v>22.04</v>
      </c>
      <c r="H2573" t="s">
        <v>17</v>
      </c>
      <c r="I2573" t="str">
        <f>"061173008824"</f>
        <v>061173008824</v>
      </c>
    </row>
    <row r="2574" spans="1:9" x14ac:dyDescent="0.25">
      <c r="A2574" t="s">
        <v>2314</v>
      </c>
      <c r="B2574" t="s">
        <v>13</v>
      </c>
      <c r="C2574">
        <v>25.65</v>
      </c>
      <c r="D2574">
        <v>25.13</v>
      </c>
      <c r="E2574" t="s">
        <v>17</v>
      </c>
      <c r="F2574">
        <v>19.96</v>
      </c>
      <c r="G2574">
        <v>19.98</v>
      </c>
      <c r="H2574" t="s">
        <v>17</v>
      </c>
      <c r="I2574" t="str">
        <f>"062961004586"</f>
        <v>062961004586</v>
      </c>
    </row>
    <row r="2575" spans="1:9" x14ac:dyDescent="0.25">
      <c r="A2575" t="s">
        <v>2315</v>
      </c>
      <c r="B2575" t="s">
        <v>13</v>
      </c>
      <c r="C2575">
        <v>31</v>
      </c>
      <c r="D2575">
        <v>31.26</v>
      </c>
      <c r="E2575" t="s">
        <v>17</v>
      </c>
      <c r="F2575">
        <v>24.32</v>
      </c>
      <c r="G2575">
        <v>23.74</v>
      </c>
      <c r="H2575" t="s">
        <v>17</v>
      </c>
      <c r="I2575" t="str">
        <f>"061029001132"</f>
        <v>061029001132</v>
      </c>
    </row>
    <row r="2576" spans="1:9" x14ac:dyDescent="0.25">
      <c r="A2576" t="s">
        <v>2315</v>
      </c>
      <c r="B2576" t="s">
        <v>13</v>
      </c>
      <c r="C2576">
        <v>36</v>
      </c>
      <c r="D2576">
        <v>37</v>
      </c>
      <c r="E2576" t="s">
        <v>17</v>
      </c>
      <c r="F2576">
        <v>25.06</v>
      </c>
      <c r="G2576">
        <v>25.59</v>
      </c>
      <c r="H2576" t="s">
        <v>17</v>
      </c>
      <c r="I2576" t="str">
        <f>"060985011014"</f>
        <v>060985011014</v>
      </c>
    </row>
    <row r="2577" spans="1:9" x14ac:dyDescent="0.25">
      <c r="A2577" t="s">
        <v>2315</v>
      </c>
      <c r="B2577" t="s">
        <v>13</v>
      </c>
      <c r="C2577">
        <v>21.25</v>
      </c>
      <c r="D2577">
        <v>21.25</v>
      </c>
      <c r="E2577" t="s">
        <v>17</v>
      </c>
      <c r="F2577">
        <v>25.6</v>
      </c>
      <c r="G2577">
        <v>25.74</v>
      </c>
      <c r="H2577" t="s">
        <v>17</v>
      </c>
      <c r="I2577" t="str">
        <f>"061488001838"</f>
        <v>061488001838</v>
      </c>
    </row>
    <row r="2578" spans="1:9" x14ac:dyDescent="0.25">
      <c r="A2578" t="s">
        <v>2316</v>
      </c>
      <c r="B2578" t="s">
        <v>13</v>
      </c>
      <c r="C2578">
        <v>27</v>
      </c>
      <c r="D2578">
        <v>27</v>
      </c>
      <c r="E2578" t="s">
        <v>17</v>
      </c>
      <c r="F2578">
        <v>17.670000000000002</v>
      </c>
      <c r="G2578">
        <v>18</v>
      </c>
      <c r="H2578" t="s">
        <v>17</v>
      </c>
      <c r="I2578" t="str">
        <f>"061111001224"</f>
        <v>061111001224</v>
      </c>
    </row>
    <row r="2579" spans="1:9" x14ac:dyDescent="0.25">
      <c r="A2579" t="s">
        <v>2317</v>
      </c>
      <c r="B2579" t="s">
        <v>13</v>
      </c>
      <c r="C2579">
        <v>31</v>
      </c>
      <c r="D2579">
        <v>32</v>
      </c>
      <c r="E2579" t="s">
        <v>17</v>
      </c>
      <c r="F2579">
        <v>25.16</v>
      </c>
      <c r="G2579">
        <v>24.22</v>
      </c>
      <c r="H2579" t="s">
        <v>17</v>
      </c>
      <c r="I2579" t="str">
        <f>"062271002968"</f>
        <v>062271002968</v>
      </c>
    </row>
    <row r="2580" spans="1:9" x14ac:dyDescent="0.25">
      <c r="A2580" t="s">
        <v>2318</v>
      </c>
      <c r="B2580" t="s">
        <v>13</v>
      </c>
      <c r="C2580">
        <v>17.02</v>
      </c>
      <c r="D2580">
        <v>18.5</v>
      </c>
      <c r="E2580" t="s">
        <v>17</v>
      </c>
      <c r="F2580">
        <v>23.85</v>
      </c>
      <c r="G2580">
        <v>19.89</v>
      </c>
      <c r="H2580" t="s">
        <v>17</v>
      </c>
      <c r="I2580" t="str">
        <f>"063462005774"</f>
        <v>063462005774</v>
      </c>
    </row>
    <row r="2581" spans="1:9" x14ac:dyDescent="0.25">
      <c r="A2581" t="s">
        <v>2319</v>
      </c>
      <c r="B2581" t="s">
        <v>13</v>
      </c>
      <c r="C2581">
        <v>24</v>
      </c>
      <c r="D2581">
        <v>30.5</v>
      </c>
      <c r="E2581" t="s">
        <v>17</v>
      </c>
      <c r="F2581">
        <v>23.33</v>
      </c>
      <c r="G2581">
        <v>18.82</v>
      </c>
      <c r="H2581" t="s">
        <v>17</v>
      </c>
      <c r="I2581" t="str">
        <f>"062949004540"</f>
        <v>062949004540</v>
      </c>
    </row>
    <row r="2582" spans="1:9" x14ac:dyDescent="0.25">
      <c r="A2582" t="s">
        <v>2320</v>
      </c>
      <c r="B2582" t="s">
        <v>13</v>
      </c>
      <c r="C2582">
        <v>18.75</v>
      </c>
      <c r="D2582">
        <v>21.3</v>
      </c>
      <c r="E2582" t="s">
        <v>17</v>
      </c>
      <c r="F2582">
        <v>25.87</v>
      </c>
      <c r="G2582">
        <v>21.27</v>
      </c>
      <c r="H2582" t="s">
        <v>17</v>
      </c>
      <c r="I2582" t="str">
        <f>"062825004359"</f>
        <v>062825004359</v>
      </c>
    </row>
    <row r="2583" spans="1:9" x14ac:dyDescent="0.25">
      <c r="A2583" t="s">
        <v>2321</v>
      </c>
      <c r="B2583" t="s">
        <v>13</v>
      </c>
      <c r="C2583">
        <v>21</v>
      </c>
      <c r="D2583">
        <v>28.8</v>
      </c>
      <c r="E2583" t="s">
        <v>17</v>
      </c>
      <c r="F2583">
        <v>28.81</v>
      </c>
      <c r="G2583">
        <v>20.350000000000001</v>
      </c>
      <c r="H2583" t="s">
        <v>17</v>
      </c>
      <c r="I2583" t="str">
        <f>"060002909510"</f>
        <v>060002909510</v>
      </c>
    </row>
    <row r="2584" spans="1:9" x14ac:dyDescent="0.25">
      <c r="A2584" t="s">
        <v>2322</v>
      </c>
      <c r="B2584" t="s">
        <v>13</v>
      </c>
      <c r="C2584">
        <v>23</v>
      </c>
      <c r="D2584">
        <v>26.03</v>
      </c>
      <c r="E2584" t="s">
        <v>17</v>
      </c>
      <c r="F2584">
        <v>26.78</v>
      </c>
      <c r="G2584">
        <v>23.9</v>
      </c>
      <c r="H2584" t="s">
        <v>17</v>
      </c>
      <c r="I2584" t="str">
        <f>"060846000844"</f>
        <v>060846000844</v>
      </c>
    </row>
    <row r="2585" spans="1:9" x14ac:dyDescent="0.25">
      <c r="A2585" t="s">
        <v>2323</v>
      </c>
      <c r="B2585" t="s">
        <v>13</v>
      </c>
      <c r="C2585">
        <v>15.64</v>
      </c>
      <c r="D2585">
        <v>14.33</v>
      </c>
      <c r="E2585" t="s">
        <v>17</v>
      </c>
      <c r="F2585">
        <v>21.87</v>
      </c>
      <c r="G2585">
        <v>22.26</v>
      </c>
      <c r="H2585" t="s">
        <v>17</v>
      </c>
      <c r="I2585" t="str">
        <f>"062706004087"</f>
        <v>062706004087</v>
      </c>
    </row>
    <row r="2586" spans="1:9" x14ac:dyDescent="0.25">
      <c r="A2586" t="s">
        <v>2324</v>
      </c>
      <c r="B2586" t="s">
        <v>13</v>
      </c>
      <c r="C2586">
        <v>21.25</v>
      </c>
      <c r="D2586">
        <v>22.03</v>
      </c>
      <c r="E2586" t="s">
        <v>17</v>
      </c>
      <c r="F2586">
        <v>22.96</v>
      </c>
      <c r="G2586">
        <v>23.06</v>
      </c>
      <c r="H2586" t="s">
        <v>17</v>
      </c>
      <c r="I2586" t="str">
        <f>"062271012787"</f>
        <v>062271012787</v>
      </c>
    </row>
    <row r="2587" spans="1:9" x14ac:dyDescent="0.25">
      <c r="A2587" t="s">
        <v>2325</v>
      </c>
      <c r="B2587" t="s">
        <v>13</v>
      </c>
      <c r="C2587">
        <v>17.5</v>
      </c>
      <c r="D2587">
        <v>19.010000000000002</v>
      </c>
      <c r="E2587" t="s">
        <v>17</v>
      </c>
      <c r="F2587">
        <v>25.31</v>
      </c>
      <c r="G2587">
        <v>24.83</v>
      </c>
      <c r="H2587" t="s">
        <v>17</v>
      </c>
      <c r="I2587" t="str">
        <f>"062271012657"</f>
        <v>062271012657</v>
      </c>
    </row>
    <row r="2588" spans="1:9" x14ac:dyDescent="0.25">
      <c r="A2588" t="s">
        <v>2326</v>
      </c>
      <c r="B2588" t="s">
        <v>13</v>
      </c>
      <c r="C2588">
        <v>19.399999999999999</v>
      </c>
      <c r="D2588">
        <v>18.899999999999999</v>
      </c>
      <c r="E2588" t="s">
        <v>17</v>
      </c>
      <c r="F2588">
        <v>18.510000000000002</v>
      </c>
      <c r="G2588">
        <v>21.22</v>
      </c>
      <c r="H2588" t="s">
        <v>17</v>
      </c>
      <c r="I2588" t="str">
        <f>"061440001666"</f>
        <v>061440001666</v>
      </c>
    </row>
    <row r="2589" spans="1:9" x14ac:dyDescent="0.25">
      <c r="A2589" t="s">
        <v>2327</v>
      </c>
      <c r="B2589" t="s">
        <v>13</v>
      </c>
      <c r="C2589">
        <v>28</v>
      </c>
      <c r="D2589">
        <v>35</v>
      </c>
      <c r="E2589" t="s">
        <v>17</v>
      </c>
      <c r="F2589">
        <v>21.21</v>
      </c>
      <c r="G2589">
        <v>20.11</v>
      </c>
      <c r="H2589" t="s">
        <v>17</v>
      </c>
      <c r="I2589" t="str">
        <f>"063417010303"</f>
        <v>063417010303</v>
      </c>
    </row>
    <row r="2590" spans="1:9" x14ac:dyDescent="0.25">
      <c r="A2590" t="s">
        <v>2328</v>
      </c>
      <c r="B2590" t="s">
        <v>13</v>
      </c>
      <c r="C2590">
        <v>40.6</v>
      </c>
      <c r="D2590">
        <v>40.6</v>
      </c>
      <c r="E2590" t="s">
        <v>17</v>
      </c>
      <c r="F2590">
        <v>25.54</v>
      </c>
      <c r="G2590">
        <v>25.91</v>
      </c>
      <c r="H2590" t="s">
        <v>17</v>
      </c>
      <c r="I2590" t="str">
        <f>"061785002199"</f>
        <v>061785002199</v>
      </c>
    </row>
    <row r="2591" spans="1:9" x14ac:dyDescent="0.25">
      <c r="A2591" t="s">
        <v>2329</v>
      </c>
      <c r="B2591" t="s">
        <v>13</v>
      </c>
      <c r="C2591">
        <v>20</v>
      </c>
      <c r="D2591">
        <v>21.2</v>
      </c>
      <c r="E2591" t="s">
        <v>17</v>
      </c>
      <c r="F2591">
        <v>25.35</v>
      </c>
      <c r="G2591">
        <v>24.01</v>
      </c>
      <c r="H2591" t="s">
        <v>17</v>
      </c>
      <c r="I2591" t="str">
        <f>"064098006751"</f>
        <v>064098006751</v>
      </c>
    </row>
    <row r="2592" spans="1:9" x14ac:dyDescent="0.25">
      <c r="A2592" t="s">
        <v>2330</v>
      </c>
      <c r="B2592" t="s">
        <v>13</v>
      </c>
      <c r="C2592">
        <v>19</v>
      </c>
      <c r="D2592">
        <v>18.399999999999999</v>
      </c>
      <c r="E2592" t="s">
        <v>17</v>
      </c>
      <c r="F2592">
        <v>28.74</v>
      </c>
      <c r="G2592">
        <v>30.05</v>
      </c>
      <c r="H2592" t="s">
        <v>17</v>
      </c>
      <c r="I2592" t="str">
        <f>"061336001527"</f>
        <v>061336001527</v>
      </c>
    </row>
    <row r="2593" spans="1:9" x14ac:dyDescent="0.25">
      <c r="A2593" t="s">
        <v>2331</v>
      </c>
      <c r="B2593" t="s">
        <v>13</v>
      </c>
      <c r="C2593" t="s">
        <v>17</v>
      </c>
      <c r="D2593" t="s">
        <v>14</v>
      </c>
      <c r="E2593" t="s">
        <v>14</v>
      </c>
      <c r="F2593" t="s">
        <v>17</v>
      </c>
      <c r="G2593" t="s">
        <v>14</v>
      </c>
      <c r="H2593" t="s">
        <v>14</v>
      </c>
      <c r="I2593" t="str">
        <f>"063432013288"</f>
        <v>063432013288</v>
      </c>
    </row>
    <row r="2594" spans="1:9" x14ac:dyDescent="0.25">
      <c r="A2594" t="s">
        <v>2332</v>
      </c>
      <c r="B2594" t="s">
        <v>13</v>
      </c>
      <c r="C2594">
        <v>21.1</v>
      </c>
      <c r="D2594">
        <v>20.34</v>
      </c>
      <c r="E2594" t="s">
        <v>17</v>
      </c>
      <c r="F2594">
        <v>27.06</v>
      </c>
      <c r="G2594">
        <v>28.07</v>
      </c>
      <c r="H2594" t="s">
        <v>17</v>
      </c>
      <c r="I2594" t="str">
        <f>"060846009125"</f>
        <v>060846009125</v>
      </c>
    </row>
    <row r="2595" spans="1:9" x14ac:dyDescent="0.25">
      <c r="A2595" t="s">
        <v>2333</v>
      </c>
      <c r="B2595" t="s">
        <v>13</v>
      </c>
      <c r="C2595">
        <v>1</v>
      </c>
      <c r="D2595">
        <v>1.1000000000000001</v>
      </c>
      <c r="E2595" t="s">
        <v>17</v>
      </c>
      <c r="F2595">
        <v>10</v>
      </c>
      <c r="G2595">
        <v>8.18</v>
      </c>
      <c r="H2595" t="s">
        <v>17</v>
      </c>
      <c r="I2595" t="str">
        <f>"063900002780"</f>
        <v>063900002780</v>
      </c>
    </row>
    <row r="2596" spans="1:9" x14ac:dyDescent="0.25">
      <c r="A2596" t="s">
        <v>2334</v>
      </c>
      <c r="B2596" t="s">
        <v>13</v>
      </c>
      <c r="C2596" t="s">
        <v>14</v>
      </c>
      <c r="D2596" t="s">
        <v>14</v>
      </c>
      <c r="E2596" t="s">
        <v>17</v>
      </c>
      <c r="F2596" t="s">
        <v>14</v>
      </c>
      <c r="G2596" t="s">
        <v>14</v>
      </c>
      <c r="H2596" t="s">
        <v>17</v>
      </c>
      <c r="I2596" t="str">
        <f>"060897011806"</f>
        <v>060897011806</v>
      </c>
    </row>
    <row r="2597" spans="1:9" x14ac:dyDescent="0.25">
      <c r="A2597" t="s">
        <v>2335</v>
      </c>
      <c r="B2597" t="s">
        <v>13</v>
      </c>
      <c r="C2597">
        <v>1</v>
      </c>
      <c r="D2597" t="s">
        <v>17</v>
      </c>
      <c r="E2597" t="s">
        <v>17</v>
      </c>
      <c r="F2597">
        <v>15</v>
      </c>
      <c r="G2597" t="s">
        <v>17</v>
      </c>
      <c r="H2597" t="s">
        <v>17</v>
      </c>
      <c r="I2597" t="str">
        <f>"061110001221"</f>
        <v>061110001221</v>
      </c>
    </row>
    <row r="2598" spans="1:9" x14ac:dyDescent="0.25">
      <c r="A2598" t="s">
        <v>2336</v>
      </c>
      <c r="B2598" t="s">
        <v>13</v>
      </c>
      <c r="C2598">
        <v>20.399999999999999</v>
      </c>
      <c r="D2598">
        <v>19.8</v>
      </c>
      <c r="E2598" t="s">
        <v>17</v>
      </c>
      <c r="F2598">
        <v>19.260000000000002</v>
      </c>
      <c r="G2598">
        <v>22.37</v>
      </c>
      <c r="H2598" t="s">
        <v>17</v>
      </c>
      <c r="I2598" t="str">
        <f>"064030007172"</f>
        <v>064030007172</v>
      </c>
    </row>
    <row r="2599" spans="1:9" x14ac:dyDescent="0.25">
      <c r="A2599" t="s">
        <v>2337</v>
      </c>
      <c r="B2599" t="s">
        <v>13</v>
      </c>
      <c r="C2599">
        <v>10.199999999999999</v>
      </c>
      <c r="D2599">
        <v>11</v>
      </c>
      <c r="E2599" t="s">
        <v>17</v>
      </c>
      <c r="F2599">
        <v>18.82</v>
      </c>
      <c r="G2599">
        <v>16.82</v>
      </c>
      <c r="H2599" t="s">
        <v>17</v>
      </c>
      <c r="I2599" t="str">
        <f>"062637008688"</f>
        <v>062637008688</v>
      </c>
    </row>
    <row r="2600" spans="1:9" x14ac:dyDescent="0.25">
      <c r="A2600" t="s">
        <v>2338</v>
      </c>
      <c r="B2600" t="s">
        <v>13</v>
      </c>
      <c r="C2600">
        <v>10.5</v>
      </c>
      <c r="D2600">
        <v>10.5</v>
      </c>
      <c r="E2600" t="s">
        <v>17</v>
      </c>
      <c r="F2600">
        <v>19.809999999999999</v>
      </c>
      <c r="G2600">
        <v>22.29</v>
      </c>
      <c r="H2600" t="s">
        <v>17</v>
      </c>
      <c r="I2600" t="str">
        <f>"063273005086"</f>
        <v>063273005086</v>
      </c>
    </row>
    <row r="2601" spans="1:9" x14ac:dyDescent="0.25">
      <c r="A2601" t="s">
        <v>2339</v>
      </c>
      <c r="B2601" t="s">
        <v>13</v>
      </c>
      <c r="C2601">
        <v>29</v>
      </c>
      <c r="D2601">
        <v>30</v>
      </c>
      <c r="E2601" t="s">
        <v>17</v>
      </c>
      <c r="F2601">
        <v>29.31</v>
      </c>
      <c r="G2601">
        <v>29.13</v>
      </c>
      <c r="H2601" t="s">
        <v>17</v>
      </c>
      <c r="I2601" t="str">
        <f>"060171009690"</f>
        <v>060171009690</v>
      </c>
    </row>
    <row r="2602" spans="1:9" x14ac:dyDescent="0.25">
      <c r="A2602" t="s">
        <v>2340</v>
      </c>
      <c r="B2602" t="s">
        <v>13</v>
      </c>
      <c r="C2602">
        <v>35</v>
      </c>
      <c r="D2602">
        <v>36</v>
      </c>
      <c r="E2602" t="s">
        <v>17</v>
      </c>
      <c r="F2602">
        <v>23.77</v>
      </c>
      <c r="G2602">
        <v>25.11</v>
      </c>
      <c r="H2602" t="s">
        <v>17</v>
      </c>
      <c r="I2602" t="str">
        <f>"062271002969"</f>
        <v>062271002969</v>
      </c>
    </row>
    <row r="2603" spans="1:9" x14ac:dyDescent="0.25">
      <c r="A2603" t="s">
        <v>2341</v>
      </c>
      <c r="B2603" t="s">
        <v>13</v>
      </c>
      <c r="C2603">
        <v>95.35</v>
      </c>
      <c r="D2603">
        <v>101.09</v>
      </c>
      <c r="E2603" t="s">
        <v>17</v>
      </c>
      <c r="F2603">
        <v>27.43</v>
      </c>
      <c r="G2603">
        <v>26.26</v>
      </c>
      <c r="H2603" t="s">
        <v>17</v>
      </c>
      <c r="I2603" t="str">
        <f>"062271002970"</f>
        <v>062271002970</v>
      </c>
    </row>
    <row r="2604" spans="1:9" x14ac:dyDescent="0.25">
      <c r="A2604" t="s">
        <v>2342</v>
      </c>
      <c r="B2604" t="s">
        <v>13</v>
      </c>
      <c r="C2604">
        <v>4.09</v>
      </c>
      <c r="D2604">
        <v>3.88</v>
      </c>
      <c r="E2604" t="s">
        <v>17</v>
      </c>
      <c r="F2604">
        <v>9.0500000000000007</v>
      </c>
      <c r="G2604">
        <v>13.92</v>
      </c>
      <c r="H2604" t="s">
        <v>17</v>
      </c>
      <c r="I2604" t="str">
        <f>"063697010370"</f>
        <v>063697010370</v>
      </c>
    </row>
    <row r="2605" spans="1:9" x14ac:dyDescent="0.25">
      <c r="A2605" t="s">
        <v>2343</v>
      </c>
      <c r="B2605" t="s">
        <v>13</v>
      </c>
      <c r="C2605">
        <v>4.5</v>
      </c>
      <c r="D2605">
        <v>3.01</v>
      </c>
      <c r="E2605" t="s">
        <v>17</v>
      </c>
      <c r="F2605">
        <v>35.33</v>
      </c>
      <c r="G2605">
        <v>43.52</v>
      </c>
      <c r="H2605" t="s">
        <v>17</v>
      </c>
      <c r="I2605" t="str">
        <f>"062271002971"</f>
        <v>062271002971</v>
      </c>
    </row>
    <row r="2606" spans="1:9" x14ac:dyDescent="0.25">
      <c r="A2606" t="s">
        <v>2344</v>
      </c>
      <c r="B2606" t="s">
        <v>13</v>
      </c>
      <c r="C2606">
        <v>21</v>
      </c>
      <c r="D2606">
        <v>21.5</v>
      </c>
      <c r="E2606" t="s">
        <v>17</v>
      </c>
      <c r="F2606">
        <v>25.38</v>
      </c>
      <c r="G2606">
        <v>24.98</v>
      </c>
      <c r="H2606" t="s">
        <v>17</v>
      </c>
      <c r="I2606" t="str">
        <f>"062769004161"</f>
        <v>062769004161</v>
      </c>
    </row>
    <row r="2607" spans="1:9" x14ac:dyDescent="0.25">
      <c r="A2607" t="s">
        <v>2345</v>
      </c>
      <c r="B2607" t="s">
        <v>13</v>
      </c>
      <c r="C2607">
        <v>6.93</v>
      </c>
      <c r="D2607">
        <v>9.85</v>
      </c>
      <c r="E2607" t="s">
        <v>17</v>
      </c>
      <c r="F2607">
        <v>27.99</v>
      </c>
      <c r="G2607">
        <v>22.03</v>
      </c>
      <c r="H2607" t="s">
        <v>17</v>
      </c>
      <c r="I2607" t="str">
        <f>"061650002086"</f>
        <v>061650002086</v>
      </c>
    </row>
    <row r="2608" spans="1:9" x14ac:dyDescent="0.25">
      <c r="A2608" t="s">
        <v>2346</v>
      </c>
      <c r="B2608" t="s">
        <v>13</v>
      </c>
      <c r="C2608">
        <v>19.29</v>
      </c>
      <c r="D2608">
        <v>21.3</v>
      </c>
      <c r="E2608" t="s">
        <v>17</v>
      </c>
      <c r="F2608">
        <v>30.64</v>
      </c>
      <c r="G2608">
        <v>27.42</v>
      </c>
      <c r="H2608" t="s">
        <v>17</v>
      </c>
      <c r="I2608" t="str">
        <f>"063462005792"</f>
        <v>063462005792</v>
      </c>
    </row>
    <row r="2609" spans="1:9" x14ac:dyDescent="0.25">
      <c r="A2609" t="s">
        <v>2347</v>
      </c>
      <c r="B2609" t="s">
        <v>13</v>
      </c>
      <c r="C2609">
        <v>16</v>
      </c>
      <c r="D2609">
        <v>17.5</v>
      </c>
      <c r="E2609" t="s">
        <v>17</v>
      </c>
      <c r="F2609">
        <v>30.81</v>
      </c>
      <c r="G2609">
        <v>29.94</v>
      </c>
      <c r="H2609" t="s">
        <v>17</v>
      </c>
      <c r="I2609" t="str">
        <f>"063384005236"</f>
        <v>063384005236</v>
      </c>
    </row>
    <row r="2610" spans="1:9" x14ac:dyDescent="0.25">
      <c r="A2610" t="s">
        <v>2347</v>
      </c>
      <c r="B2610" t="s">
        <v>13</v>
      </c>
      <c r="C2610">
        <v>35</v>
      </c>
      <c r="D2610">
        <v>35.200000000000003</v>
      </c>
      <c r="E2610" t="s">
        <v>17</v>
      </c>
      <c r="F2610">
        <v>25.26</v>
      </c>
      <c r="G2610">
        <v>24.4</v>
      </c>
      <c r="H2610" t="s">
        <v>17</v>
      </c>
      <c r="I2610" t="str">
        <f>"060002712001"</f>
        <v>060002712001</v>
      </c>
    </row>
    <row r="2611" spans="1:9" x14ac:dyDescent="0.25">
      <c r="A2611" t="s">
        <v>2347</v>
      </c>
      <c r="B2611" t="s">
        <v>13</v>
      </c>
      <c r="C2611">
        <v>21</v>
      </c>
      <c r="D2611">
        <v>21</v>
      </c>
      <c r="E2611" t="s">
        <v>17</v>
      </c>
      <c r="F2611">
        <v>24.14</v>
      </c>
      <c r="G2611">
        <v>24.1</v>
      </c>
      <c r="H2611" t="s">
        <v>17</v>
      </c>
      <c r="I2611" t="str">
        <f>"061488001887"</f>
        <v>061488001887</v>
      </c>
    </row>
    <row r="2612" spans="1:9" x14ac:dyDescent="0.25">
      <c r="A2612" t="s">
        <v>2348</v>
      </c>
      <c r="B2612" t="s">
        <v>13</v>
      </c>
      <c r="C2612">
        <v>35.31</v>
      </c>
      <c r="D2612">
        <v>31.28</v>
      </c>
      <c r="E2612" t="s">
        <v>17</v>
      </c>
      <c r="F2612">
        <v>26.08</v>
      </c>
      <c r="G2612">
        <v>27.56</v>
      </c>
      <c r="H2612" t="s">
        <v>17</v>
      </c>
      <c r="I2612" t="str">
        <f>"060639003104"</f>
        <v>060639003104</v>
      </c>
    </row>
    <row r="2613" spans="1:9" x14ac:dyDescent="0.25">
      <c r="A2613" t="s">
        <v>2349</v>
      </c>
      <c r="B2613" t="s">
        <v>13</v>
      </c>
      <c r="C2613">
        <v>27.4</v>
      </c>
      <c r="D2613">
        <v>27.4</v>
      </c>
      <c r="E2613" t="s">
        <v>17</v>
      </c>
      <c r="F2613">
        <v>25.36</v>
      </c>
      <c r="G2613">
        <v>25.58</v>
      </c>
      <c r="H2613" t="s">
        <v>17</v>
      </c>
      <c r="I2613" t="str">
        <f>"063438005575"</f>
        <v>063438005575</v>
      </c>
    </row>
    <row r="2614" spans="1:9" x14ac:dyDescent="0.25">
      <c r="A2614" t="s">
        <v>2350</v>
      </c>
      <c r="B2614" t="s">
        <v>13</v>
      </c>
      <c r="C2614">
        <v>51.33</v>
      </c>
      <c r="D2614">
        <v>53.8</v>
      </c>
      <c r="E2614" t="s">
        <v>17</v>
      </c>
      <c r="F2614">
        <v>22.01</v>
      </c>
      <c r="G2614">
        <v>22.14</v>
      </c>
      <c r="H2614" t="s">
        <v>17</v>
      </c>
      <c r="I2614" t="str">
        <f>"060004707399"</f>
        <v>060004707399</v>
      </c>
    </row>
    <row r="2615" spans="1:9" x14ac:dyDescent="0.25">
      <c r="A2615" t="s">
        <v>2351</v>
      </c>
      <c r="B2615" t="s">
        <v>13</v>
      </c>
      <c r="C2615" t="str">
        <f>"0.70"</f>
        <v>0.70</v>
      </c>
      <c r="D2615" t="str">
        <f>"0.70"</f>
        <v>0.70</v>
      </c>
      <c r="E2615" t="s">
        <v>17</v>
      </c>
      <c r="F2615">
        <v>14.29</v>
      </c>
      <c r="G2615">
        <v>7.14</v>
      </c>
      <c r="H2615" t="s">
        <v>17</v>
      </c>
      <c r="I2615" t="str">
        <f>"061176011367"</f>
        <v>061176011367</v>
      </c>
    </row>
    <row r="2616" spans="1:9" x14ac:dyDescent="0.25">
      <c r="A2616" t="s">
        <v>2352</v>
      </c>
      <c r="B2616" t="s">
        <v>13</v>
      </c>
      <c r="C2616">
        <v>27.1</v>
      </c>
      <c r="D2616">
        <v>30</v>
      </c>
      <c r="E2616" t="s">
        <v>17</v>
      </c>
      <c r="F2616">
        <v>24.1</v>
      </c>
      <c r="G2616">
        <v>21.27</v>
      </c>
      <c r="H2616" t="s">
        <v>17</v>
      </c>
      <c r="I2616" t="str">
        <f>"061176001297"</f>
        <v>061176001297</v>
      </c>
    </row>
    <row r="2617" spans="1:9" x14ac:dyDescent="0.25">
      <c r="A2617" t="s">
        <v>2353</v>
      </c>
      <c r="B2617" t="s">
        <v>13</v>
      </c>
      <c r="C2617">
        <v>26.2</v>
      </c>
      <c r="D2617">
        <v>28.2</v>
      </c>
      <c r="E2617" t="s">
        <v>17</v>
      </c>
      <c r="F2617">
        <v>21.15</v>
      </c>
      <c r="G2617">
        <v>20.350000000000001</v>
      </c>
      <c r="H2617" t="s">
        <v>17</v>
      </c>
      <c r="I2617" t="str">
        <f>"061176001298"</f>
        <v>061176001298</v>
      </c>
    </row>
    <row r="2618" spans="1:9" x14ac:dyDescent="0.25">
      <c r="A2618" t="s">
        <v>2354</v>
      </c>
      <c r="B2618" t="s">
        <v>13</v>
      </c>
      <c r="C2618" t="s">
        <v>17</v>
      </c>
      <c r="D2618" t="s">
        <v>17</v>
      </c>
      <c r="E2618" t="s">
        <v>14</v>
      </c>
      <c r="F2618" t="s">
        <v>17</v>
      </c>
      <c r="G2618" t="s">
        <v>17</v>
      </c>
      <c r="H2618" t="s">
        <v>14</v>
      </c>
      <c r="I2618" t="str">
        <f>"062088012836"</f>
        <v>062088012836</v>
      </c>
    </row>
    <row r="2619" spans="1:9" x14ac:dyDescent="0.25">
      <c r="A2619" t="s">
        <v>2355</v>
      </c>
      <c r="B2619" t="s">
        <v>13</v>
      </c>
      <c r="C2619" t="s">
        <v>17</v>
      </c>
      <c r="D2619" t="s">
        <v>17</v>
      </c>
      <c r="E2619" t="s">
        <v>17</v>
      </c>
      <c r="F2619" t="s">
        <v>17</v>
      </c>
      <c r="G2619" t="s">
        <v>17</v>
      </c>
      <c r="H2619" t="s">
        <v>17</v>
      </c>
      <c r="I2619" t="str">
        <f>"068450012137"</f>
        <v>068450012137</v>
      </c>
    </row>
    <row r="2620" spans="1:9" x14ac:dyDescent="0.25">
      <c r="A2620" t="s">
        <v>2356</v>
      </c>
      <c r="B2620" t="s">
        <v>13</v>
      </c>
      <c r="C2620" t="s">
        <v>17</v>
      </c>
      <c r="D2620" t="s">
        <v>14</v>
      </c>
      <c r="E2620" t="s">
        <v>14</v>
      </c>
      <c r="F2620" t="s">
        <v>17</v>
      </c>
      <c r="G2620" t="s">
        <v>14</v>
      </c>
      <c r="H2620" t="s">
        <v>14</v>
      </c>
      <c r="I2620" t="str">
        <f>"062271013434"</f>
        <v>062271013434</v>
      </c>
    </row>
    <row r="2621" spans="1:9" x14ac:dyDescent="0.25">
      <c r="A2621" t="s">
        <v>2357</v>
      </c>
      <c r="B2621" t="s">
        <v>13</v>
      </c>
      <c r="C2621">
        <v>10.57</v>
      </c>
      <c r="D2621">
        <v>11</v>
      </c>
      <c r="E2621" t="s">
        <v>17</v>
      </c>
      <c r="F2621">
        <v>25.35</v>
      </c>
      <c r="G2621">
        <v>21.55</v>
      </c>
      <c r="H2621" t="s">
        <v>17</v>
      </c>
      <c r="I2621" t="str">
        <f>"062724011702"</f>
        <v>062724011702</v>
      </c>
    </row>
    <row r="2622" spans="1:9" x14ac:dyDescent="0.25">
      <c r="A2622" t="s">
        <v>2358</v>
      </c>
      <c r="B2622" t="s">
        <v>13</v>
      </c>
      <c r="C2622" t="s">
        <v>17</v>
      </c>
      <c r="D2622" t="s">
        <v>17</v>
      </c>
      <c r="E2622" t="s">
        <v>14</v>
      </c>
      <c r="F2622" t="s">
        <v>17</v>
      </c>
      <c r="G2622" t="s">
        <v>17</v>
      </c>
      <c r="H2622" t="s">
        <v>14</v>
      </c>
      <c r="I2622" t="str">
        <f>"061218012841"</f>
        <v>061218012841</v>
      </c>
    </row>
    <row r="2623" spans="1:9" x14ac:dyDescent="0.25">
      <c r="A2623" t="s">
        <v>2359</v>
      </c>
      <c r="B2623" t="s">
        <v>13</v>
      </c>
      <c r="C2623">
        <v>18.899999999999999</v>
      </c>
      <c r="D2623">
        <v>19.649999999999999</v>
      </c>
      <c r="E2623" t="s">
        <v>17</v>
      </c>
      <c r="F2623">
        <v>31.16</v>
      </c>
      <c r="G2623">
        <v>27.07</v>
      </c>
      <c r="H2623" t="s">
        <v>17</v>
      </c>
      <c r="I2623" t="str">
        <f>"061674002109"</f>
        <v>061674002109</v>
      </c>
    </row>
    <row r="2624" spans="1:9" x14ac:dyDescent="0.25">
      <c r="A2624" t="s">
        <v>2360</v>
      </c>
      <c r="B2624" t="s">
        <v>13</v>
      </c>
      <c r="C2624">
        <v>24.67</v>
      </c>
      <c r="D2624">
        <v>25.67</v>
      </c>
      <c r="E2624" t="s">
        <v>17</v>
      </c>
      <c r="F2624">
        <v>23.88</v>
      </c>
      <c r="G2624">
        <v>24.31</v>
      </c>
      <c r="H2624" t="s">
        <v>17</v>
      </c>
      <c r="I2624" t="str">
        <f>"062211002623"</f>
        <v>062211002623</v>
      </c>
    </row>
    <row r="2625" spans="1:9" x14ac:dyDescent="0.25">
      <c r="A2625" t="s">
        <v>2361</v>
      </c>
      <c r="B2625" t="s">
        <v>13</v>
      </c>
      <c r="C2625">
        <v>92.77</v>
      </c>
      <c r="D2625">
        <v>87.89</v>
      </c>
      <c r="E2625" t="s">
        <v>17</v>
      </c>
      <c r="F2625">
        <v>23.36</v>
      </c>
      <c r="G2625">
        <v>25.55</v>
      </c>
      <c r="H2625" t="s">
        <v>17</v>
      </c>
      <c r="I2625" t="str">
        <f>"061954002343"</f>
        <v>061954002343</v>
      </c>
    </row>
    <row r="2626" spans="1:9" x14ac:dyDescent="0.25">
      <c r="A2626" t="s">
        <v>2362</v>
      </c>
      <c r="B2626" t="s">
        <v>13</v>
      </c>
      <c r="C2626">
        <v>11.42</v>
      </c>
      <c r="D2626">
        <v>13.53</v>
      </c>
      <c r="E2626" t="s">
        <v>17</v>
      </c>
      <c r="F2626">
        <v>25.48</v>
      </c>
      <c r="G2626">
        <v>23.28</v>
      </c>
      <c r="H2626" t="s">
        <v>17</v>
      </c>
      <c r="I2626" t="str">
        <f>"063471011567"</f>
        <v>063471011567</v>
      </c>
    </row>
    <row r="2627" spans="1:9" x14ac:dyDescent="0.25">
      <c r="A2627" t="s">
        <v>2363</v>
      </c>
      <c r="B2627" t="s">
        <v>13</v>
      </c>
      <c r="C2627" t="s">
        <v>17</v>
      </c>
      <c r="D2627" t="s">
        <v>17</v>
      </c>
      <c r="E2627" t="s">
        <v>17</v>
      </c>
      <c r="F2627" t="s">
        <v>17</v>
      </c>
      <c r="G2627" t="s">
        <v>17</v>
      </c>
      <c r="H2627" t="s">
        <v>17</v>
      </c>
      <c r="I2627" t="str">
        <f>"060008810734"</f>
        <v>060008810734</v>
      </c>
    </row>
    <row r="2628" spans="1:9" x14ac:dyDescent="0.25">
      <c r="A2628" t="s">
        <v>2364</v>
      </c>
      <c r="B2628" t="s">
        <v>13</v>
      </c>
      <c r="C2628" t="s">
        <v>14</v>
      </c>
      <c r="D2628">
        <v>13</v>
      </c>
      <c r="E2628" t="s">
        <v>17</v>
      </c>
      <c r="F2628" t="s">
        <v>17</v>
      </c>
      <c r="G2628">
        <v>25.92</v>
      </c>
      <c r="H2628" t="s">
        <v>17</v>
      </c>
      <c r="I2628" t="str">
        <f>"060999001085"</f>
        <v>060999001085</v>
      </c>
    </row>
    <row r="2629" spans="1:9" x14ac:dyDescent="0.25">
      <c r="A2629" t="s">
        <v>2365</v>
      </c>
      <c r="B2629" t="s">
        <v>13</v>
      </c>
      <c r="C2629">
        <v>3.2</v>
      </c>
      <c r="D2629">
        <v>3.5</v>
      </c>
      <c r="E2629" t="s">
        <v>17</v>
      </c>
      <c r="F2629">
        <v>7.19</v>
      </c>
      <c r="G2629">
        <v>10.57</v>
      </c>
      <c r="H2629" t="s">
        <v>17</v>
      </c>
      <c r="I2629" t="str">
        <f>"062079011230"</f>
        <v>062079011230</v>
      </c>
    </row>
    <row r="2630" spans="1:9" x14ac:dyDescent="0.25">
      <c r="A2630" t="s">
        <v>2366</v>
      </c>
      <c r="B2630" t="s">
        <v>13</v>
      </c>
      <c r="C2630">
        <v>18</v>
      </c>
      <c r="D2630">
        <v>19</v>
      </c>
      <c r="E2630" t="s">
        <v>17</v>
      </c>
      <c r="F2630">
        <v>6.28</v>
      </c>
      <c r="G2630">
        <v>6.16</v>
      </c>
      <c r="H2630" t="s">
        <v>17</v>
      </c>
      <c r="I2630" t="str">
        <f>"069100510750"</f>
        <v>069100510750</v>
      </c>
    </row>
    <row r="2631" spans="1:9" x14ac:dyDescent="0.25">
      <c r="A2631" t="s">
        <v>2367</v>
      </c>
      <c r="B2631" t="s">
        <v>13</v>
      </c>
      <c r="C2631">
        <v>21.4</v>
      </c>
      <c r="D2631">
        <v>25</v>
      </c>
      <c r="E2631" t="s">
        <v>17</v>
      </c>
      <c r="F2631">
        <v>28.55</v>
      </c>
      <c r="G2631">
        <v>25.64</v>
      </c>
      <c r="H2631" t="s">
        <v>17</v>
      </c>
      <c r="I2631" t="str">
        <f>"061296003846"</f>
        <v>061296003846</v>
      </c>
    </row>
    <row r="2632" spans="1:9" x14ac:dyDescent="0.25">
      <c r="A2632" t="s">
        <v>2368</v>
      </c>
      <c r="B2632" t="s">
        <v>13</v>
      </c>
      <c r="C2632">
        <v>4</v>
      </c>
      <c r="D2632">
        <v>4</v>
      </c>
      <c r="E2632" t="s">
        <v>17</v>
      </c>
      <c r="F2632">
        <v>17.25</v>
      </c>
      <c r="G2632">
        <v>18.5</v>
      </c>
      <c r="H2632" t="s">
        <v>17</v>
      </c>
      <c r="I2632" t="str">
        <f>"061419001619"</f>
        <v>061419001619</v>
      </c>
    </row>
    <row r="2633" spans="1:9" x14ac:dyDescent="0.25">
      <c r="A2633" t="s">
        <v>2369</v>
      </c>
      <c r="B2633" t="s">
        <v>13</v>
      </c>
      <c r="C2633">
        <v>10</v>
      </c>
      <c r="D2633">
        <v>9.1999999999999993</v>
      </c>
      <c r="E2633" t="s">
        <v>17</v>
      </c>
      <c r="F2633">
        <v>7.3</v>
      </c>
      <c r="G2633">
        <v>7.28</v>
      </c>
      <c r="H2633" t="s">
        <v>17</v>
      </c>
      <c r="I2633" t="str">
        <f>"063864012173"</f>
        <v>063864012173</v>
      </c>
    </row>
    <row r="2634" spans="1:9" x14ac:dyDescent="0.25">
      <c r="A2634" t="s">
        <v>2370</v>
      </c>
      <c r="B2634" t="s">
        <v>13</v>
      </c>
      <c r="C2634">
        <v>9.5</v>
      </c>
      <c r="D2634">
        <v>11.2</v>
      </c>
      <c r="E2634" t="s">
        <v>17</v>
      </c>
      <c r="F2634">
        <v>23.16</v>
      </c>
      <c r="G2634">
        <v>20</v>
      </c>
      <c r="H2634" t="s">
        <v>17</v>
      </c>
      <c r="I2634" t="str">
        <f>"062007002400"</f>
        <v>062007002400</v>
      </c>
    </row>
    <row r="2635" spans="1:9" x14ac:dyDescent="0.25">
      <c r="A2635" t="s">
        <v>2371</v>
      </c>
      <c r="B2635" t="s">
        <v>13</v>
      </c>
      <c r="C2635">
        <v>23</v>
      </c>
      <c r="D2635">
        <v>22</v>
      </c>
      <c r="E2635" t="s">
        <v>17</v>
      </c>
      <c r="F2635">
        <v>11.61</v>
      </c>
      <c r="G2635">
        <v>11.59</v>
      </c>
      <c r="H2635" t="s">
        <v>17</v>
      </c>
      <c r="I2635" t="str">
        <f>"069107808006"</f>
        <v>069107808006</v>
      </c>
    </row>
    <row r="2636" spans="1:9" x14ac:dyDescent="0.25">
      <c r="A2636" t="s">
        <v>2372</v>
      </c>
      <c r="B2636" t="s">
        <v>13</v>
      </c>
      <c r="C2636">
        <v>17.600000000000001</v>
      </c>
      <c r="D2636">
        <v>17.5</v>
      </c>
      <c r="E2636" t="s">
        <v>17</v>
      </c>
      <c r="F2636">
        <v>19.09</v>
      </c>
      <c r="G2636">
        <v>18.57</v>
      </c>
      <c r="H2636" t="s">
        <v>17</v>
      </c>
      <c r="I2636" t="str">
        <f>"061178001299"</f>
        <v>061178001299</v>
      </c>
    </row>
    <row r="2637" spans="1:9" x14ac:dyDescent="0.25">
      <c r="A2637" t="s">
        <v>2373</v>
      </c>
      <c r="B2637" t="s">
        <v>13</v>
      </c>
      <c r="C2637">
        <v>8</v>
      </c>
      <c r="D2637">
        <v>7</v>
      </c>
      <c r="E2637" t="s">
        <v>17</v>
      </c>
      <c r="F2637">
        <v>16</v>
      </c>
      <c r="G2637">
        <v>16.29</v>
      </c>
      <c r="H2637" t="s">
        <v>17</v>
      </c>
      <c r="I2637" t="str">
        <f>"062805011338"</f>
        <v>062805011338</v>
      </c>
    </row>
    <row r="2638" spans="1:9" x14ac:dyDescent="0.25">
      <c r="A2638" t="s">
        <v>2374</v>
      </c>
      <c r="B2638" t="s">
        <v>13</v>
      </c>
      <c r="C2638">
        <v>4</v>
      </c>
      <c r="D2638">
        <v>4</v>
      </c>
      <c r="E2638" t="s">
        <v>17</v>
      </c>
      <c r="F2638">
        <v>13.75</v>
      </c>
      <c r="G2638">
        <v>15</v>
      </c>
      <c r="H2638" t="s">
        <v>17</v>
      </c>
      <c r="I2638" t="str">
        <f>"062805012052"</f>
        <v>062805012052</v>
      </c>
    </row>
    <row r="2639" spans="1:9" x14ac:dyDescent="0.25">
      <c r="A2639" t="s">
        <v>2375</v>
      </c>
      <c r="B2639" t="s">
        <v>13</v>
      </c>
      <c r="C2639">
        <v>19</v>
      </c>
      <c r="D2639">
        <v>22</v>
      </c>
      <c r="E2639" t="s">
        <v>17</v>
      </c>
      <c r="F2639">
        <v>24.84</v>
      </c>
      <c r="G2639">
        <v>19.95</v>
      </c>
      <c r="H2639" t="s">
        <v>17</v>
      </c>
      <c r="I2639" t="str">
        <f>"062805012059"</f>
        <v>062805012059</v>
      </c>
    </row>
    <row r="2640" spans="1:9" x14ac:dyDescent="0.25">
      <c r="A2640" t="s">
        <v>2376</v>
      </c>
      <c r="B2640" t="s">
        <v>13</v>
      </c>
      <c r="C2640" t="s">
        <v>14</v>
      </c>
      <c r="D2640">
        <v>10.36</v>
      </c>
      <c r="E2640" t="s">
        <v>17</v>
      </c>
      <c r="F2640" t="s">
        <v>17</v>
      </c>
      <c r="G2640">
        <v>17.86</v>
      </c>
      <c r="H2640" t="s">
        <v>17</v>
      </c>
      <c r="I2640" t="str">
        <f>"062805010550"</f>
        <v>062805010550</v>
      </c>
    </row>
    <row r="2641" spans="1:9" x14ac:dyDescent="0.25">
      <c r="A2641" t="s">
        <v>2377</v>
      </c>
      <c r="B2641" t="s">
        <v>13</v>
      </c>
      <c r="C2641">
        <v>17.57</v>
      </c>
      <c r="D2641" t="s">
        <v>14</v>
      </c>
      <c r="E2641" t="s">
        <v>14</v>
      </c>
      <c r="F2641">
        <v>13.83</v>
      </c>
      <c r="G2641" t="s">
        <v>14</v>
      </c>
      <c r="H2641" t="s">
        <v>14</v>
      </c>
      <c r="I2641" t="str">
        <f>"063639011431"</f>
        <v>063639011431</v>
      </c>
    </row>
    <row r="2642" spans="1:9" x14ac:dyDescent="0.25">
      <c r="A2642" t="s">
        <v>2378</v>
      </c>
      <c r="B2642" t="s">
        <v>13</v>
      </c>
      <c r="C2642" t="s">
        <v>14</v>
      </c>
      <c r="D2642" t="s">
        <v>14</v>
      </c>
      <c r="E2642" t="s">
        <v>17</v>
      </c>
      <c r="F2642" t="s">
        <v>14</v>
      </c>
      <c r="G2642" t="s">
        <v>14</v>
      </c>
      <c r="H2642" t="s">
        <v>17</v>
      </c>
      <c r="I2642" t="str">
        <f>"069103012062"</f>
        <v>069103012062</v>
      </c>
    </row>
    <row r="2643" spans="1:9" x14ac:dyDescent="0.25">
      <c r="A2643" t="s">
        <v>2379</v>
      </c>
      <c r="B2643" t="s">
        <v>13</v>
      </c>
      <c r="C2643">
        <v>6</v>
      </c>
      <c r="D2643">
        <v>8</v>
      </c>
      <c r="E2643" t="s">
        <v>14</v>
      </c>
      <c r="F2643">
        <v>18</v>
      </c>
      <c r="G2643">
        <v>16</v>
      </c>
      <c r="H2643" t="s">
        <v>14</v>
      </c>
      <c r="I2643" t="str">
        <f>"069103012912"</f>
        <v>069103012912</v>
      </c>
    </row>
    <row r="2644" spans="1:9" x14ac:dyDescent="0.25">
      <c r="A2644" t="s">
        <v>2380</v>
      </c>
      <c r="B2644" t="s">
        <v>13</v>
      </c>
      <c r="C2644">
        <v>5</v>
      </c>
      <c r="D2644">
        <v>8</v>
      </c>
      <c r="E2644" t="s">
        <v>14</v>
      </c>
      <c r="F2644">
        <v>25</v>
      </c>
      <c r="G2644">
        <v>16.38</v>
      </c>
      <c r="H2644" t="s">
        <v>14</v>
      </c>
      <c r="I2644" t="str">
        <f>"069103012873"</f>
        <v>069103012873</v>
      </c>
    </row>
    <row r="2645" spans="1:9" x14ac:dyDescent="0.25">
      <c r="A2645" t="s">
        <v>2381</v>
      </c>
      <c r="B2645" t="s">
        <v>13</v>
      </c>
      <c r="C2645">
        <v>4</v>
      </c>
      <c r="D2645">
        <v>4</v>
      </c>
      <c r="E2645" t="s">
        <v>17</v>
      </c>
      <c r="F2645">
        <v>15</v>
      </c>
      <c r="G2645">
        <v>15</v>
      </c>
      <c r="H2645" t="s">
        <v>17</v>
      </c>
      <c r="I2645" t="str">
        <f>"069103012148"</f>
        <v>069103012148</v>
      </c>
    </row>
    <row r="2646" spans="1:9" x14ac:dyDescent="0.25">
      <c r="A2646" t="s">
        <v>2382</v>
      </c>
      <c r="B2646" t="s">
        <v>13</v>
      </c>
      <c r="C2646" t="s">
        <v>17</v>
      </c>
      <c r="D2646" t="s">
        <v>17</v>
      </c>
      <c r="E2646" t="s">
        <v>17</v>
      </c>
      <c r="F2646" t="s">
        <v>17</v>
      </c>
      <c r="G2646" t="s">
        <v>17</v>
      </c>
      <c r="H2646" t="s">
        <v>17</v>
      </c>
      <c r="I2646" t="str">
        <f>"060010510918"</f>
        <v>060010510918</v>
      </c>
    </row>
    <row r="2647" spans="1:9" x14ac:dyDescent="0.25">
      <c r="A2647" t="s">
        <v>2383</v>
      </c>
      <c r="B2647" t="s">
        <v>13</v>
      </c>
      <c r="C2647">
        <v>4.05</v>
      </c>
      <c r="D2647">
        <v>4.05</v>
      </c>
      <c r="E2647" t="s">
        <v>17</v>
      </c>
      <c r="F2647">
        <v>20.99</v>
      </c>
      <c r="G2647">
        <v>20.99</v>
      </c>
      <c r="H2647" t="s">
        <v>17</v>
      </c>
      <c r="I2647" t="str">
        <f>"060006210697"</f>
        <v>060006210697</v>
      </c>
    </row>
    <row r="2648" spans="1:9" x14ac:dyDescent="0.25">
      <c r="A2648" t="s">
        <v>2384</v>
      </c>
      <c r="B2648" t="s">
        <v>13</v>
      </c>
      <c r="C2648">
        <v>66.06</v>
      </c>
      <c r="D2648">
        <v>65.02</v>
      </c>
      <c r="E2648" t="s">
        <v>17</v>
      </c>
      <c r="F2648">
        <v>23.25</v>
      </c>
      <c r="G2648">
        <v>22.52</v>
      </c>
      <c r="H2648" t="s">
        <v>17</v>
      </c>
      <c r="I2648" t="str">
        <f>"062361003577"</f>
        <v>062361003577</v>
      </c>
    </row>
    <row r="2649" spans="1:9" x14ac:dyDescent="0.25">
      <c r="A2649" t="s">
        <v>2385</v>
      </c>
      <c r="B2649" t="s">
        <v>13</v>
      </c>
      <c r="C2649">
        <v>10</v>
      </c>
      <c r="D2649">
        <v>10</v>
      </c>
      <c r="E2649" t="s">
        <v>17</v>
      </c>
      <c r="F2649">
        <v>16.399999999999999</v>
      </c>
      <c r="G2649">
        <v>14.8</v>
      </c>
      <c r="H2649" t="s">
        <v>17</v>
      </c>
      <c r="I2649" t="str">
        <f>"069102908286"</f>
        <v>069102908286</v>
      </c>
    </row>
    <row r="2650" spans="1:9" x14ac:dyDescent="0.25">
      <c r="A2650" t="s">
        <v>2386</v>
      </c>
      <c r="B2650" t="s">
        <v>13</v>
      </c>
      <c r="C2650" t="s">
        <v>14</v>
      </c>
      <c r="D2650" t="s">
        <v>17</v>
      </c>
      <c r="E2650" t="s">
        <v>17</v>
      </c>
      <c r="F2650" t="s">
        <v>17</v>
      </c>
      <c r="G2650" t="s">
        <v>17</v>
      </c>
      <c r="H2650" t="s">
        <v>17</v>
      </c>
      <c r="I2650" t="str">
        <f>"060522010416"</f>
        <v>060522010416</v>
      </c>
    </row>
    <row r="2651" spans="1:9" x14ac:dyDescent="0.25">
      <c r="A2651" t="s">
        <v>2387</v>
      </c>
      <c r="B2651" t="s">
        <v>13</v>
      </c>
      <c r="C2651" t="s">
        <v>14</v>
      </c>
      <c r="D2651" t="s">
        <v>17</v>
      </c>
      <c r="E2651" t="s">
        <v>17</v>
      </c>
      <c r="F2651" t="s">
        <v>17</v>
      </c>
      <c r="G2651" t="s">
        <v>17</v>
      </c>
      <c r="H2651" t="s">
        <v>17</v>
      </c>
      <c r="I2651" t="str">
        <f>"060522010415"</f>
        <v>060522010415</v>
      </c>
    </row>
    <row r="2652" spans="1:9" x14ac:dyDescent="0.25">
      <c r="A2652" t="s">
        <v>2388</v>
      </c>
      <c r="B2652" t="s">
        <v>13</v>
      </c>
      <c r="C2652">
        <v>41.5</v>
      </c>
      <c r="D2652">
        <v>40.04</v>
      </c>
      <c r="E2652" t="s">
        <v>17</v>
      </c>
      <c r="F2652">
        <v>22.05</v>
      </c>
      <c r="G2652">
        <v>25.07</v>
      </c>
      <c r="H2652" t="s">
        <v>17</v>
      </c>
      <c r="I2652" t="str">
        <f>"062271011651"</f>
        <v>062271011651</v>
      </c>
    </row>
    <row r="2653" spans="1:9" x14ac:dyDescent="0.25">
      <c r="A2653" t="s">
        <v>2389</v>
      </c>
      <c r="B2653" t="s">
        <v>13</v>
      </c>
      <c r="C2653">
        <v>51.88</v>
      </c>
      <c r="D2653">
        <v>49.62</v>
      </c>
      <c r="E2653" t="s">
        <v>17</v>
      </c>
      <c r="F2653">
        <v>24.48</v>
      </c>
      <c r="G2653">
        <v>23.44</v>
      </c>
      <c r="H2653" t="s">
        <v>17</v>
      </c>
      <c r="I2653" t="str">
        <f>"061185001312"</f>
        <v>061185001312</v>
      </c>
    </row>
    <row r="2654" spans="1:9" x14ac:dyDescent="0.25">
      <c r="A2654" t="s">
        <v>2390</v>
      </c>
      <c r="B2654" t="s">
        <v>13</v>
      </c>
      <c r="C2654">
        <v>20.28</v>
      </c>
      <c r="D2654">
        <v>19.600000000000001</v>
      </c>
      <c r="E2654" t="s">
        <v>17</v>
      </c>
      <c r="F2654">
        <v>19.670000000000002</v>
      </c>
      <c r="G2654">
        <v>18.98</v>
      </c>
      <c r="H2654" t="s">
        <v>17</v>
      </c>
      <c r="I2654" t="str">
        <f>"062724008244"</f>
        <v>062724008244</v>
      </c>
    </row>
    <row r="2655" spans="1:9" x14ac:dyDescent="0.25">
      <c r="A2655" t="s">
        <v>2391</v>
      </c>
      <c r="B2655" t="s">
        <v>13</v>
      </c>
      <c r="C2655">
        <v>46.33</v>
      </c>
      <c r="D2655">
        <v>43</v>
      </c>
      <c r="E2655" t="s">
        <v>17</v>
      </c>
      <c r="F2655">
        <v>20.14</v>
      </c>
      <c r="G2655">
        <v>20.58</v>
      </c>
      <c r="H2655" t="s">
        <v>17</v>
      </c>
      <c r="I2655" t="str">
        <f>"062577003854"</f>
        <v>062577003854</v>
      </c>
    </row>
    <row r="2656" spans="1:9" x14ac:dyDescent="0.25">
      <c r="A2656" t="s">
        <v>2392</v>
      </c>
      <c r="B2656" t="s">
        <v>13</v>
      </c>
      <c r="C2656">
        <v>24</v>
      </c>
      <c r="D2656">
        <v>23.01</v>
      </c>
      <c r="E2656" t="s">
        <v>17</v>
      </c>
      <c r="F2656">
        <v>28.67</v>
      </c>
      <c r="G2656">
        <v>27.86</v>
      </c>
      <c r="H2656" t="s">
        <v>17</v>
      </c>
      <c r="I2656" t="str">
        <f>"061455001721"</f>
        <v>061455001721</v>
      </c>
    </row>
    <row r="2657" spans="1:9" x14ac:dyDescent="0.25">
      <c r="A2657" t="s">
        <v>2393</v>
      </c>
      <c r="B2657" t="s">
        <v>13</v>
      </c>
      <c r="C2657" t="s">
        <v>14</v>
      </c>
      <c r="D2657">
        <v>1</v>
      </c>
      <c r="E2657" t="s">
        <v>17</v>
      </c>
      <c r="F2657" t="s">
        <v>17</v>
      </c>
      <c r="G2657" t="s">
        <v>17</v>
      </c>
      <c r="H2657" t="s">
        <v>17</v>
      </c>
      <c r="I2657" t="str">
        <f>"069107808007"</f>
        <v>069107808007</v>
      </c>
    </row>
    <row r="2658" spans="1:9" x14ac:dyDescent="0.25">
      <c r="A2658" t="s">
        <v>2394</v>
      </c>
      <c r="B2658" t="s">
        <v>13</v>
      </c>
      <c r="C2658">
        <v>14.4</v>
      </c>
      <c r="D2658">
        <v>16</v>
      </c>
      <c r="E2658" t="s">
        <v>17</v>
      </c>
      <c r="F2658">
        <v>16.32</v>
      </c>
      <c r="G2658">
        <v>13.94</v>
      </c>
      <c r="H2658" t="s">
        <v>17</v>
      </c>
      <c r="I2658" t="str">
        <f>"062334012807"</f>
        <v>062334012807</v>
      </c>
    </row>
    <row r="2659" spans="1:9" x14ac:dyDescent="0.25">
      <c r="A2659" t="s">
        <v>2395</v>
      </c>
      <c r="B2659" t="s">
        <v>13</v>
      </c>
      <c r="C2659">
        <v>29</v>
      </c>
      <c r="D2659">
        <v>29</v>
      </c>
      <c r="E2659" t="s">
        <v>17</v>
      </c>
      <c r="F2659">
        <v>20.83</v>
      </c>
      <c r="G2659">
        <v>20.38</v>
      </c>
      <c r="H2659" t="s">
        <v>17</v>
      </c>
      <c r="I2659" t="str">
        <f>"060861009529"</f>
        <v>060861009529</v>
      </c>
    </row>
    <row r="2660" spans="1:9" x14ac:dyDescent="0.25">
      <c r="A2660" t="s">
        <v>2396</v>
      </c>
      <c r="B2660" t="s">
        <v>13</v>
      </c>
      <c r="C2660">
        <v>104.34</v>
      </c>
      <c r="D2660">
        <v>95.52</v>
      </c>
      <c r="E2660" t="s">
        <v>17</v>
      </c>
      <c r="F2660">
        <v>28.99</v>
      </c>
      <c r="G2660">
        <v>28.18</v>
      </c>
      <c r="H2660" t="s">
        <v>17</v>
      </c>
      <c r="I2660" t="str">
        <f>"063864001223"</f>
        <v>063864001223</v>
      </c>
    </row>
    <row r="2661" spans="1:9" x14ac:dyDescent="0.25">
      <c r="A2661" t="s">
        <v>2397</v>
      </c>
      <c r="B2661" t="s">
        <v>13</v>
      </c>
      <c r="C2661">
        <v>63.6</v>
      </c>
      <c r="D2661">
        <v>60.02</v>
      </c>
      <c r="E2661" t="s">
        <v>17</v>
      </c>
      <c r="F2661">
        <v>26.98</v>
      </c>
      <c r="G2661">
        <v>26.24</v>
      </c>
      <c r="H2661" t="s">
        <v>17</v>
      </c>
      <c r="I2661" t="str">
        <f>"063864011269"</f>
        <v>063864011269</v>
      </c>
    </row>
    <row r="2662" spans="1:9" x14ac:dyDescent="0.25">
      <c r="A2662" t="s">
        <v>2398</v>
      </c>
      <c r="B2662" t="s">
        <v>13</v>
      </c>
      <c r="C2662">
        <v>47</v>
      </c>
      <c r="D2662">
        <v>47.5</v>
      </c>
      <c r="E2662" t="s">
        <v>17</v>
      </c>
      <c r="F2662">
        <v>23.17</v>
      </c>
      <c r="G2662">
        <v>24.21</v>
      </c>
      <c r="H2662" t="s">
        <v>17</v>
      </c>
      <c r="I2662" t="str">
        <f>"062271002974"</f>
        <v>062271002974</v>
      </c>
    </row>
    <row r="2663" spans="1:9" x14ac:dyDescent="0.25">
      <c r="A2663" t="s">
        <v>2399</v>
      </c>
      <c r="B2663" t="s">
        <v>13</v>
      </c>
      <c r="C2663">
        <v>32.03</v>
      </c>
      <c r="D2663">
        <v>35.6</v>
      </c>
      <c r="E2663" t="s">
        <v>17</v>
      </c>
      <c r="F2663">
        <v>32.22</v>
      </c>
      <c r="G2663">
        <v>29.97</v>
      </c>
      <c r="H2663" t="s">
        <v>17</v>
      </c>
      <c r="I2663" t="str">
        <f>"062547003795"</f>
        <v>062547003795</v>
      </c>
    </row>
    <row r="2664" spans="1:9" x14ac:dyDescent="0.25">
      <c r="A2664" t="s">
        <v>2400</v>
      </c>
      <c r="B2664" t="s">
        <v>13</v>
      </c>
      <c r="C2664" t="s">
        <v>14</v>
      </c>
      <c r="D2664" t="s">
        <v>14</v>
      </c>
      <c r="E2664" t="s">
        <v>17</v>
      </c>
      <c r="F2664" t="s">
        <v>14</v>
      </c>
      <c r="G2664" t="s">
        <v>14</v>
      </c>
      <c r="H2664" t="s">
        <v>17</v>
      </c>
      <c r="I2664" t="str">
        <f>"064164010785"</f>
        <v>064164010785</v>
      </c>
    </row>
    <row r="2665" spans="1:9" x14ac:dyDescent="0.25">
      <c r="A2665" t="s">
        <v>2400</v>
      </c>
      <c r="B2665" t="s">
        <v>13</v>
      </c>
      <c r="C2665">
        <v>1.35</v>
      </c>
      <c r="D2665" t="str">
        <f>"0.85"</f>
        <v>0.85</v>
      </c>
      <c r="E2665" t="s">
        <v>14</v>
      </c>
      <c r="F2665">
        <v>8.15</v>
      </c>
      <c r="G2665">
        <v>17.649999999999999</v>
      </c>
      <c r="H2665" t="s">
        <v>14</v>
      </c>
      <c r="I2665" t="str">
        <f>"060141510785"</f>
        <v>060141510785</v>
      </c>
    </row>
    <row r="2666" spans="1:9" x14ac:dyDescent="0.25">
      <c r="A2666" t="s">
        <v>2401</v>
      </c>
      <c r="B2666" t="s">
        <v>13</v>
      </c>
      <c r="C2666">
        <v>1.37</v>
      </c>
      <c r="D2666">
        <v>1.55</v>
      </c>
      <c r="E2666" t="s">
        <v>14</v>
      </c>
      <c r="F2666">
        <v>14.6</v>
      </c>
      <c r="G2666">
        <v>14.84</v>
      </c>
      <c r="H2666" t="s">
        <v>14</v>
      </c>
      <c r="I2666" t="str">
        <f>"060141507896"</f>
        <v>060141507896</v>
      </c>
    </row>
    <row r="2667" spans="1:9" x14ac:dyDescent="0.25">
      <c r="A2667" t="s">
        <v>2401</v>
      </c>
      <c r="B2667" t="s">
        <v>13</v>
      </c>
      <c r="C2667" t="s">
        <v>14</v>
      </c>
      <c r="D2667" t="s">
        <v>14</v>
      </c>
      <c r="E2667" t="s">
        <v>17</v>
      </c>
      <c r="F2667" t="s">
        <v>14</v>
      </c>
      <c r="G2667" t="s">
        <v>14</v>
      </c>
      <c r="H2667" t="s">
        <v>17</v>
      </c>
      <c r="I2667" t="str">
        <f>"064164007896"</f>
        <v>064164007896</v>
      </c>
    </row>
    <row r="2668" spans="1:9" x14ac:dyDescent="0.25">
      <c r="A2668" t="s">
        <v>2402</v>
      </c>
      <c r="B2668" t="s">
        <v>13</v>
      </c>
      <c r="C2668">
        <v>20</v>
      </c>
      <c r="D2668">
        <v>18.600000000000001</v>
      </c>
      <c r="E2668" t="s">
        <v>17</v>
      </c>
      <c r="F2668">
        <v>30.9</v>
      </c>
      <c r="G2668">
        <v>31.24</v>
      </c>
      <c r="H2668" t="s">
        <v>17</v>
      </c>
      <c r="I2668" t="str">
        <f>"068450007055"</f>
        <v>068450007055</v>
      </c>
    </row>
    <row r="2669" spans="1:9" x14ac:dyDescent="0.25">
      <c r="A2669" t="s">
        <v>2403</v>
      </c>
      <c r="B2669" t="s">
        <v>13</v>
      </c>
      <c r="C2669">
        <v>1</v>
      </c>
      <c r="D2669">
        <v>1</v>
      </c>
      <c r="E2669" t="s">
        <v>17</v>
      </c>
      <c r="F2669">
        <v>6</v>
      </c>
      <c r="G2669">
        <v>12</v>
      </c>
      <c r="H2669" t="s">
        <v>17</v>
      </c>
      <c r="I2669" t="str">
        <f>"061191012703"</f>
        <v>061191012703</v>
      </c>
    </row>
    <row r="2670" spans="1:9" x14ac:dyDescent="0.25">
      <c r="A2670" t="s">
        <v>2404</v>
      </c>
      <c r="B2670" t="s">
        <v>13</v>
      </c>
      <c r="C2670">
        <v>36.01</v>
      </c>
      <c r="D2670">
        <v>38</v>
      </c>
      <c r="E2670" t="s">
        <v>17</v>
      </c>
      <c r="F2670">
        <v>23.27</v>
      </c>
      <c r="G2670">
        <v>22.76</v>
      </c>
      <c r="H2670" t="s">
        <v>17</v>
      </c>
      <c r="I2670" t="str">
        <f>"061191001329"</f>
        <v>061191001329</v>
      </c>
    </row>
    <row r="2671" spans="1:9" x14ac:dyDescent="0.25">
      <c r="A2671" t="s">
        <v>2405</v>
      </c>
      <c r="B2671" t="s">
        <v>13</v>
      </c>
      <c r="C2671">
        <v>102.7</v>
      </c>
      <c r="D2671">
        <v>104.7</v>
      </c>
      <c r="E2671" t="s">
        <v>17</v>
      </c>
      <c r="F2671">
        <v>23.68</v>
      </c>
      <c r="G2671">
        <v>23.22</v>
      </c>
      <c r="H2671" t="s">
        <v>17</v>
      </c>
      <c r="I2671" t="str">
        <f>"060282010823"</f>
        <v>060282010823</v>
      </c>
    </row>
    <row r="2672" spans="1:9" x14ac:dyDescent="0.25">
      <c r="A2672" t="s">
        <v>2406</v>
      </c>
      <c r="B2672" t="s">
        <v>13</v>
      </c>
      <c r="C2672">
        <v>51</v>
      </c>
      <c r="D2672">
        <v>51</v>
      </c>
      <c r="E2672" t="s">
        <v>17</v>
      </c>
      <c r="F2672">
        <v>27.82</v>
      </c>
      <c r="G2672">
        <v>27.04</v>
      </c>
      <c r="H2672" t="s">
        <v>17</v>
      </c>
      <c r="I2672" t="str">
        <f>"060985011711"</f>
        <v>060985011711</v>
      </c>
    </row>
    <row r="2673" spans="1:9" x14ac:dyDescent="0.25">
      <c r="A2673" t="s">
        <v>2407</v>
      </c>
      <c r="B2673" t="s">
        <v>13</v>
      </c>
      <c r="C2673">
        <v>20.5</v>
      </c>
      <c r="D2673">
        <v>22</v>
      </c>
      <c r="E2673" t="s">
        <v>17</v>
      </c>
      <c r="F2673">
        <v>25.9</v>
      </c>
      <c r="G2673">
        <v>24</v>
      </c>
      <c r="H2673" t="s">
        <v>17</v>
      </c>
      <c r="I2673" t="str">
        <f>"064215006905"</f>
        <v>064215006905</v>
      </c>
    </row>
    <row r="2674" spans="1:9" x14ac:dyDescent="0.25">
      <c r="A2674" t="s">
        <v>2407</v>
      </c>
      <c r="B2674" t="s">
        <v>13</v>
      </c>
      <c r="C2674">
        <v>19</v>
      </c>
      <c r="D2674">
        <v>17</v>
      </c>
      <c r="E2674" t="s">
        <v>17</v>
      </c>
      <c r="F2674">
        <v>26.21</v>
      </c>
      <c r="G2674">
        <v>29.41</v>
      </c>
      <c r="H2674" t="s">
        <v>17</v>
      </c>
      <c r="I2674" t="str">
        <f>"062769004160"</f>
        <v>062769004160</v>
      </c>
    </row>
    <row r="2675" spans="1:9" x14ac:dyDescent="0.25">
      <c r="A2675" t="s">
        <v>2408</v>
      </c>
      <c r="B2675" t="s">
        <v>13</v>
      </c>
      <c r="C2675">
        <v>16</v>
      </c>
      <c r="D2675">
        <v>17</v>
      </c>
      <c r="E2675" t="s">
        <v>17</v>
      </c>
      <c r="F2675">
        <v>24.13</v>
      </c>
      <c r="G2675">
        <v>24.06</v>
      </c>
      <c r="H2675" t="s">
        <v>17</v>
      </c>
      <c r="I2675" t="str">
        <f>"061455001722"</f>
        <v>061455001722</v>
      </c>
    </row>
    <row r="2676" spans="1:9" x14ac:dyDescent="0.25">
      <c r="A2676" t="s">
        <v>2409</v>
      </c>
      <c r="B2676" t="s">
        <v>13</v>
      </c>
      <c r="C2676" t="s">
        <v>14</v>
      </c>
      <c r="D2676" t="s">
        <v>14</v>
      </c>
      <c r="E2676" t="s">
        <v>17</v>
      </c>
      <c r="F2676" t="s">
        <v>14</v>
      </c>
      <c r="G2676" t="s">
        <v>14</v>
      </c>
      <c r="H2676" t="s">
        <v>17</v>
      </c>
      <c r="I2676" t="str">
        <f>"061071012272"</f>
        <v>061071012272</v>
      </c>
    </row>
    <row r="2677" spans="1:9" x14ac:dyDescent="0.25">
      <c r="A2677" t="s">
        <v>2410</v>
      </c>
      <c r="B2677" t="s">
        <v>13</v>
      </c>
      <c r="C2677">
        <v>8</v>
      </c>
      <c r="D2677">
        <v>6.5</v>
      </c>
      <c r="E2677" t="s">
        <v>14</v>
      </c>
      <c r="F2677">
        <v>25.25</v>
      </c>
      <c r="G2677">
        <v>25.85</v>
      </c>
      <c r="H2677" t="s">
        <v>14</v>
      </c>
      <c r="I2677" t="str">
        <f>"060015812929"</f>
        <v>060015812929</v>
      </c>
    </row>
    <row r="2678" spans="1:9" x14ac:dyDescent="0.25">
      <c r="A2678" t="s">
        <v>2411</v>
      </c>
      <c r="B2678" t="s">
        <v>13</v>
      </c>
      <c r="C2678">
        <v>21.5</v>
      </c>
      <c r="D2678">
        <v>19</v>
      </c>
      <c r="E2678" t="s">
        <v>17</v>
      </c>
      <c r="F2678">
        <v>23.81</v>
      </c>
      <c r="G2678">
        <v>27.42</v>
      </c>
      <c r="H2678" t="s">
        <v>17</v>
      </c>
      <c r="I2678" t="str">
        <f>"062759004141"</f>
        <v>062759004141</v>
      </c>
    </row>
    <row r="2679" spans="1:9" x14ac:dyDescent="0.25">
      <c r="A2679" t="s">
        <v>2412</v>
      </c>
      <c r="B2679" t="s">
        <v>13</v>
      </c>
      <c r="C2679" t="str">
        <f>"0.50"</f>
        <v>0.50</v>
      </c>
      <c r="D2679" t="str">
        <f>"0.50"</f>
        <v>0.50</v>
      </c>
      <c r="E2679" t="s">
        <v>17</v>
      </c>
      <c r="F2679">
        <v>38</v>
      </c>
      <c r="G2679">
        <v>14</v>
      </c>
      <c r="H2679" t="s">
        <v>17</v>
      </c>
      <c r="I2679" t="str">
        <f>"061932002323"</f>
        <v>061932002323</v>
      </c>
    </row>
    <row r="2680" spans="1:9" x14ac:dyDescent="0.25">
      <c r="A2680" t="s">
        <v>2413</v>
      </c>
      <c r="B2680" t="s">
        <v>13</v>
      </c>
      <c r="C2680" t="s">
        <v>17</v>
      </c>
      <c r="D2680" t="s">
        <v>17</v>
      </c>
      <c r="E2680" t="s">
        <v>17</v>
      </c>
      <c r="F2680" t="s">
        <v>17</v>
      </c>
      <c r="G2680" t="s">
        <v>17</v>
      </c>
      <c r="H2680" t="s">
        <v>17</v>
      </c>
      <c r="I2680" t="str">
        <f>"060008510732"</f>
        <v>060008510732</v>
      </c>
    </row>
    <row r="2681" spans="1:9" x14ac:dyDescent="0.25">
      <c r="A2681" t="s">
        <v>2414</v>
      </c>
      <c r="B2681" t="s">
        <v>13</v>
      </c>
      <c r="C2681">
        <v>19.23</v>
      </c>
      <c r="D2681">
        <v>21</v>
      </c>
      <c r="E2681" t="s">
        <v>17</v>
      </c>
      <c r="F2681">
        <v>30.63</v>
      </c>
      <c r="G2681">
        <v>27.67</v>
      </c>
      <c r="H2681" t="s">
        <v>17</v>
      </c>
      <c r="I2681" t="str">
        <f>"061674002110"</f>
        <v>061674002110</v>
      </c>
    </row>
    <row r="2682" spans="1:9" x14ac:dyDescent="0.25">
      <c r="A2682" t="s">
        <v>2415</v>
      </c>
      <c r="B2682" t="s">
        <v>13</v>
      </c>
      <c r="C2682">
        <v>28.23</v>
      </c>
      <c r="D2682">
        <v>25.03</v>
      </c>
      <c r="E2682" t="s">
        <v>17</v>
      </c>
      <c r="F2682">
        <v>23.1</v>
      </c>
      <c r="G2682">
        <v>22.45</v>
      </c>
      <c r="H2682" t="s">
        <v>17</v>
      </c>
      <c r="I2682" t="str">
        <f>"063471005851"</f>
        <v>063471005851</v>
      </c>
    </row>
    <row r="2683" spans="1:9" x14ac:dyDescent="0.25">
      <c r="A2683" t="s">
        <v>2416</v>
      </c>
      <c r="B2683" t="s">
        <v>13</v>
      </c>
      <c r="C2683">
        <v>23.5</v>
      </c>
      <c r="D2683">
        <v>24</v>
      </c>
      <c r="E2683" t="s">
        <v>17</v>
      </c>
      <c r="F2683">
        <v>26.81</v>
      </c>
      <c r="G2683">
        <v>26.42</v>
      </c>
      <c r="H2683" t="s">
        <v>17</v>
      </c>
      <c r="I2683" t="str">
        <f>"062781004212"</f>
        <v>062781004212</v>
      </c>
    </row>
    <row r="2684" spans="1:9" x14ac:dyDescent="0.25">
      <c r="A2684" t="s">
        <v>2417</v>
      </c>
      <c r="B2684" t="s">
        <v>13</v>
      </c>
      <c r="C2684">
        <v>3.55</v>
      </c>
      <c r="D2684">
        <v>1.3</v>
      </c>
      <c r="E2684" t="s">
        <v>17</v>
      </c>
      <c r="F2684">
        <v>10.7</v>
      </c>
      <c r="G2684">
        <v>16.920000000000002</v>
      </c>
      <c r="H2684" t="s">
        <v>17</v>
      </c>
      <c r="I2684" t="str">
        <f>"069103511316"</f>
        <v>069103511316</v>
      </c>
    </row>
    <row r="2685" spans="1:9" x14ac:dyDescent="0.25">
      <c r="A2685" t="s">
        <v>2418</v>
      </c>
      <c r="B2685" t="s">
        <v>13</v>
      </c>
      <c r="C2685" t="str">
        <f>"0.20"</f>
        <v>0.20</v>
      </c>
      <c r="D2685" t="s">
        <v>17</v>
      </c>
      <c r="E2685" t="s">
        <v>17</v>
      </c>
      <c r="F2685">
        <v>10</v>
      </c>
      <c r="G2685" t="s">
        <v>17</v>
      </c>
      <c r="H2685" t="s">
        <v>17</v>
      </c>
      <c r="I2685" t="str">
        <f>"069102312706"</f>
        <v>069102312706</v>
      </c>
    </row>
    <row r="2686" spans="1:9" x14ac:dyDescent="0.25">
      <c r="A2686" t="s">
        <v>2419</v>
      </c>
      <c r="B2686" t="s">
        <v>13</v>
      </c>
      <c r="C2686">
        <v>34</v>
      </c>
      <c r="D2686">
        <v>36</v>
      </c>
      <c r="E2686" t="s">
        <v>17</v>
      </c>
      <c r="F2686">
        <v>21.29</v>
      </c>
      <c r="G2686">
        <v>20.64</v>
      </c>
      <c r="H2686" t="s">
        <v>17</v>
      </c>
      <c r="I2686" t="str">
        <f>"062580003865"</f>
        <v>062580003865</v>
      </c>
    </row>
    <row r="2687" spans="1:9" x14ac:dyDescent="0.25">
      <c r="A2687" t="s">
        <v>2420</v>
      </c>
      <c r="B2687" t="s">
        <v>13</v>
      </c>
      <c r="C2687">
        <v>18.399999999999999</v>
      </c>
      <c r="D2687">
        <v>17</v>
      </c>
      <c r="E2687" t="s">
        <v>17</v>
      </c>
      <c r="F2687">
        <v>25.92</v>
      </c>
      <c r="G2687">
        <v>25.06</v>
      </c>
      <c r="H2687" t="s">
        <v>17</v>
      </c>
      <c r="I2687" t="str">
        <f>"062409012398"</f>
        <v>062409012398</v>
      </c>
    </row>
    <row r="2688" spans="1:9" x14ac:dyDescent="0.25">
      <c r="A2688" t="s">
        <v>2421</v>
      </c>
      <c r="B2688" t="s">
        <v>13</v>
      </c>
      <c r="C2688">
        <v>28</v>
      </c>
      <c r="D2688">
        <v>28.4</v>
      </c>
      <c r="E2688" t="s">
        <v>17</v>
      </c>
      <c r="F2688">
        <v>22.75</v>
      </c>
      <c r="G2688">
        <v>23.94</v>
      </c>
      <c r="H2688" t="s">
        <v>17</v>
      </c>
      <c r="I2688" t="str">
        <f>"060411000372"</f>
        <v>060411000372</v>
      </c>
    </row>
    <row r="2689" spans="1:9" x14ac:dyDescent="0.25">
      <c r="A2689" t="s">
        <v>2422</v>
      </c>
      <c r="B2689" t="s">
        <v>13</v>
      </c>
      <c r="C2689">
        <v>25.31</v>
      </c>
      <c r="D2689">
        <v>17.72</v>
      </c>
      <c r="E2689" t="s">
        <v>17</v>
      </c>
      <c r="F2689">
        <v>22.8</v>
      </c>
      <c r="G2689">
        <v>23.02</v>
      </c>
      <c r="H2689" t="s">
        <v>17</v>
      </c>
      <c r="I2689" t="str">
        <f>"064200012621"</f>
        <v>064200012621</v>
      </c>
    </row>
    <row r="2690" spans="1:9" x14ac:dyDescent="0.25">
      <c r="A2690" t="s">
        <v>2423</v>
      </c>
      <c r="B2690" t="s">
        <v>13</v>
      </c>
      <c r="C2690">
        <v>23.21</v>
      </c>
      <c r="D2690">
        <v>25.21</v>
      </c>
      <c r="E2690" t="s">
        <v>17</v>
      </c>
      <c r="F2690">
        <v>25.68</v>
      </c>
      <c r="G2690">
        <v>23.4</v>
      </c>
      <c r="H2690" t="s">
        <v>17</v>
      </c>
      <c r="I2690" t="str">
        <f>"064200009463"</f>
        <v>064200009463</v>
      </c>
    </row>
    <row r="2691" spans="1:9" x14ac:dyDescent="0.25">
      <c r="A2691" t="s">
        <v>2424</v>
      </c>
      <c r="B2691" t="s">
        <v>13</v>
      </c>
      <c r="C2691">
        <v>37.72</v>
      </c>
      <c r="D2691">
        <v>37.96</v>
      </c>
      <c r="E2691" t="s">
        <v>17</v>
      </c>
      <c r="F2691">
        <v>26.59</v>
      </c>
      <c r="G2691">
        <v>26.61</v>
      </c>
      <c r="H2691" t="s">
        <v>17</v>
      </c>
      <c r="I2691" t="str">
        <f>"060261000149"</f>
        <v>060261000149</v>
      </c>
    </row>
    <row r="2692" spans="1:9" x14ac:dyDescent="0.25">
      <c r="A2692" t="s">
        <v>2425</v>
      </c>
      <c r="B2692" t="s">
        <v>13</v>
      </c>
      <c r="C2692" t="s">
        <v>14</v>
      </c>
      <c r="D2692" t="s">
        <v>14</v>
      </c>
      <c r="E2692" t="s">
        <v>17</v>
      </c>
      <c r="F2692" t="s">
        <v>14</v>
      </c>
      <c r="G2692" t="s">
        <v>14</v>
      </c>
      <c r="H2692" t="s">
        <v>17</v>
      </c>
      <c r="I2692" t="str">
        <f>"060007210388"</f>
        <v>060007210388</v>
      </c>
    </row>
    <row r="2693" spans="1:9" x14ac:dyDescent="0.25">
      <c r="A2693" t="s">
        <v>2425</v>
      </c>
      <c r="B2693" t="s">
        <v>13</v>
      </c>
      <c r="C2693">
        <v>31</v>
      </c>
      <c r="D2693">
        <v>28</v>
      </c>
      <c r="E2693" t="s">
        <v>14</v>
      </c>
      <c r="F2693">
        <v>18.940000000000001</v>
      </c>
      <c r="G2693">
        <v>19.96</v>
      </c>
      <c r="H2693" t="s">
        <v>14</v>
      </c>
      <c r="I2693" t="str">
        <f>"063441010388"</f>
        <v>063441010388</v>
      </c>
    </row>
    <row r="2694" spans="1:9" x14ac:dyDescent="0.25">
      <c r="A2694" t="s">
        <v>2426</v>
      </c>
      <c r="B2694" t="s">
        <v>13</v>
      </c>
      <c r="C2694">
        <v>32.200000000000003</v>
      </c>
      <c r="D2694">
        <v>31.08</v>
      </c>
      <c r="E2694" t="s">
        <v>17</v>
      </c>
      <c r="F2694">
        <v>24.88</v>
      </c>
      <c r="G2694">
        <v>25.45</v>
      </c>
      <c r="H2694" t="s">
        <v>17</v>
      </c>
      <c r="I2694" t="str">
        <f>"061455008844"</f>
        <v>061455008844</v>
      </c>
    </row>
    <row r="2695" spans="1:9" x14ac:dyDescent="0.25">
      <c r="A2695" t="s">
        <v>2427</v>
      </c>
      <c r="B2695" t="s">
        <v>13</v>
      </c>
      <c r="C2695">
        <v>25</v>
      </c>
      <c r="D2695">
        <v>24.2</v>
      </c>
      <c r="E2695" t="s">
        <v>17</v>
      </c>
      <c r="F2695">
        <v>29.52</v>
      </c>
      <c r="G2695">
        <v>28.26</v>
      </c>
      <c r="H2695" t="s">
        <v>17</v>
      </c>
      <c r="I2695" t="str">
        <f>"062250002711"</f>
        <v>062250002711</v>
      </c>
    </row>
    <row r="2696" spans="1:9" x14ac:dyDescent="0.25">
      <c r="A2696" t="s">
        <v>2427</v>
      </c>
      <c r="B2696" t="s">
        <v>13</v>
      </c>
      <c r="C2696">
        <v>21.87</v>
      </c>
      <c r="D2696">
        <v>23.54</v>
      </c>
      <c r="E2696" t="s">
        <v>17</v>
      </c>
      <c r="F2696">
        <v>23.32</v>
      </c>
      <c r="G2696">
        <v>23.58</v>
      </c>
      <c r="H2696" t="s">
        <v>17</v>
      </c>
      <c r="I2696" t="str">
        <f>"063942006557"</f>
        <v>063942006557</v>
      </c>
    </row>
    <row r="2697" spans="1:9" x14ac:dyDescent="0.25">
      <c r="A2697" t="s">
        <v>2427</v>
      </c>
      <c r="B2697" t="s">
        <v>13</v>
      </c>
      <c r="C2697">
        <v>19.600000000000001</v>
      </c>
      <c r="D2697">
        <v>18</v>
      </c>
      <c r="E2697" t="s">
        <v>17</v>
      </c>
      <c r="F2697">
        <v>23.01</v>
      </c>
      <c r="G2697">
        <v>25.17</v>
      </c>
      <c r="H2697" t="s">
        <v>17</v>
      </c>
      <c r="I2697" t="str">
        <f>"063570006089"</f>
        <v>063570006089</v>
      </c>
    </row>
    <row r="2698" spans="1:9" x14ac:dyDescent="0.25">
      <c r="A2698" t="s">
        <v>2427</v>
      </c>
      <c r="B2698" t="s">
        <v>13</v>
      </c>
      <c r="C2698">
        <v>37.6</v>
      </c>
      <c r="D2698">
        <v>36</v>
      </c>
      <c r="E2698" t="s">
        <v>17</v>
      </c>
      <c r="F2698">
        <v>15.74</v>
      </c>
      <c r="G2698">
        <v>16.5</v>
      </c>
      <c r="H2698" t="s">
        <v>17</v>
      </c>
      <c r="I2698" t="str">
        <f>"063432005449"</f>
        <v>063432005449</v>
      </c>
    </row>
    <row r="2699" spans="1:9" x14ac:dyDescent="0.25">
      <c r="A2699" t="s">
        <v>2427</v>
      </c>
      <c r="B2699" t="s">
        <v>13</v>
      </c>
      <c r="C2699">
        <v>19.5</v>
      </c>
      <c r="D2699">
        <v>19.05</v>
      </c>
      <c r="E2699" t="s">
        <v>17</v>
      </c>
      <c r="F2699">
        <v>24.51</v>
      </c>
      <c r="G2699">
        <v>23.46</v>
      </c>
      <c r="H2699" t="s">
        <v>17</v>
      </c>
      <c r="I2699" t="str">
        <f>"060177000044"</f>
        <v>060177000044</v>
      </c>
    </row>
    <row r="2700" spans="1:9" x14ac:dyDescent="0.25">
      <c r="A2700" t="s">
        <v>2427</v>
      </c>
      <c r="B2700" t="s">
        <v>13</v>
      </c>
      <c r="C2700">
        <v>32</v>
      </c>
      <c r="D2700">
        <v>29</v>
      </c>
      <c r="E2700" t="s">
        <v>17</v>
      </c>
      <c r="F2700">
        <v>26.91</v>
      </c>
      <c r="G2700">
        <v>26.41</v>
      </c>
      <c r="H2700" t="s">
        <v>17</v>
      </c>
      <c r="I2700" t="str">
        <f>"062847004395"</f>
        <v>062847004395</v>
      </c>
    </row>
    <row r="2701" spans="1:9" x14ac:dyDescent="0.25">
      <c r="A2701" t="s">
        <v>2428</v>
      </c>
      <c r="B2701" t="s">
        <v>13</v>
      </c>
      <c r="C2701">
        <v>83.66</v>
      </c>
      <c r="D2701">
        <v>93.33</v>
      </c>
      <c r="E2701" t="s">
        <v>17</v>
      </c>
      <c r="F2701">
        <v>22.82</v>
      </c>
      <c r="G2701">
        <v>20.95</v>
      </c>
      <c r="H2701" t="s">
        <v>17</v>
      </c>
      <c r="I2701" t="str">
        <f>"063801006403"</f>
        <v>063801006403</v>
      </c>
    </row>
    <row r="2702" spans="1:9" x14ac:dyDescent="0.25">
      <c r="A2702" t="s">
        <v>2428</v>
      </c>
      <c r="B2702" t="s">
        <v>13</v>
      </c>
      <c r="C2702">
        <v>108.8</v>
      </c>
      <c r="D2702">
        <v>109.35</v>
      </c>
      <c r="E2702" t="s">
        <v>17</v>
      </c>
      <c r="F2702">
        <v>24.13</v>
      </c>
      <c r="G2702">
        <v>24.34</v>
      </c>
      <c r="H2702" t="s">
        <v>17</v>
      </c>
      <c r="I2702" t="str">
        <f>"061806002226"</f>
        <v>061806002226</v>
      </c>
    </row>
    <row r="2703" spans="1:9" x14ac:dyDescent="0.25">
      <c r="A2703" t="s">
        <v>2428</v>
      </c>
      <c r="B2703" t="s">
        <v>13</v>
      </c>
      <c r="C2703">
        <v>80.22</v>
      </c>
      <c r="D2703">
        <v>78.11</v>
      </c>
      <c r="E2703" t="s">
        <v>17</v>
      </c>
      <c r="F2703">
        <v>28</v>
      </c>
      <c r="G2703">
        <v>28.14</v>
      </c>
      <c r="H2703" t="s">
        <v>17</v>
      </c>
      <c r="I2703" t="str">
        <f>"061455001723"</f>
        <v>061455001723</v>
      </c>
    </row>
    <row r="2704" spans="1:9" x14ac:dyDescent="0.25">
      <c r="A2704" t="s">
        <v>2429</v>
      </c>
      <c r="B2704" t="s">
        <v>13</v>
      </c>
      <c r="C2704">
        <v>23.01</v>
      </c>
      <c r="D2704">
        <v>23</v>
      </c>
      <c r="E2704" t="s">
        <v>17</v>
      </c>
      <c r="F2704">
        <v>20.9</v>
      </c>
      <c r="G2704">
        <v>20.57</v>
      </c>
      <c r="H2704" t="s">
        <v>17</v>
      </c>
      <c r="I2704" t="str">
        <f>"061194007697"</f>
        <v>061194007697</v>
      </c>
    </row>
    <row r="2705" spans="1:9" x14ac:dyDescent="0.25">
      <c r="A2705" t="s">
        <v>2430</v>
      </c>
      <c r="B2705" t="s">
        <v>13</v>
      </c>
      <c r="C2705">
        <v>25</v>
      </c>
      <c r="D2705">
        <v>25</v>
      </c>
      <c r="E2705" t="s">
        <v>17</v>
      </c>
      <c r="F2705">
        <v>20.48</v>
      </c>
      <c r="G2705">
        <v>20.68</v>
      </c>
      <c r="H2705" t="s">
        <v>17</v>
      </c>
      <c r="I2705" t="str">
        <f>"069100707958"</f>
        <v>069100707958</v>
      </c>
    </row>
    <row r="2706" spans="1:9" x14ac:dyDescent="0.25">
      <c r="A2706" t="s">
        <v>2431</v>
      </c>
      <c r="B2706" t="s">
        <v>13</v>
      </c>
      <c r="C2706">
        <v>35</v>
      </c>
      <c r="D2706">
        <v>34</v>
      </c>
      <c r="E2706" t="s">
        <v>17</v>
      </c>
      <c r="F2706">
        <v>24.94</v>
      </c>
      <c r="G2706">
        <v>25.09</v>
      </c>
      <c r="H2706" t="s">
        <v>17</v>
      </c>
      <c r="I2706" t="str">
        <f>"061455003010"</f>
        <v>061455003010</v>
      </c>
    </row>
    <row r="2707" spans="1:9" x14ac:dyDescent="0.25">
      <c r="A2707" t="s">
        <v>2432</v>
      </c>
      <c r="B2707" t="s">
        <v>13</v>
      </c>
      <c r="C2707">
        <v>24.08</v>
      </c>
      <c r="D2707">
        <v>24.67</v>
      </c>
      <c r="E2707" t="s">
        <v>17</v>
      </c>
      <c r="F2707">
        <v>23.34</v>
      </c>
      <c r="G2707">
        <v>22.38</v>
      </c>
      <c r="H2707" t="s">
        <v>17</v>
      </c>
      <c r="I2707" t="str">
        <f>"062628003926"</f>
        <v>062628003926</v>
      </c>
    </row>
    <row r="2708" spans="1:9" x14ac:dyDescent="0.25">
      <c r="A2708" t="s">
        <v>2433</v>
      </c>
      <c r="B2708" t="s">
        <v>13</v>
      </c>
      <c r="C2708">
        <v>39.799999999999997</v>
      </c>
      <c r="D2708">
        <v>40.6</v>
      </c>
      <c r="E2708" t="s">
        <v>17</v>
      </c>
      <c r="F2708">
        <v>25.23</v>
      </c>
      <c r="G2708">
        <v>25.25</v>
      </c>
      <c r="H2708" t="s">
        <v>17</v>
      </c>
      <c r="I2708" t="str">
        <f>"061233011231"</f>
        <v>061233011231</v>
      </c>
    </row>
    <row r="2709" spans="1:9" x14ac:dyDescent="0.25">
      <c r="A2709" t="s">
        <v>2434</v>
      </c>
      <c r="B2709" t="s">
        <v>13</v>
      </c>
      <c r="C2709">
        <v>3.9</v>
      </c>
      <c r="D2709">
        <v>5.4</v>
      </c>
      <c r="E2709" t="s">
        <v>17</v>
      </c>
      <c r="F2709">
        <v>7.69</v>
      </c>
      <c r="G2709">
        <v>6.85</v>
      </c>
      <c r="H2709" t="s">
        <v>17</v>
      </c>
      <c r="I2709" t="str">
        <f>"061187001326"</f>
        <v>061187001326</v>
      </c>
    </row>
    <row r="2710" spans="1:9" x14ac:dyDescent="0.25">
      <c r="A2710" t="s">
        <v>2435</v>
      </c>
      <c r="B2710" t="s">
        <v>13</v>
      </c>
      <c r="C2710">
        <v>38.01</v>
      </c>
      <c r="D2710">
        <v>36.409999999999997</v>
      </c>
      <c r="E2710" t="s">
        <v>17</v>
      </c>
      <c r="F2710">
        <v>21.2</v>
      </c>
      <c r="G2710">
        <v>22.05</v>
      </c>
      <c r="H2710" t="s">
        <v>17</v>
      </c>
      <c r="I2710" t="str">
        <f>"062805004299"</f>
        <v>062805004299</v>
      </c>
    </row>
    <row r="2711" spans="1:9" x14ac:dyDescent="0.25">
      <c r="A2711" t="s">
        <v>2436</v>
      </c>
      <c r="B2711" t="s">
        <v>13</v>
      </c>
      <c r="C2711">
        <v>36.590000000000003</v>
      </c>
      <c r="D2711">
        <v>35.67</v>
      </c>
      <c r="E2711" t="s">
        <v>17</v>
      </c>
      <c r="F2711">
        <v>24.24</v>
      </c>
      <c r="G2711">
        <v>25.06</v>
      </c>
      <c r="H2711" t="s">
        <v>17</v>
      </c>
      <c r="I2711" t="str">
        <f>"060591000535"</f>
        <v>060591000535</v>
      </c>
    </row>
    <row r="2712" spans="1:9" x14ac:dyDescent="0.25">
      <c r="A2712" t="s">
        <v>2437</v>
      </c>
      <c r="B2712" t="s">
        <v>13</v>
      </c>
      <c r="C2712">
        <v>26.64</v>
      </c>
      <c r="D2712">
        <v>24.4</v>
      </c>
      <c r="E2712" t="s">
        <v>17</v>
      </c>
      <c r="F2712">
        <v>19.559999999999999</v>
      </c>
      <c r="G2712">
        <v>19.260000000000002</v>
      </c>
      <c r="H2712" t="s">
        <v>17</v>
      </c>
      <c r="I2712" t="str">
        <f>"062487009926"</f>
        <v>062487009926</v>
      </c>
    </row>
    <row r="2713" spans="1:9" x14ac:dyDescent="0.25">
      <c r="A2713" t="s">
        <v>2438</v>
      </c>
      <c r="B2713" t="s">
        <v>13</v>
      </c>
      <c r="C2713">
        <v>2.4500000000000002</v>
      </c>
      <c r="D2713">
        <v>2.65</v>
      </c>
      <c r="E2713" t="s">
        <v>17</v>
      </c>
      <c r="F2713">
        <v>19.59</v>
      </c>
      <c r="G2713">
        <v>22.64</v>
      </c>
      <c r="H2713" t="s">
        <v>17</v>
      </c>
      <c r="I2713" t="str">
        <f>"063201012304"</f>
        <v>063201012304</v>
      </c>
    </row>
    <row r="2714" spans="1:9" x14ac:dyDescent="0.25">
      <c r="A2714" t="s">
        <v>2439</v>
      </c>
      <c r="B2714" t="s">
        <v>13</v>
      </c>
      <c r="C2714">
        <v>18</v>
      </c>
      <c r="D2714">
        <v>17</v>
      </c>
      <c r="E2714" t="s">
        <v>17</v>
      </c>
      <c r="F2714">
        <v>57.28</v>
      </c>
      <c r="G2714">
        <v>56.94</v>
      </c>
      <c r="H2714" t="s">
        <v>17</v>
      </c>
      <c r="I2714" t="str">
        <f>"062250010239"</f>
        <v>062250010239</v>
      </c>
    </row>
    <row r="2715" spans="1:9" x14ac:dyDescent="0.25">
      <c r="A2715" t="s">
        <v>2440</v>
      </c>
      <c r="B2715" t="s">
        <v>13</v>
      </c>
      <c r="C2715" t="s">
        <v>14</v>
      </c>
      <c r="D2715" t="s">
        <v>17</v>
      </c>
      <c r="E2715" t="s">
        <v>17</v>
      </c>
      <c r="F2715" t="s">
        <v>17</v>
      </c>
      <c r="G2715" t="s">
        <v>17</v>
      </c>
      <c r="H2715" t="s">
        <v>17</v>
      </c>
      <c r="I2715" t="str">
        <f>"063132012021"</f>
        <v>063132012021</v>
      </c>
    </row>
    <row r="2716" spans="1:9" x14ac:dyDescent="0.25">
      <c r="A2716" t="s">
        <v>2441</v>
      </c>
      <c r="B2716" t="s">
        <v>13</v>
      </c>
      <c r="C2716" t="str">
        <f>"0.25"</f>
        <v>0.25</v>
      </c>
      <c r="D2716" t="str">
        <f>"0.57"</f>
        <v>0.57</v>
      </c>
      <c r="E2716" t="s">
        <v>17</v>
      </c>
      <c r="F2716">
        <v>44</v>
      </c>
      <c r="G2716">
        <v>22.81</v>
      </c>
      <c r="H2716" t="s">
        <v>17</v>
      </c>
      <c r="I2716" t="str">
        <f>"062676007618"</f>
        <v>062676007618</v>
      </c>
    </row>
    <row r="2717" spans="1:9" x14ac:dyDescent="0.25">
      <c r="A2717" t="s">
        <v>2442</v>
      </c>
      <c r="B2717" t="s">
        <v>13</v>
      </c>
      <c r="C2717">
        <v>2.37</v>
      </c>
      <c r="D2717">
        <v>2.58</v>
      </c>
      <c r="E2717" t="s">
        <v>17</v>
      </c>
      <c r="F2717">
        <v>18.989999999999998</v>
      </c>
      <c r="G2717">
        <v>13.57</v>
      </c>
      <c r="H2717" t="s">
        <v>17</v>
      </c>
      <c r="I2717" t="str">
        <f>"061207010478"</f>
        <v>061207010478</v>
      </c>
    </row>
    <row r="2718" spans="1:9" x14ac:dyDescent="0.25">
      <c r="A2718" t="s">
        <v>2443</v>
      </c>
      <c r="B2718" t="s">
        <v>13</v>
      </c>
      <c r="C2718">
        <v>1.24</v>
      </c>
      <c r="D2718">
        <v>1.04</v>
      </c>
      <c r="E2718" t="s">
        <v>17</v>
      </c>
      <c r="F2718">
        <v>7.26</v>
      </c>
      <c r="G2718">
        <v>13.46</v>
      </c>
      <c r="H2718" t="s">
        <v>17</v>
      </c>
      <c r="I2718" t="str">
        <f>"061207008695"</f>
        <v>061207008695</v>
      </c>
    </row>
    <row r="2719" spans="1:9" x14ac:dyDescent="0.25">
      <c r="A2719" t="s">
        <v>2444</v>
      </c>
      <c r="B2719" t="s">
        <v>13</v>
      </c>
      <c r="C2719">
        <v>15</v>
      </c>
      <c r="D2719">
        <v>16</v>
      </c>
      <c r="E2719" t="s">
        <v>17</v>
      </c>
      <c r="F2719">
        <v>23.93</v>
      </c>
      <c r="G2719">
        <v>23.63</v>
      </c>
      <c r="H2719" t="s">
        <v>17</v>
      </c>
      <c r="I2719" t="str">
        <f>"063531011223"</f>
        <v>063531011223</v>
      </c>
    </row>
    <row r="2720" spans="1:9" x14ac:dyDescent="0.25">
      <c r="A2720" t="s">
        <v>2445</v>
      </c>
      <c r="B2720" t="s">
        <v>13</v>
      </c>
      <c r="C2720">
        <v>10</v>
      </c>
      <c r="D2720">
        <v>9</v>
      </c>
      <c r="E2720" t="s">
        <v>17</v>
      </c>
      <c r="F2720">
        <v>24.2</v>
      </c>
      <c r="G2720">
        <v>25.22</v>
      </c>
      <c r="H2720" t="s">
        <v>17</v>
      </c>
      <c r="I2720" t="str">
        <f>"063801012098"</f>
        <v>063801012098</v>
      </c>
    </row>
    <row r="2721" spans="1:9" x14ac:dyDescent="0.25">
      <c r="A2721" t="s">
        <v>2446</v>
      </c>
      <c r="B2721" t="s">
        <v>13</v>
      </c>
      <c r="C2721">
        <v>18.45</v>
      </c>
      <c r="D2721">
        <v>19.14</v>
      </c>
      <c r="E2721" t="s">
        <v>17</v>
      </c>
      <c r="F2721">
        <v>27.53</v>
      </c>
      <c r="G2721">
        <v>29.26</v>
      </c>
      <c r="H2721" t="s">
        <v>17</v>
      </c>
      <c r="I2721" t="str">
        <f>"063237003847"</f>
        <v>063237003847</v>
      </c>
    </row>
    <row r="2722" spans="1:9" x14ac:dyDescent="0.25">
      <c r="A2722" t="s">
        <v>2447</v>
      </c>
      <c r="B2722" t="s">
        <v>13</v>
      </c>
      <c r="C2722">
        <v>51.34</v>
      </c>
      <c r="D2722">
        <v>53.67</v>
      </c>
      <c r="E2722" t="s">
        <v>17</v>
      </c>
      <c r="F2722">
        <v>23.51</v>
      </c>
      <c r="G2722">
        <v>22.25</v>
      </c>
      <c r="H2722" t="s">
        <v>17</v>
      </c>
      <c r="I2722" t="str">
        <f>"061233011062"</f>
        <v>061233011062</v>
      </c>
    </row>
    <row r="2723" spans="1:9" x14ac:dyDescent="0.25">
      <c r="A2723" t="s">
        <v>2448</v>
      </c>
      <c r="B2723" t="s">
        <v>13</v>
      </c>
      <c r="C2723">
        <v>23.18</v>
      </c>
      <c r="D2723">
        <v>21.95</v>
      </c>
      <c r="E2723" t="s">
        <v>17</v>
      </c>
      <c r="F2723">
        <v>28.99</v>
      </c>
      <c r="G2723">
        <v>30.93</v>
      </c>
      <c r="H2723" t="s">
        <v>17</v>
      </c>
      <c r="I2723" t="str">
        <f>"063942002214"</f>
        <v>063942002214</v>
      </c>
    </row>
    <row r="2724" spans="1:9" x14ac:dyDescent="0.25">
      <c r="A2724" t="s">
        <v>2449</v>
      </c>
      <c r="B2724" t="s">
        <v>13</v>
      </c>
      <c r="C2724">
        <v>23</v>
      </c>
      <c r="D2724">
        <v>25</v>
      </c>
      <c r="E2724" t="s">
        <v>17</v>
      </c>
      <c r="F2724">
        <v>22.87</v>
      </c>
      <c r="G2724">
        <v>20.48</v>
      </c>
      <c r="H2724" t="s">
        <v>17</v>
      </c>
      <c r="I2724" t="str">
        <f>"063384005237"</f>
        <v>063384005237</v>
      </c>
    </row>
    <row r="2725" spans="1:9" x14ac:dyDescent="0.25">
      <c r="A2725" t="s">
        <v>2450</v>
      </c>
      <c r="B2725" t="s">
        <v>13</v>
      </c>
      <c r="C2725">
        <v>26</v>
      </c>
      <c r="D2725">
        <v>27</v>
      </c>
      <c r="E2725" t="s">
        <v>17</v>
      </c>
      <c r="F2725">
        <v>25.35</v>
      </c>
      <c r="G2725">
        <v>24.44</v>
      </c>
      <c r="H2725" t="s">
        <v>17</v>
      </c>
      <c r="I2725" t="str">
        <f>"063255009184"</f>
        <v>063255009184</v>
      </c>
    </row>
    <row r="2726" spans="1:9" x14ac:dyDescent="0.25">
      <c r="A2726" t="s">
        <v>2451</v>
      </c>
      <c r="B2726" t="s">
        <v>13</v>
      </c>
      <c r="C2726">
        <v>68.33</v>
      </c>
      <c r="D2726">
        <v>81.58</v>
      </c>
      <c r="E2726" t="s">
        <v>17</v>
      </c>
      <c r="F2726">
        <v>21.24</v>
      </c>
      <c r="G2726">
        <v>19.22</v>
      </c>
      <c r="H2726" t="s">
        <v>17</v>
      </c>
      <c r="I2726" t="str">
        <f>"062271012295"</f>
        <v>062271012295</v>
      </c>
    </row>
    <row r="2727" spans="1:9" x14ac:dyDescent="0.25">
      <c r="A2727" t="s">
        <v>2452</v>
      </c>
      <c r="B2727" t="s">
        <v>13</v>
      </c>
      <c r="C2727">
        <v>27.75</v>
      </c>
      <c r="D2727">
        <v>28.75</v>
      </c>
      <c r="E2727" t="s">
        <v>17</v>
      </c>
      <c r="F2727">
        <v>26.67</v>
      </c>
      <c r="G2727">
        <v>24.49</v>
      </c>
      <c r="H2727" t="s">
        <v>17</v>
      </c>
      <c r="I2727" t="str">
        <f>"061488001877"</f>
        <v>061488001877</v>
      </c>
    </row>
    <row r="2728" spans="1:9" x14ac:dyDescent="0.25">
      <c r="A2728" t="s">
        <v>2453</v>
      </c>
      <c r="B2728" t="s">
        <v>13</v>
      </c>
      <c r="C2728">
        <v>34.950000000000003</v>
      </c>
      <c r="D2728">
        <v>34.450000000000003</v>
      </c>
      <c r="E2728" t="s">
        <v>17</v>
      </c>
      <c r="F2728">
        <v>22.92</v>
      </c>
      <c r="G2728">
        <v>22.41</v>
      </c>
      <c r="H2728" t="s">
        <v>17</v>
      </c>
      <c r="I2728" t="str">
        <f>"064059006704"</f>
        <v>064059006704</v>
      </c>
    </row>
    <row r="2729" spans="1:9" x14ac:dyDescent="0.25">
      <c r="A2729" t="s">
        <v>2454</v>
      </c>
      <c r="B2729" t="s">
        <v>13</v>
      </c>
      <c r="C2729">
        <v>18.2</v>
      </c>
      <c r="D2729">
        <v>18.600000000000001</v>
      </c>
      <c r="E2729" t="s">
        <v>17</v>
      </c>
      <c r="F2729">
        <v>18.52</v>
      </c>
      <c r="G2729">
        <v>19.84</v>
      </c>
      <c r="H2729" t="s">
        <v>17</v>
      </c>
      <c r="I2729" t="str">
        <f>"063078004785"</f>
        <v>063078004785</v>
      </c>
    </row>
    <row r="2730" spans="1:9" x14ac:dyDescent="0.25">
      <c r="A2730" t="s">
        <v>2454</v>
      </c>
      <c r="B2730" t="s">
        <v>13</v>
      </c>
      <c r="C2730">
        <v>63.84</v>
      </c>
      <c r="D2730">
        <v>62.01</v>
      </c>
      <c r="E2730" t="s">
        <v>17</v>
      </c>
      <c r="F2730">
        <v>19.489999999999998</v>
      </c>
      <c r="G2730">
        <v>18.77</v>
      </c>
      <c r="H2730" t="s">
        <v>17</v>
      </c>
      <c r="I2730" t="str">
        <f>"062271003168"</f>
        <v>062271003168</v>
      </c>
    </row>
    <row r="2731" spans="1:9" x14ac:dyDescent="0.25">
      <c r="A2731" t="s">
        <v>2455</v>
      </c>
      <c r="B2731" t="s">
        <v>13</v>
      </c>
      <c r="C2731">
        <v>25.05</v>
      </c>
      <c r="D2731">
        <v>23.34</v>
      </c>
      <c r="E2731" t="s">
        <v>17</v>
      </c>
      <c r="F2731">
        <v>29.78</v>
      </c>
      <c r="G2731">
        <v>29.86</v>
      </c>
      <c r="H2731" t="s">
        <v>17</v>
      </c>
      <c r="I2731" t="str">
        <f>"060846011309"</f>
        <v>060846011309</v>
      </c>
    </row>
    <row r="2732" spans="1:9" x14ac:dyDescent="0.25">
      <c r="A2732" t="s">
        <v>2456</v>
      </c>
      <c r="B2732" t="s">
        <v>13</v>
      </c>
      <c r="C2732">
        <v>2</v>
      </c>
      <c r="D2732">
        <v>2</v>
      </c>
      <c r="E2732" t="s">
        <v>17</v>
      </c>
      <c r="F2732">
        <v>22.5</v>
      </c>
      <c r="G2732">
        <v>30</v>
      </c>
      <c r="H2732" t="s">
        <v>17</v>
      </c>
      <c r="I2732" t="str">
        <f>"063372003304"</f>
        <v>063372003304</v>
      </c>
    </row>
    <row r="2733" spans="1:9" x14ac:dyDescent="0.25">
      <c r="A2733" t="s">
        <v>2457</v>
      </c>
      <c r="B2733" t="s">
        <v>13</v>
      </c>
      <c r="C2733">
        <v>1.6</v>
      </c>
      <c r="D2733">
        <v>2</v>
      </c>
      <c r="E2733" t="s">
        <v>17</v>
      </c>
      <c r="F2733">
        <v>45</v>
      </c>
      <c r="G2733">
        <v>31</v>
      </c>
      <c r="H2733" t="s">
        <v>17</v>
      </c>
      <c r="I2733" t="str">
        <f>"069100910793"</f>
        <v>069100910793</v>
      </c>
    </row>
    <row r="2734" spans="1:9" x14ac:dyDescent="0.25">
      <c r="A2734" t="s">
        <v>2458</v>
      </c>
      <c r="B2734" t="s">
        <v>13</v>
      </c>
      <c r="C2734">
        <v>23</v>
      </c>
      <c r="D2734">
        <v>25.23</v>
      </c>
      <c r="E2734" t="s">
        <v>17</v>
      </c>
      <c r="F2734">
        <v>22.78</v>
      </c>
      <c r="G2734">
        <v>19.82</v>
      </c>
      <c r="H2734" t="s">
        <v>17</v>
      </c>
      <c r="I2734" t="str">
        <f>"063432010637"</f>
        <v>063432010637</v>
      </c>
    </row>
    <row r="2735" spans="1:9" x14ac:dyDescent="0.25">
      <c r="A2735" t="s">
        <v>2459</v>
      </c>
      <c r="B2735" t="s">
        <v>13</v>
      </c>
      <c r="C2735">
        <v>2.2000000000000002</v>
      </c>
      <c r="D2735">
        <v>3</v>
      </c>
      <c r="E2735" t="s">
        <v>17</v>
      </c>
      <c r="F2735">
        <v>22.73</v>
      </c>
      <c r="G2735">
        <v>15</v>
      </c>
      <c r="H2735" t="s">
        <v>17</v>
      </c>
      <c r="I2735" t="str">
        <f>"069104911976"</f>
        <v>069104911976</v>
      </c>
    </row>
    <row r="2736" spans="1:9" x14ac:dyDescent="0.25">
      <c r="A2736" t="s">
        <v>2460</v>
      </c>
      <c r="B2736" t="s">
        <v>13</v>
      </c>
      <c r="C2736">
        <v>111.01</v>
      </c>
      <c r="D2736">
        <v>113.16</v>
      </c>
      <c r="E2736" t="s">
        <v>17</v>
      </c>
      <c r="F2736">
        <v>21.45</v>
      </c>
      <c r="G2736">
        <v>21.41</v>
      </c>
      <c r="H2736" t="s">
        <v>17</v>
      </c>
      <c r="I2736" t="str">
        <f>"063237004990"</f>
        <v>063237004990</v>
      </c>
    </row>
    <row r="2737" spans="1:9" x14ac:dyDescent="0.25">
      <c r="A2737" t="s">
        <v>2461</v>
      </c>
      <c r="B2737" t="s">
        <v>13</v>
      </c>
      <c r="C2737">
        <v>21</v>
      </c>
      <c r="D2737">
        <v>21</v>
      </c>
      <c r="E2737" t="s">
        <v>17</v>
      </c>
      <c r="F2737">
        <v>21.14</v>
      </c>
      <c r="G2737">
        <v>19.809999999999999</v>
      </c>
      <c r="H2737" t="s">
        <v>17</v>
      </c>
      <c r="I2737" t="str">
        <f>"060681011124"</f>
        <v>060681011124</v>
      </c>
    </row>
    <row r="2738" spans="1:9" x14ac:dyDescent="0.25">
      <c r="A2738" t="s">
        <v>2462</v>
      </c>
      <c r="B2738" t="s">
        <v>13</v>
      </c>
      <c r="C2738">
        <v>7.8</v>
      </c>
      <c r="D2738">
        <v>7</v>
      </c>
      <c r="E2738" t="s">
        <v>17</v>
      </c>
      <c r="F2738">
        <v>21.15</v>
      </c>
      <c r="G2738">
        <v>23.29</v>
      </c>
      <c r="H2738" t="s">
        <v>17</v>
      </c>
      <c r="I2738" t="str">
        <f>"060681012409"</f>
        <v>060681012409</v>
      </c>
    </row>
    <row r="2739" spans="1:9" x14ac:dyDescent="0.25">
      <c r="A2739" t="s">
        <v>2463</v>
      </c>
      <c r="B2739" t="s">
        <v>13</v>
      </c>
      <c r="C2739">
        <v>91</v>
      </c>
      <c r="D2739">
        <v>107.77</v>
      </c>
      <c r="E2739" t="s">
        <v>17</v>
      </c>
      <c r="F2739">
        <v>21.45</v>
      </c>
      <c r="G2739">
        <v>20.21</v>
      </c>
      <c r="H2739" t="s">
        <v>17</v>
      </c>
      <c r="I2739" t="str">
        <f>"061623002018"</f>
        <v>061623002018</v>
      </c>
    </row>
    <row r="2740" spans="1:9" x14ac:dyDescent="0.25">
      <c r="A2740" t="s">
        <v>2464</v>
      </c>
      <c r="B2740" t="s">
        <v>13</v>
      </c>
      <c r="C2740">
        <v>32.42</v>
      </c>
      <c r="D2740">
        <v>35.619999999999997</v>
      </c>
      <c r="E2740" t="s">
        <v>17</v>
      </c>
      <c r="F2740">
        <v>23.94</v>
      </c>
      <c r="G2740">
        <v>23.75</v>
      </c>
      <c r="H2740" t="s">
        <v>17</v>
      </c>
      <c r="I2740" t="str">
        <f>"061275008592"</f>
        <v>061275008592</v>
      </c>
    </row>
    <row r="2741" spans="1:9" x14ac:dyDescent="0.25">
      <c r="A2741" t="s">
        <v>2465</v>
      </c>
      <c r="B2741" t="s">
        <v>13</v>
      </c>
      <c r="C2741">
        <v>25.3</v>
      </c>
      <c r="D2741">
        <v>21.5</v>
      </c>
      <c r="E2741" t="s">
        <v>17</v>
      </c>
      <c r="F2741">
        <v>23.44</v>
      </c>
      <c r="G2741">
        <v>26.51</v>
      </c>
      <c r="H2741" t="s">
        <v>17</v>
      </c>
      <c r="I2741" t="str">
        <f>"062847004396"</f>
        <v>062847004396</v>
      </c>
    </row>
    <row r="2742" spans="1:9" x14ac:dyDescent="0.25">
      <c r="A2742" t="s">
        <v>2465</v>
      </c>
      <c r="B2742" t="s">
        <v>13</v>
      </c>
      <c r="C2742">
        <v>14</v>
      </c>
      <c r="D2742">
        <v>16</v>
      </c>
      <c r="E2742" t="s">
        <v>17</v>
      </c>
      <c r="F2742">
        <v>19.5</v>
      </c>
      <c r="G2742">
        <v>19.059999999999999</v>
      </c>
      <c r="H2742" t="s">
        <v>17</v>
      </c>
      <c r="I2742" t="str">
        <f>"061551008345"</f>
        <v>061551008345</v>
      </c>
    </row>
    <row r="2743" spans="1:9" x14ac:dyDescent="0.25">
      <c r="A2743" t="s">
        <v>2466</v>
      </c>
      <c r="B2743" t="s">
        <v>13</v>
      </c>
      <c r="C2743">
        <v>64.56</v>
      </c>
      <c r="D2743">
        <v>65.61</v>
      </c>
      <c r="E2743" t="s">
        <v>17</v>
      </c>
      <c r="F2743">
        <v>26.16</v>
      </c>
      <c r="G2743">
        <v>25.22</v>
      </c>
      <c r="H2743" t="s">
        <v>17</v>
      </c>
      <c r="I2743" t="str">
        <f>"063462005776"</f>
        <v>063462005776</v>
      </c>
    </row>
    <row r="2744" spans="1:9" x14ac:dyDescent="0.25">
      <c r="A2744" t="s">
        <v>2467</v>
      </c>
      <c r="B2744" t="s">
        <v>13</v>
      </c>
      <c r="C2744">
        <v>113.23</v>
      </c>
      <c r="D2744">
        <v>102.7</v>
      </c>
      <c r="E2744" t="s">
        <v>17</v>
      </c>
      <c r="F2744">
        <v>27.17</v>
      </c>
      <c r="G2744">
        <v>29.71</v>
      </c>
      <c r="H2744" t="s">
        <v>17</v>
      </c>
      <c r="I2744" t="str">
        <f>"062825004360"</f>
        <v>062825004360</v>
      </c>
    </row>
    <row r="2745" spans="1:9" x14ac:dyDescent="0.25">
      <c r="A2745" t="s">
        <v>2467</v>
      </c>
      <c r="B2745" t="s">
        <v>13</v>
      </c>
      <c r="C2745">
        <v>2.67</v>
      </c>
      <c r="D2745">
        <v>6.85</v>
      </c>
      <c r="E2745" t="s">
        <v>17</v>
      </c>
      <c r="F2745">
        <v>19.850000000000001</v>
      </c>
      <c r="G2745">
        <v>22.92</v>
      </c>
      <c r="H2745" t="s">
        <v>17</v>
      </c>
      <c r="I2745" t="str">
        <f>"060994001076"</f>
        <v>060994001076</v>
      </c>
    </row>
    <row r="2746" spans="1:9" x14ac:dyDescent="0.25">
      <c r="A2746" t="s">
        <v>2467</v>
      </c>
      <c r="B2746" t="s">
        <v>13</v>
      </c>
      <c r="C2746">
        <v>60.3</v>
      </c>
      <c r="D2746">
        <v>59.2</v>
      </c>
      <c r="E2746" t="s">
        <v>17</v>
      </c>
      <c r="F2746">
        <v>23.91</v>
      </c>
      <c r="G2746">
        <v>24.98</v>
      </c>
      <c r="H2746" t="s">
        <v>17</v>
      </c>
      <c r="I2746" t="str">
        <f>"063753006342"</f>
        <v>063753006342</v>
      </c>
    </row>
    <row r="2747" spans="1:9" x14ac:dyDescent="0.25">
      <c r="A2747" t="s">
        <v>2467</v>
      </c>
      <c r="B2747" t="s">
        <v>13</v>
      </c>
      <c r="C2747">
        <v>9.8000000000000007</v>
      </c>
      <c r="D2747">
        <v>9</v>
      </c>
      <c r="E2747" t="s">
        <v>17</v>
      </c>
      <c r="F2747">
        <v>30.51</v>
      </c>
      <c r="G2747">
        <v>35</v>
      </c>
      <c r="H2747" t="s">
        <v>17</v>
      </c>
      <c r="I2747" t="str">
        <f>"064098001880"</f>
        <v>064098001880</v>
      </c>
    </row>
    <row r="2748" spans="1:9" x14ac:dyDescent="0.25">
      <c r="A2748" t="s">
        <v>2468</v>
      </c>
      <c r="B2748" t="s">
        <v>13</v>
      </c>
      <c r="C2748">
        <v>19.2</v>
      </c>
      <c r="D2748">
        <v>20.3</v>
      </c>
      <c r="E2748" t="s">
        <v>17</v>
      </c>
      <c r="F2748">
        <v>16.41</v>
      </c>
      <c r="G2748">
        <v>17.73</v>
      </c>
      <c r="H2748" t="s">
        <v>17</v>
      </c>
      <c r="I2748" t="str">
        <f>"062769004162"</f>
        <v>062769004162</v>
      </c>
    </row>
    <row r="2749" spans="1:9" x14ac:dyDescent="0.25">
      <c r="A2749" t="s">
        <v>2469</v>
      </c>
      <c r="B2749" t="s">
        <v>13</v>
      </c>
      <c r="C2749">
        <v>30.9</v>
      </c>
      <c r="D2749">
        <v>30.4</v>
      </c>
      <c r="E2749" t="s">
        <v>17</v>
      </c>
      <c r="F2749">
        <v>22.07</v>
      </c>
      <c r="G2749">
        <v>22.07</v>
      </c>
      <c r="H2749" t="s">
        <v>17</v>
      </c>
      <c r="I2749" t="str">
        <f>"060558009315"</f>
        <v>060558009315</v>
      </c>
    </row>
    <row r="2750" spans="1:9" x14ac:dyDescent="0.25">
      <c r="A2750" t="s">
        <v>2470</v>
      </c>
      <c r="B2750" t="s">
        <v>13</v>
      </c>
      <c r="C2750">
        <v>120</v>
      </c>
      <c r="D2750">
        <v>125.4</v>
      </c>
      <c r="E2750" t="s">
        <v>17</v>
      </c>
      <c r="F2750">
        <v>31.38</v>
      </c>
      <c r="G2750">
        <v>27.37</v>
      </c>
      <c r="H2750" t="s">
        <v>17</v>
      </c>
      <c r="I2750" t="str">
        <f>"062271002977"</f>
        <v>062271002977</v>
      </c>
    </row>
    <row r="2751" spans="1:9" x14ac:dyDescent="0.25">
      <c r="A2751" t="s">
        <v>2471</v>
      </c>
      <c r="B2751" t="s">
        <v>13</v>
      </c>
      <c r="C2751">
        <v>15.4</v>
      </c>
      <c r="D2751">
        <v>15</v>
      </c>
      <c r="E2751" t="s">
        <v>17</v>
      </c>
      <c r="F2751">
        <v>12.73</v>
      </c>
      <c r="G2751">
        <v>13.8</v>
      </c>
      <c r="H2751" t="s">
        <v>17</v>
      </c>
      <c r="I2751" t="str">
        <f>"063066004756"</f>
        <v>063066004756</v>
      </c>
    </row>
    <row r="2752" spans="1:9" x14ac:dyDescent="0.25">
      <c r="A2752" t="s">
        <v>2472</v>
      </c>
      <c r="B2752" t="s">
        <v>13</v>
      </c>
      <c r="C2752">
        <v>34</v>
      </c>
      <c r="D2752">
        <v>30.5</v>
      </c>
      <c r="E2752" t="s">
        <v>17</v>
      </c>
      <c r="F2752">
        <v>24.12</v>
      </c>
      <c r="G2752">
        <v>27.44</v>
      </c>
      <c r="H2752" t="s">
        <v>17</v>
      </c>
      <c r="I2752" t="str">
        <f>"060327011908"</f>
        <v>060327011908</v>
      </c>
    </row>
    <row r="2753" spans="1:9" x14ac:dyDescent="0.25">
      <c r="A2753" t="s">
        <v>2473</v>
      </c>
      <c r="B2753" t="s">
        <v>13</v>
      </c>
      <c r="C2753">
        <v>17.25</v>
      </c>
      <c r="D2753">
        <v>16.5</v>
      </c>
      <c r="E2753" t="s">
        <v>17</v>
      </c>
      <c r="F2753">
        <v>25.28</v>
      </c>
      <c r="G2753">
        <v>24.24</v>
      </c>
      <c r="H2753" t="s">
        <v>17</v>
      </c>
      <c r="I2753" t="str">
        <f>"061608012809"</f>
        <v>061608012809</v>
      </c>
    </row>
    <row r="2754" spans="1:9" x14ac:dyDescent="0.25">
      <c r="A2754" t="s">
        <v>2474</v>
      </c>
      <c r="B2754" t="s">
        <v>13</v>
      </c>
      <c r="C2754">
        <v>19.670000000000002</v>
      </c>
      <c r="D2754">
        <v>21</v>
      </c>
      <c r="E2754" t="s">
        <v>17</v>
      </c>
      <c r="F2754">
        <v>25.88</v>
      </c>
      <c r="G2754">
        <v>22.67</v>
      </c>
      <c r="H2754" t="s">
        <v>17</v>
      </c>
      <c r="I2754" t="str">
        <f>"060003901212"</f>
        <v>060003901212</v>
      </c>
    </row>
    <row r="2755" spans="1:9" x14ac:dyDescent="0.25">
      <c r="A2755" t="s">
        <v>2475</v>
      </c>
      <c r="B2755" t="s">
        <v>13</v>
      </c>
      <c r="C2755">
        <v>69.739999999999995</v>
      </c>
      <c r="D2755">
        <v>68.89</v>
      </c>
      <c r="E2755" t="s">
        <v>17</v>
      </c>
      <c r="F2755">
        <v>24.05</v>
      </c>
      <c r="G2755">
        <v>24.87</v>
      </c>
      <c r="H2755" t="s">
        <v>17</v>
      </c>
      <c r="I2755" t="str">
        <f>"061623002019"</f>
        <v>061623002019</v>
      </c>
    </row>
    <row r="2756" spans="1:9" x14ac:dyDescent="0.25">
      <c r="A2756" t="s">
        <v>2475</v>
      </c>
      <c r="B2756" t="s">
        <v>13</v>
      </c>
      <c r="C2756" t="s">
        <v>17</v>
      </c>
      <c r="D2756" t="s">
        <v>14</v>
      </c>
      <c r="E2756" t="s">
        <v>14</v>
      </c>
      <c r="F2756" t="s">
        <v>17</v>
      </c>
      <c r="G2756" t="s">
        <v>14</v>
      </c>
      <c r="H2756" t="s">
        <v>14</v>
      </c>
      <c r="I2756" t="str">
        <f>"062466013098"</f>
        <v>062466013098</v>
      </c>
    </row>
    <row r="2757" spans="1:9" x14ac:dyDescent="0.25">
      <c r="A2757" t="s">
        <v>2476</v>
      </c>
      <c r="B2757" t="s">
        <v>13</v>
      </c>
      <c r="C2757">
        <v>29.33</v>
      </c>
      <c r="D2757">
        <v>27.8</v>
      </c>
      <c r="E2757" t="s">
        <v>17</v>
      </c>
      <c r="F2757">
        <v>22.57</v>
      </c>
      <c r="G2757">
        <v>23.49</v>
      </c>
      <c r="H2757" t="s">
        <v>17</v>
      </c>
      <c r="I2757" t="str">
        <f>"060797007667"</f>
        <v>060797007667</v>
      </c>
    </row>
    <row r="2758" spans="1:9" x14ac:dyDescent="0.25">
      <c r="A2758" t="s">
        <v>2477</v>
      </c>
      <c r="B2758" t="s">
        <v>13</v>
      </c>
      <c r="C2758">
        <v>20</v>
      </c>
      <c r="D2758">
        <v>19.579999999999998</v>
      </c>
      <c r="E2758" t="s">
        <v>17</v>
      </c>
      <c r="F2758">
        <v>20.65</v>
      </c>
      <c r="G2758">
        <v>21.2</v>
      </c>
      <c r="H2758" t="s">
        <v>17</v>
      </c>
      <c r="I2758" t="str">
        <f>"062961004583"</f>
        <v>062961004583</v>
      </c>
    </row>
    <row r="2759" spans="1:9" x14ac:dyDescent="0.25">
      <c r="A2759" t="s">
        <v>2478</v>
      </c>
      <c r="B2759" t="s">
        <v>13</v>
      </c>
      <c r="C2759" t="s">
        <v>17</v>
      </c>
      <c r="D2759" t="s">
        <v>14</v>
      </c>
      <c r="E2759" t="s">
        <v>14</v>
      </c>
      <c r="F2759" t="s">
        <v>17</v>
      </c>
      <c r="G2759" t="s">
        <v>14</v>
      </c>
      <c r="H2759" t="s">
        <v>14</v>
      </c>
      <c r="I2759" t="str">
        <f>"061203013544"</f>
        <v>061203013544</v>
      </c>
    </row>
    <row r="2760" spans="1:9" x14ac:dyDescent="0.25">
      <c r="A2760" t="s">
        <v>2479</v>
      </c>
      <c r="B2760" t="s">
        <v>13</v>
      </c>
      <c r="C2760">
        <v>12.7</v>
      </c>
      <c r="D2760">
        <v>12.4</v>
      </c>
      <c r="E2760" t="s">
        <v>17</v>
      </c>
      <c r="F2760">
        <v>23.62</v>
      </c>
      <c r="G2760">
        <v>23.63</v>
      </c>
      <c r="H2760" t="s">
        <v>17</v>
      </c>
      <c r="I2760" t="str">
        <f>"062664004018"</f>
        <v>062664004018</v>
      </c>
    </row>
    <row r="2761" spans="1:9" x14ac:dyDescent="0.25">
      <c r="A2761" t="s">
        <v>2480</v>
      </c>
      <c r="B2761" t="s">
        <v>13</v>
      </c>
      <c r="C2761">
        <v>13</v>
      </c>
      <c r="D2761">
        <v>13</v>
      </c>
      <c r="E2761" t="s">
        <v>17</v>
      </c>
      <c r="F2761">
        <v>11.77</v>
      </c>
      <c r="G2761">
        <v>11</v>
      </c>
      <c r="H2761" t="s">
        <v>17</v>
      </c>
      <c r="I2761" t="str">
        <f>"069102711055"</f>
        <v>069102711055</v>
      </c>
    </row>
    <row r="2762" spans="1:9" x14ac:dyDescent="0.25">
      <c r="A2762" t="s">
        <v>2481</v>
      </c>
      <c r="B2762" t="s">
        <v>13</v>
      </c>
      <c r="C2762">
        <v>15.5</v>
      </c>
      <c r="D2762">
        <v>15.5</v>
      </c>
      <c r="E2762" t="s">
        <v>17</v>
      </c>
      <c r="F2762">
        <v>28.06</v>
      </c>
      <c r="G2762">
        <v>25.94</v>
      </c>
      <c r="H2762" t="s">
        <v>17</v>
      </c>
      <c r="I2762" t="str">
        <f>"062019002411"</f>
        <v>062019002411</v>
      </c>
    </row>
    <row r="2763" spans="1:9" x14ac:dyDescent="0.25">
      <c r="A2763" t="s">
        <v>2482</v>
      </c>
      <c r="B2763" t="s">
        <v>13</v>
      </c>
      <c r="C2763">
        <v>48.01</v>
      </c>
      <c r="D2763">
        <v>45</v>
      </c>
      <c r="E2763" t="s">
        <v>17</v>
      </c>
      <c r="F2763">
        <v>26.02</v>
      </c>
      <c r="G2763">
        <v>26.69</v>
      </c>
      <c r="H2763" t="s">
        <v>17</v>
      </c>
      <c r="I2763" t="str">
        <f>"060985011247"</f>
        <v>060985011247</v>
      </c>
    </row>
    <row r="2764" spans="1:9" x14ac:dyDescent="0.25">
      <c r="A2764" t="s">
        <v>2483</v>
      </c>
      <c r="B2764" t="s">
        <v>13</v>
      </c>
      <c r="C2764">
        <v>54.17</v>
      </c>
      <c r="D2764">
        <v>55.2</v>
      </c>
      <c r="E2764" t="s">
        <v>17</v>
      </c>
      <c r="F2764">
        <v>23.94</v>
      </c>
      <c r="G2764">
        <v>23.61</v>
      </c>
      <c r="H2764" t="s">
        <v>17</v>
      </c>
      <c r="I2764" t="str">
        <f>"063255005022"</f>
        <v>063255005022</v>
      </c>
    </row>
    <row r="2765" spans="1:9" x14ac:dyDescent="0.25">
      <c r="A2765" t="s">
        <v>2484</v>
      </c>
      <c r="B2765" t="s">
        <v>13</v>
      </c>
      <c r="C2765">
        <v>7</v>
      </c>
      <c r="D2765">
        <v>9</v>
      </c>
      <c r="E2765" t="s">
        <v>17</v>
      </c>
      <c r="F2765">
        <v>30</v>
      </c>
      <c r="G2765">
        <v>28.44</v>
      </c>
      <c r="H2765" t="s">
        <v>17</v>
      </c>
      <c r="I2765" t="str">
        <f>"063423005396"</f>
        <v>063423005396</v>
      </c>
    </row>
    <row r="2766" spans="1:9" x14ac:dyDescent="0.25">
      <c r="A2766" t="s">
        <v>2485</v>
      </c>
      <c r="B2766" t="s">
        <v>13</v>
      </c>
      <c r="C2766">
        <v>21.14</v>
      </c>
      <c r="D2766">
        <v>22.24</v>
      </c>
      <c r="E2766" t="s">
        <v>17</v>
      </c>
      <c r="F2766">
        <v>18.07</v>
      </c>
      <c r="G2766">
        <v>18.66</v>
      </c>
      <c r="H2766" t="s">
        <v>17</v>
      </c>
      <c r="I2766" t="str">
        <f>"063099004798"</f>
        <v>063099004798</v>
      </c>
    </row>
    <row r="2767" spans="1:9" x14ac:dyDescent="0.25">
      <c r="A2767" t="s">
        <v>2486</v>
      </c>
      <c r="B2767" t="s">
        <v>13</v>
      </c>
      <c r="C2767">
        <v>73.5</v>
      </c>
      <c r="D2767">
        <v>77.77</v>
      </c>
      <c r="E2767" t="s">
        <v>17</v>
      </c>
      <c r="F2767">
        <v>24.31</v>
      </c>
      <c r="G2767">
        <v>23.6</v>
      </c>
      <c r="H2767" t="s">
        <v>17</v>
      </c>
      <c r="I2767" t="str">
        <f>"064116010703"</f>
        <v>064116010703</v>
      </c>
    </row>
    <row r="2768" spans="1:9" x14ac:dyDescent="0.25">
      <c r="A2768" t="s">
        <v>2487</v>
      </c>
      <c r="B2768" t="s">
        <v>13</v>
      </c>
      <c r="C2768">
        <v>24</v>
      </c>
      <c r="D2768">
        <v>24</v>
      </c>
      <c r="E2768" t="s">
        <v>17</v>
      </c>
      <c r="F2768">
        <v>24.13</v>
      </c>
      <c r="G2768">
        <v>23.75</v>
      </c>
      <c r="H2768" t="s">
        <v>17</v>
      </c>
      <c r="I2768" t="str">
        <f>"062271002978"</f>
        <v>062271002978</v>
      </c>
    </row>
    <row r="2769" spans="1:9" x14ac:dyDescent="0.25">
      <c r="A2769" t="s">
        <v>2488</v>
      </c>
      <c r="B2769" t="s">
        <v>13</v>
      </c>
      <c r="C2769">
        <v>1</v>
      </c>
      <c r="D2769">
        <v>1</v>
      </c>
      <c r="E2769" t="s">
        <v>17</v>
      </c>
      <c r="F2769">
        <v>5</v>
      </c>
      <c r="G2769">
        <v>11</v>
      </c>
      <c r="H2769" t="s">
        <v>17</v>
      </c>
      <c r="I2769" t="str">
        <f>"069100611579"</f>
        <v>069100611579</v>
      </c>
    </row>
    <row r="2770" spans="1:9" x14ac:dyDescent="0.25">
      <c r="A2770" t="s">
        <v>2489</v>
      </c>
      <c r="B2770" t="s">
        <v>13</v>
      </c>
      <c r="C2770">
        <v>27</v>
      </c>
      <c r="D2770">
        <v>26</v>
      </c>
      <c r="E2770" t="s">
        <v>17</v>
      </c>
      <c r="F2770">
        <v>29.44</v>
      </c>
      <c r="G2770">
        <v>29.46</v>
      </c>
      <c r="H2770" t="s">
        <v>17</v>
      </c>
      <c r="I2770" t="str">
        <f>"062088002506"</f>
        <v>062088002506</v>
      </c>
    </row>
    <row r="2771" spans="1:9" x14ac:dyDescent="0.25">
      <c r="A2771" t="s">
        <v>2489</v>
      </c>
      <c r="B2771" t="s">
        <v>13</v>
      </c>
      <c r="C2771">
        <v>18.53</v>
      </c>
      <c r="D2771">
        <v>29.83</v>
      </c>
      <c r="E2771" t="s">
        <v>17</v>
      </c>
      <c r="F2771">
        <v>30.06</v>
      </c>
      <c r="G2771">
        <v>22.7</v>
      </c>
      <c r="H2771" t="s">
        <v>17</v>
      </c>
      <c r="I2771" t="str">
        <f>"063801006404"</f>
        <v>063801006404</v>
      </c>
    </row>
    <row r="2772" spans="1:9" x14ac:dyDescent="0.25">
      <c r="A2772" t="s">
        <v>2489</v>
      </c>
      <c r="B2772" t="s">
        <v>13</v>
      </c>
      <c r="C2772">
        <v>15</v>
      </c>
      <c r="D2772">
        <v>16</v>
      </c>
      <c r="E2772" t="s">
        <v>17</v>
      </c>
      <c r="F2772">
        <v>20.53</v>
      </c>
      <c r="G2772">
        <v>19</v>
      </c>
      <c r="H2772" t="s">
        <v>17</v>
      </c>
      <c r="I2772" t="str">
        <f>"063441005605"</f>
        <v>063441005605</v>
      </c>
    </row>
    <row r="2773" spans="1:9" x14ac:dyDescent="0.25">
      <c r="A2773" t="s">
        <v>2490</v>
      </c>
      <c r="B2773" t="s">
        <v>13</v>
      </c>
      <c r="C2773">
        <v>59.94</v>
      </c>
      <c r="D2773">
        <v>59.69</v>
      </c>
      <c r="E2773" t="s">
        <v>17</v>
      </c>
      <c r="F2773">
        <v>22.99</v>
      </c>
      <c r="G2773">
        <v>23.59</v>
      </c>
      <c r="H2773" t="s">
        <v>17</v>
      </c>
      <c r="I2773" t="str">
        <f>"061207001342"</f>
        <v>061207001342</v>
      </c>
    </row>
    <row r="2774" spans="1:9" x14ac:dyDescent="0.25">
      <c r="A2774" t="s">
        <v>2490</v>
      </c>
      <c r="B2774" t="s">
        <v>13</v>
      </c>
      <c r="C2774">
        <v>82.93</v>
      </c>
      <c r="D2774">
        <v>83.71</v>
      </c>
      <c r="E2774" t="s">
        <v>17</v>
      </c>
      <c r="F2774">
        <v>23.19</v>
      </c>
      <c r="G2774">
        <v>23.83</v>
      </c>
      <c r="H2774" t="s">
        <v>17</v>
      </c>
      <c r="I2774" t="str">
        <f>"063066004757"</f>
        <v>063066004757</v>
      </c>
    </row>
    <row r="2775" spans="1:9" x14ac:dyDescent="0.25">
      <c r="A2775" t="s">
        <v>2491</v>
      </c>
      <c r="B2775" t="s">
        <v>13</v>
      </c>
      <c r="C2775">
        <v>45.04</v>
      </c>
      <c r="D2775">
        <v>44.54</v>
      </c>
      <c r="E2775" t="s">
        <v>17</v>
      </c>
      <c r="F2775">
        <v>23</v>
      </c>
      <c r="G2775">
        <v>24.34</v>
      </c>
      <c r="H2775" t="s">
        <v>17</v>
      </c>
      <c r="I2775" t="str">
        <f>"062637003944"</f>
        <v>062637003944</v>
      </c>
    </row>
    <row r="2776" spans="1:9" x14ac:dyDescent="0.25">
      <c r="A2776" t="s">
        <v>2492</v>
      </c>
      <c r="B2776" t="s">
        <v>13</v>
      </c>
      <c r="C2776">
        <v>23</v>
      </c>
      <c r="D2776">
        <v>24.1</v>
      </c>
      <c r="E2776" t="s">
        <v>17</v>
      </c>
      <c r="F2776">
        <v>30.61</v>
      </c>
      <c r="G2776">
        <v>28.51</v>
      </c>
      <c r="H2776" t="s">
        <v>17</v>
      </c>
      <c r="I2776" t="str">
        <f>"063393005320"</f>
        <v>063393005320</v>
      </c>
    </row>
    <row r="2777" spans="1:9" x14ac:dyDescent="0.25">
      <c r="A2777" t="s">
        <v>2493</v>
      </c>
      <c r="B2777" t="s">
        <v>13</v>
      </c>
      <c r="C2777">
        <v>21.5</v>
      </c>
      <c r="D2777">
        <v>21</v>
      </c>
      <c r="E2777" t="s">
        <v>17</v>
      </c>
      <c r="F2777">
        <v>23.81</v>
      </c>
      <c r="G2777">
        <v>24.52</v>
      </c>
      <c r="H2777" t="s">
        <v>17</v>
      </c>
      <c r="I2777" t="str">
        <f>"060678000597"</f>
        <v>060678000597</v>
      </c>
    </row>
    <row r="2778" spans="1:9" x14ac:dyDescent="0.25">
      <c r="A2778" t="s">
        <v>2494</v>
      </c>
      <c r="B2778" t="s">
        <v>13</v>
      </c>
      <c r="C2778">
        <v>33.799999999999997</v>
      </c>
      <c r="D2778">
        <v>33.799999999999997</v>
      </c>
      <c r="E2778" t="s">
        <v>17</v>
      </c>
      <c r="F2778">
        <v>22.84</v>
      </c>
      <c r="G2778">
        <v>22.57</v>
      </c>
      <c r="H2778" t="s">
        <v>17</v>
      </c>
      <c r="I2778" t="str">
        <f>"061026003192"</f>
        <v>061026003192</v>
      </c>
    </row>
    <row r="2779" spans="1:9" x14ac:dyDescent="0.25">
      <c r="A2779" t="s">
        <v>2495</v>
      </c>
      <c r="B2779" t="s">
        <v>13</v>
      </c>
      <c r="C2779">
        <v>4</v>
      </c>
      <c r="D2779" t="s">
        <v>14</v>
      </c>
      <c r="E2779" t="s">
        <v>14</v>
      </c>
      <c r="F2779">
        <v>20.25</v>
      </c>
      <c r="G2779" t="s">
        <v>14</v>
      </c>
      <c r="H2779" t="s">
        <v>14</v>
      </c>
      <c r="I2779" t="str">
        <f>"060171013193"</f>
        <v>060171013193</v>
      </c>
    </row>
    <row r="2780" spans="1:9" x14ac:dyDescent="0.25">
      <c r="A2780" t="s">
        <v>2496</v>
      </c>
      <c r="B2780" t="s">
        <v>13</v>
      </c>
      <c r="C2780">
        <v>78.97</v>
      </c>
      <c r="D2780">
        <v>80.400000000000006</v>
      </c>
      <c r="E2780" t="s">
        <v>17</v>
      </c>
      <c r="F2780">
        <v>26.54</v>
      </c>
      <c r="G2780">
        <v>27.45</v>
      </c>
      <c r="H2780" t="s">
        <v>17</v>
      </c>
      <c r="I2780" t="str">
        <f>"062865004425"</f>
        <v>062865004425</v>
      </c>
    </row>
    <row r="2781" spans="1:9" x14ac:dyDescent="0.25">
      <c r="A2781" t="s">
        <v>2497</v>
      </c>
      <c r="B2781" t="s">
        <v>13</v>
      </c>
      <c r="C2781">
        <v>31.8</v>
      </c>
      <c r="D2781">
        <v>35</v>
      </c>
      <c r="E2781" t="s">
        <v>17</v>
      </c>
      <c r="F2781">
        <v>21.19</v>
      </c>
      <c r="G2781">
        <v>21.51</v>
      </c>
      <c r="H2781" t="s">
        <v>17</v>
      </c>
      <c r="I2781" t="str">
        <f>"060267000194"</f>
        <v>060267000194</v>
      </c>
    </row>
    <row r="2782" spans="1:9" x14ac:dyDescent="0.25">
      <c r="A2782" t="s">
        <v>2498</v>
      </c>
      <c r="B2782" t="s">
        <v>13</v>
      </c>
      <c r="C2782">
        <v>20.55</v>
      </c>
      <c r="D2782">
        <v>21.35</v>
      </c>
      <c r="E2782" t="s">
        <v>17</v>
      </c>
      <c r="F2782">
        <v>24.09</v>
      </c>
      <c r="G2782">
        <v>22.62</v>
      </c>
      <c r="H2782" t="s">
        <v>17</v>
      </c>
      <c r="I2782" t="str">
        <f>"062637003945"</f>
        <v>062637003945</v>
      </c>
    </row>
    <row r="2783" spans="1:9" x14ac:dyDescent="0.25">
      <c r="A2783" t="s">
        <v>2499</v>
      </c>
      <c r="B2783" t="s">
        <v>13</v>
      </c>
      <c r="C2783">
        <v>79.8</v>
      </c>
      <c r="D2783">
        <v>75.95</v>
      </c>
      <c r="E2783" t="s">
        <v>17</v>
      </c>
      <c r="F2783">
        <v>23.86</v>
      </c>
      <c r="G2783">
        <v>25.39</v>
      </c>
      <c r="H2783" t="s">
        <v>17</v>
      </c>
      <c r="I2783" t="str">
        <f>"061212001364"</f>
        <v>061212001364</v>
      </c>
    </row>
    <row r="2784" spans="1:9" x14ac:dyDescent="0.25">
      <c r="A2784" t="s">
        <v>2500</v>
      </c>
      <c r="B2784" t="s">
        <v>13</v>
      </c>
      <c r="C2784">
        <v>47.51</v>
      </c>
      <c r="D2784">
        <v>48.7</v>
      </c>
      <c r="E2784" t="s">
        <v>17</v>
      </c>
      <c r="F2784">
        <v>19.41</v>
      </c>
      <c r="G2784">
        <v>19.47</v>
      </c>
      <c r="H2784" t="s">
        <v>17</v>
      </c>
      <c r="I2784" t="str">
        <f>"061035008661"</f>
        <v>061035008661</v>
      </c>
    </row>
    <row r="2785" spans="1:9" x14ac:dyDescent="0.25">
      <c r="A2785" t="s">
        <v>2501</v>
      </c>
      <c r="B2785" t="s">
        <v>13</v>
      </c>
      <c r="C2785">
        <v>4</v>
      </c>
      <c r="D2785">
        <v>3.5</v>
      </c>
      <c r="E2785" t="s">
        <v>17</v>
      </c>
      <c r="F2785">
        <v>10.75</v>
      </c>
      <c r="G2785">
        <v>14.57</v>
      </c>
      <c r="H2785" t="s">
        <v>17</v>
      </c>
      <c r="I2785" t="str">
        <f>"061212007516"</f>
        <v>061212007516</v>
      </c>
    </row>
    <row r="2786" spans="1:9" x14ac:dyDescent="0.25">
      <c r="A2786" t="s">
        <v>2502</v>
      </c>
      <c r="B2786" t="s">
        <v>13</v>
      </c>
      <c r="C2786" t="s">
        <v>14</v>
      </c>
      <c r="D2786" t="s">
        <v>17</v>
      </c>
      <c r="E2786" t="s">
        <v>14</v>
      </c>
      <c r="F2786" t="s">
        <v>17</v>
      </c>
      <c r="G2786" t="s">
        <v>17</v>
      </c>
      <c r="H2786" t="s">
        <v>14</v>
      </c>
      <c r="I2786" t="str">
        <f>"061212013039"</f>
        <v>061212013039</v>
      </c>
    </row>
    <row r="2787" spans="1:9" x14ac:dyDescent="0.25">
      <c r="A2787" t="s">
        <v>2503</v>
      </c>
      <c r="B2787" t="s">
        <v>13</v>
      </c>
      <c r="C2787">
        <v>28</v>
      </c>
      <c r="D2787">
        <v>28.6</v>
      </c>
      <c r="E2787" t="s">
        <v>17</v>
      </c>
      <c r="F2787">
        <v>21.54</v>
      </c>
      <c r="G2787">
        <v>22.73</v>
      </c>
      <c r="H2787" t="s">
        <v>17</v>
      </c>
      <c r="I2787" t="str">
        <f>"062037002453"</f>
        <v>062037002453</v>
      </c>
    </row>
    <row r="2788" spans="1:9" x14ac:dyDescent="0.25">
      <c r="A2788" t="s">
        <v>2504</v>
      </c>
      <c r="B2788" t="s">
        <v>13</v>
      </c>
      <c r="C2788">
        <v>7</v>
      </c>
      <c r="D2788">
        <v>7</v>
      </c>
      <c r="E2788" t="s">
        <v>17</v>
      </c>
      <c r="F2788">
        <v>27.43</v>
      </c>
      <c r="G2788">
        <v>24.29</v>
      </c>
      <c r="H2788" t="s">
        <v>17</v>
      </c>
      <c r="I2788" t="str">
        <f>"061215001368"</f>
        <v>061215001368</v>
      </c>
    </row>
    <row r="2789" spans="1:9" x14ac:dyDescent="0.25">
      <c r="A2789" t="s">
        <v>2505</v>
      </c>
      <c r="B2789" t="s">
        <v>13</v>
      </c>
      <c r="C2789">
        <v>19</v>
      </c>
      <c r="D2789">
        <v>19.5</v>
      </c>
      <c r="E2789" t="s">
        <v>17</v>
      </c>
      <c r="F2789">
        <v>25</v>
      </c>
      <c r="G2789">
        <v>25.03</v>
      </c>
      <c r="H2789" t="s">
        <v>17</v>
      </c>
      <c r="I2789" t="str">
        <f>"062271002979"</f>
        <v>062271002979</v>
      </c>
    </row>
    <row r="2790" spans="1:9" x14ac:dyDescent="0.25">
      <c r="A2790" t="s">
        <v>2506</v>
      </c>
      <c r="B2790" t="s">
        <v>13</v>
      </c>
      <c r="C2790">
        <v>17.600000000000001</v>
      </c>
      <c r="D2790">
        <v>17</v>
      </c>
      <c r="E2790" t="s">
        <v>17</v>
      </c>
      <c r="F2790">
        <v>27.16</v>
      </c>
      <c r="G2790">
        <v>28.06</v>
      </c>
      <c r="H2790" t="s">
        <v>17</v>
      </c>
      <c r="I2790" t="str">
        <f>"062301005900"</f>
        <v>062301005900</v>
      </c>
    </row>
    <row r="2791" spans="1:9" x14ac:dyDescent="0.25">
      <c r="A2791" t="s">
        <v>2507</v>
      </c>
      <c r="B2791" t="s">
        <v>13</v>
      </c>
      <c r="C2791">
        <v>24.94</v>
      </c>
      <c r="D2791">
        <v>27.23</v>
      </c>
      <c r="E2791" t="s">
        <v>17</v>
      </c>
      <c r="F2791">
        <v>25.82</v>
      </c>
      <c r="G2791">
        <v>25.52</v>
      </c>
      <c r="H2791" t="s">
        <v>17</v>
      </c>
      <c r="I2791" t="str">
        <f>"061284001447"</f>
        <v>061284001447</v>
      </c>
    </row>
    <row r="2792" spans="1:9" x14ac:dyDescent="0.25">
      <c r="A2792" t="s">
        <v>2508</v>
      </c>
      <c r="B2792" t="s">
        <v>13</v>
      </c>
      <c r="C2792">
        <v>13.65</v>
      </c>
      <c r="D2792">
        <v>10</v>
      </c>
      <c r="E2792" t="s">
        <v>14</v>
      </c>
      <c r="F2792">
        <v>26.15</v>
      </c>
      <c r="G2792">
        <v>28.6</v>
      </c>
      <c r="H2792" t="s">
        <v>14</v>
      </c>
      <c r="I2792" t="str">
        <f>"063398012977"</f>
        <v>063398012977</v>
      </c>
    </row>
    <row r="2793" spans="1:9" x14ac:dyDescent="0.25">
      <c r="A2793" t="s">
        <v>2509</v>
      </c>
      <c r="B2793" t="s">
        <v>13</v>
      </c>
      <c r="C2793">
        <v>1.97</v>
      </c>
      <c r="D2793">
        <v>3.16</v>
      </c>
      <c r="E2793" t="s">
        <v>17</v>
      </c>
      <c r="F2793">
        <v>6.6</v>
      </c>
      <c r="G2793">
        <v>10.130000000000001</v>
      </c>
      <c r="H2793" t="s">
        <v>17</v>
      </c>
      <c r="I2793" t="str">
        <f>"061384001560"</f>
        <v>061384001560</v>
      </c>
    </row>
    <row r="2794" spans="1:9" x14ac:dyDescent="0.25">
      <c r="A2794" t="s">
        <v>2510</v>
      </c>
      <c r="B2794" t="s">
        <v>13</v>
      </c>
      <c r="C2794">
        <v>42.31</v>
      </c>
      <c r="D2794">
        <v>43.14</v>
      </c>
      <c r="E2794" t="s">
        <v>17</v>
      </c>
      <c r="F2794">
        <v>28.29</v>
      </c>
      <c r="G2794">
        <v>27.31</v>
      </c>
      <c r="H2794" t="s">
        <v>17</v>
      </c>
      <c r="I2794" t="str">
        <f>"062865004426"</f>
        <v>062865004426</v>
      </c>
    </row>
    <row r="2795" spans="1:9" x14ac:dyDescent="0.25">
      <c r="A2795" t="s">
        <v>2511</v>
      </c>
      <c r="B2795" t="s">
        <v>13</v>
      </c>
      <c r="C2795">
        <v>121.68</v>
      </c>
      <c r="D2795">
        <v>121.83</v>
      </c>
      <c r="E2795" t="s">
        <v>17</v>
      </c>
      <c r="F2795">
        <v>24.66</v>
      </c>
      <c r="G2795">
        <v>24.94</v>
      </c>
      <c r="H2795" t="s">
        <v>17</v>
      </c>
      <c r="I2795" t="str">
        <f>"061218001372"</f>
        <v>061218001372</v>
      </c>
    </row>
    <row r="2796" spans="1:9" x14ac:dyDescent="0.25">
      <c r="A2796" t="s">
        <v>2512</v>
      </c>
      <c r="B2796" t="s">
        <v>13</v>
      </c>
      <c r="C2796">
        <v>25.5</v>
      </c>
      <c r="D2796">
        <v>24.5</v>
      </c>
      <c r="E2796" t="s">
        <v>17</v>
      </c>
      <c r="F2796">
        <v>21.84</v>
      </c>
      <c r="G2796">
        <v>21.84</v>
      </c>
      <c r="H2796" t="s">
        <v>17</v>
      </c>
      <c r="I2796" t="str">
        <f>"061026001118"</f>
        <v>061026001118</v>
      </c>
    </row>
    <row r="2797" spans="1:9" x14ac:dyDescent="0.25">
      <c r="A2797" t="s">
        <v>2513</v>
      </c>
      <c r="B2797" t="s">
        <v>13</v>
      </c>
      <c r="C2797">
        <v>20.100000000000001</v>
      </c>
      <c r="D2797">
        <v>21.5</v>
      </c>
      <c r="E2797" t="s">
        <v>17</v>
      </c>
      <c r="F2797">
        <v>28.46</v>
      </c>
      <c r="G2797">
        <v>26.14</v>
      </c>
      <c r="H2797" t="s">
        <v>17</v>
      </c>
      <c r="I2797" t="str">
        <f>"061518001909"</f>
        <v>061518001909</v>
      </c>
    </row>
    <row r="2798" spans="1:9" x14ac:dyDescent="0.25">
      <c r="A2798" t="s">
        <v>2514</v>
      </c>
      <c r="B2798" t="s">
        <v>13</v>
      </c>
      <c r="C2798">
        <v>47.21</v>
      </c>
      <c r="D2798">
        <v>46</v>
      </c>
      <c r="E2798" t="s">
        <v>17</v>
      </c>
      <c r="F2798">
        <v>23.74</v>
      </c>
      <c r="G2798">
        <v>23.2</v>
      </c>
      <c r="H2798" t="s">
        <v>17</v>
      </c>
      <c r="I2798" t="str">
        <f>"060876000890"</f>
        <v>060876000890</v>
      </c>
    </row>
    <row r="2799" spans="1:9" x14ac:dyDescent="0.25">
      <c r="A2799" t="s">
        <v>2515</v>
      </c>
      <c r="B2799" t="s">
        <v>13</v>
      </c>
      <c r="C2799">
        <v>39.75</v>
      </c>
      <c r="D2799">
        <v>37.15</v>
      </c>
      <c r="E2799" t="s">
        <v>17</v>
      </c>
      <c r="F2799">
        <v>16.96</v>
      </c>
      <c r="G2799">
        <v>17.23</v>
      </c>
      <c r="H2799" t="s">
        <v>17</v>
      </c>
      <c r="I2799" t="str">
        <f>"060483000473"</f>
        <v>060483000473</v>
      </c>
    </row>
    <row r="2800" spans="1:9" x14ac:dyDescent="0.25">
      <c r="A2800" t="s">
        <v>2516</v>
      </c>
      <c r="B2800" t="s">
        <v>13</v>
      </c>
      <c r="C2800">
        <v>36.299999999999997</v>
      </c>
      <c r="D2800">
        <v>36.1</v>
      </c>
      <c r="E2800" t="s">
        <v>17</v>
      </c>
      <c r="F2800">
        <v>24.77</v>
      </c>
      <c r="G2800">
        <v>24.35</v>
      </c>
      <c r="H2800" t="s">
        <v>17</v>
      </c>
      <c r="I2800" t="str">
        <f>"063398005333"</f>
        <v>063398005333</v>
      </c>
    </row>
    <row r="2801" spans="1:9" x14ac:dyDescent="0.25">
      <c r="A2801" t="s">
        <v>2517</v>
      </c>
      <c r="B2801" t="s">
        <v>13</v>
      </c>
      <c r="C2801">
        <v>51.29</v>
      </c>
      <c r="D2801">
        <v>45.89</v>
      </c>
      <c r="E2801" t="s">
        <v>17</v>
      </c>
      <c r="F2801">
        <v>24.72</v>
      </c>
      <c r="G2801">
        <v>26.67</v>
      </c>
      <c r="H2801" t="s">
        <v>17</v>
      </c>
      <c r="I2801" t="str">
        <f>"061221001388"</f>
        <v>061221001388</v>
      </c>
    </row>
    <row r="2802" spans="1:9" x14ac:dyDescent="0.25">
      <c r="A2802" t="s">
        <v>2518</v>
      </c>
      <c r="B2802" t="s">
        <v>13</v>
      </c>
      <c r="C2802">
        <v>32.799999999999997</v>
      </c>
      <c r="D2802">
        <v>30.5</v>
      </c>
      <c r="E2802" t="s">
        <v>17</v>
      </c>
      <c r="F2802">
        <v>24.24</v>
      </c>
      <c r="G2802">
        <v>25.67</v>
      </c>
      <c r="H2802" t="s">
        <v>17</v>
      </c>
      <c r="I2802" t="str">
        <f>"061221001389"</f>
        <v>061221001389</v>
      </c>
    </row>
    <row r="2803" spans="1:9" x14ac:dyDescent="0.25">
      <c r="A2803" t="s">
        <v>2519</v>
      </c>
      <c r="B2803" t="s">
        <v>13</v>
      </c>
      <c r="C2803">
        <v>11</v>
      </c>
      <c r="D2803">
        <v>10.77</v>
      </c>
      <c r="E2803" t="s">
        <v>17</v>
      </c>
      <c r="F2803">
        <v>19</v>
      </c>
      <c r="G2803">
        <v>16.25</v>
      </c>
      <c r="H2803" t="s">
        <v>17</v>
      </c>
      <c r="I2803" t="str">
        <f>"063462008192"</f>
        <v>063462008192</v>
      </c>
    </row>
    <row r="2804" spans="1:9" x14ac:dyDescent="0.25">
      <c r="A2804" t="s">
        <v>2520</v>
      </c>
      <c r="B2804" t="s">
        <v>13</v>
      </c>
      <c r="C2804">
        <v>18</v>
      </c>
      <c r="D2804">
        <v>18</v>
      </c>
      <c r="E2804" t="s">
        <v>17</v>
      </c>
      <c r="F2804">
        <v>24.33</v>
      </c>
      <c r="G2804">
        <v>24.28</v>
      </c>
      <c r="H2804" t="s">
        <v>17</v>
      </c>
      <c r="I2804" t="str">
        <f>"062271002980"</f>
        <v>062271002980</v>
      </c>
    </row>
    <row r="2805" spans="1:9" x14ac:dyDescent="0.25">
      <c r="A2805" t="s">
        <v>2521</v>
      </c>
      <c r="B2805" t="s">
        <v>13</v>
      </c>
      <c r="C2805">
        <v>74.010000000000005</v>
      </c>
      <c r="D2805">
        <v>80.52</v>
      </c>
      <c r="E2805" t="s">
        <v>17</v>
      </c>
      <c r="F2805">
        <v>19.28</v>
      </c>
      <c r="G2805">
        <v>17.850000000000001</v>
      </c>
      <c r="H2805" t="s">
        <v>17</v>
      </c>
      <c r="I2805" t="str">
        <f>"062271002982"</f>
        <v>062271002982</v>
      </c>
    </row>
    <row r="2806" spans="1:9" x14ac:dyDescent="0.25">
      <c r="A2806" t="s">
        <v>2522</v>
      </c>
      <c r="B2806" t="s">
        <v>13</v>
      </c>
      <c r="C2806">
        <v>33.11</v>
      </c>
      <c r="D2806">
        <v>31</v>
      </c>
      <c r="E2806" t="s">
        <v>17</v>
      </c>
      <c r="F2806">
        <v>22.8</v>
      </c>
      <c r="G2806">
        <v>22.68</v>
      </c>
      <c r="H2806" t="s">
        <v>17</v>
      </c>
      <c r="I2806" t="str">
        <f>"063531008755"</f>
        <v>063531008755</v>
      </c>
    </row>
    <row r="2807" spans="1:9" x14ac:dyDescent="0.25">
      <c r="A2807" t="s">
        <v>2523</v>
      </c>
      <c r="B2807" t="s">
        <v>13</v>
      </c>
      <c r="C2807" t="s">
        <v>17</v>
      </c>
      <c r="D2807">
        <v>1</v>
      </c>
      <c r="E2807" t="s">
        <v>17</v>
      </c>
      <c r="F2807" t="s">
        <v>17</v>
      </c>
      <c r="G2807">
        <v>5</v>
      </c>
      <c r="H2807" t="s">
        <v>17</v>
      </c>
      <c r="I2807" t="str">
        <f>"060002611986"</f>
        <v>060002611986</v>
      </c>
    </row>
    <row r="2808" spans="1:9" x14ac:dyDescent="0.25">
      <c r="A2808" t="s">
        <v>2524</v>
      </c>
      <c r="B2808" t="s">
        <v>13</v>
      </c>
      <c r="C2808">
        <v>6</v>
      </c>
      <c r="D2808">
        <v>9</v>
      </c>
      <c r="E2808" t="s">
        <v>17</v>
      </c>
      <c r="F2808">
        <v>28.33</v>
      </c>
      <c r="G2808">
        <v>26.11</v>
      </c>
      <c r="H2808" t="s">
        <v>17</v>
      </c>
      <c r="I2808" t="str">
        <f>"060002609485"</f>
        <v>060002609485</v>
      </c>
    </row>
    <row r="2809" spans="1:9" x14ac:dyDescent="0.25">
      <c r="A2809" t="s">
        <v>2525</v>
      </c>
      <c r="B2809" t="s">
        <v>13</v>
      </c>
      <c r="C2809">
        <v>17.5</v>
      </c>
      <c r="D2809">
        <v>21</v>
      </c>
      <c r="E2809" t="s">
        <v>17</v>
      </c>
      <c r="F2809">
        <v>27.43</v>
      </c>
      <c r="G2809">
        <v>26.52</v>
      </c>
      <c r="H2809" t="s">
        <v>17</v>
      </c>
      <c r="I2809" t="str">
        <f>"062583009937"</f>
        <v>062583009937</v>
      </c>
    </row>
    <row r="2810" spans="1:9" x14ac:dyDescent="0.25">
      <c r="A2810" t="s">
        <v>2526</v>
      </c>
      <c r="B2810" t="s">
        <v>13</v>
      </c>
      <c r="C2810">
        <v>96.6</v>
      </c>
      <c r="D2810">
        <v>98.3</v>
      </c>
      <c r="E2810" t="s">
        <v>17</v>
      </c>
      <c r="F2810">
        <v>27.85</v>
      </c>
      <c r="G2810">
        <v>28.14</v>
      </c>
      <c r="H2810" t="s">
        <v>17</v>
      </c>
      <c r="I2810" t="str">
        <f>"063386005296"</f>
        <v>063386005296</v>
      </c>
    </row>
    <row r="2811" spans="1:9" x14ac:dyDescent="0.25">
      <c r="A2811" t="s">
        <v>2527</v>
      </c>
      <c r="B2811" t="s">
        <v>13</v>
      </c>
      <c r="C2811">
        <v>22</v>
      </c>
      <c r="D2811">
        <v>21</v>
      </c>
      <c r="E2811" t="s">
        <v>17</v>
      </c>
      <c r="F2811">
        <v>21.36</v>
      </c>
      <c r="G2811">
        <v>21.81</v>
      </c>
      <c r="H2811" t="s">
        <v>17</v>
      </c>
      <c r="I2811" t="str">
        <f>"062667004043"</f>
        <v>062667004043</v>
      </c>
    </row>
    <row r="2812" spans="1:9" x14ac:dyDescent="0.25">
      <c r="A2812" t="s">
        <v>2528</v>
      </c>
      <c r="B2812" t="s">
        <v>13</v>
      </c>
      <c r="C2812">
        <v>17</v>
      </c>
      <c r="D2812">
        <v>20.56</v>
      </c>
      <c r="E2812" t="s">
        <v>17</v>
      </c>
      <c r="F2812">
        <v>25.71</v>
      </c>
      <c r="G2812">
        <v>20.91</v>
      </c>
      <c r="H2812" t="s">
        <v>17</v>
      </c>
      <c r="I2812" t="str">
        <f>"063720006300"</f>
        <v>063720006300</v>
      </c>
    </row>
    <row r="2813" spans="1:9" x14ac:dyDescent="0.25">
      <c r="A2813" t="s">
        <v>2529</v>
      </c>
      <c r="B2813" t="s">
        <v>13</v>
      </c>
      <c r="C2813">
        <v>17</v>
      </c>
      <c r="D2813">
        <v>20</v>
      </c>
      <c r="E2813" t="s">
        <v>17</v>
      </c>
      <c r="F2813">
        <v>20.82</v>
      </c>
      <c r="G2813">
        <v>19.3</v>
      </c>
      <c r="H2813" t="s">
        <v>17</v>
      </c>
      <c r="I2813" t="str">
        <f>"062513003729"</f>
        <v>062513003729</v>
      </c>
    </row>
    <row r="2814" spans="1:9" x14ac:dyDescent="0.25">
      <c r="A2814" t="s">
        <v>2530</v>
      </c>
      <c r="B2814" t="s">
        <v>13</v>
      </c>
      <c r="C2814">
        <v>16</v>
      </c>
      <c r="D2814">
        <v>16</v>
      </c>
      <c r="E2814" t="s">
        <v>17</v>
      </c>
      <c r="F2814">
        <v>30</v>
      </c>
      <c r="G2814">
        <v>30.5</v>
      </c>
      <c r="H2814" t="s">
        <v>17</v>
      </c>
      <c r="I2814" t="str">
        <f>"064116006789"</f>
        <v>064116006789</v>
      </c>
    </row>
    <row r="2815" spans="1:9" x14ac:dyDescent="0.25">
      <c r="A2815" t="s">
        <v>2531</v>
      </c>
      <c r="B2815" t="s">
        <v>13</v>
      </c>
      <c r="C2815">
        <v>25</v>
      </c>
      <c r="D2815">
        <v>23.4</v>
      </c>
      <c r="E2815" t="s">
        <v>17</v>
      </c>
      <c r="F2815">
        <v>29.8</v>
      </c>
      <c r="G2815">
        <v>29.91</v>
      </c>
      <c r="H2815" t="s">
        <v>17</v>
      </c>
      <c r="I2815" t="str">
        <f>"063384005238"</f>
        <v>063384005238</v>
      </c>
    </row>
    <row r="2816" spans="1:9" x14ac:dyDescent="0.25">
      <c r="A2816" t="s">
        <v>2532</v>
      </c>
      <c r="B2816" t="s">
        <v>13</v>
      </c>
      <c r="C2816">
        <v>33</v>
      </c>
      <c r="D2816">
        <v>29</v>
      </c>
      <c r="E2816" t="s">
        <v>17</v>
      </c>
      <c r="F2816">
        <v>25.09</v>
      </c>
      <c r="G2816">
        <v>26.31</v>
      </c>
      <c r="H2816" t="s">
        <v>17</v>
      </c>
      <c r="I2816" t="str">
        <f>"062847004397"</f>
        <v>062847004397</v>
      </c>
    </row>
    <row r="2817" spans="1:9" x14ac:dyDescent="0.25">
      <c r="A2817" t="s">
        <v>2533</v>
      </c>
      <c r="B2817" t="s">
        <v>13</v>
      </c>
      <c r="C2817">
        <v>17.93</v>
      </c>
      <c r="D2817">
        <v>23.88</v>
      </c>
      <c r="E2817" t="s">
        <v>17</v>
      </c>
      <c r="F2817">
        <v>31.12</v>
      </c>
      <c r="G2817">
        <v>24.87</v>
      </c>
      <c r="H2817" t="s">
        <v>17</v>
      </c>
      <c r="I2817" t="str">
        <f>"061674002111"</f>
        <v>061674002111</v>
      </c>
    </row>
    <row r="2818" spans="1:9" x14ac:dyDescent="0.25">
      <c r="A2818" t="s">
        <v>2534</v>
      </c>
      <c r="B2818" t="s">
        <v>13</v>
      </c>
      <c r="C2818">
        <v>46.4</v>
      </c>
      <c r="D2818">
        <v>49.3</v>
      </c>
      <c r="E2818" t="s">
        <v>17</v>
      </c>
      <c r="F2818">
        <v>24.46</v>
      </c>
      <c r="G2818">
        <v>24.65</v>
      </c>
      <c r="H2818" t="s">
        <v>17</v>
      </c>
      <c r="I2818" t="str">
        <f>"061524001946"</f>
        <v>061524001946</v>
      </c>
    </row>
    <row r="2819" spans="1:9" x14ac:dyDescent="0.25">
      <c r="A2819" t="s">
        <v>2535</v>
      </c>
      <c r="B2819" t="s">
        <v>13</v>
      </c>
      <c r="C2819" t="s">
        <v>14</v>
      </c>
      <c r="D2819">
        <v>29.5</v>
      </c>
      <c r="E2819" t="s">
        <v>17</v>
      </c>
      <c r="F2819" t="s">
        <v>17</v>
      </c>
      <c r="G2819">
        <v>24.41</v>
      </c>
      <c r="H2819" t="s">
        <v>17</v>
      </c>
      <c r="I2819" t="str">
        <f>"060001910735"</f>
        <v>060001910735</v>
      </c>
    </row>
    <row r="2820" spans="1:9" x14ac:dyDescent="0.25">
      <c r="A2820" t="s">
        <v>2535</v>
      </c>
      <c r="B2820" t="s">
        <v>13</v>
      </c>
      <c r="C2820">
        <v>32.35</v>
      </c>
      <c r="D2820" t="s">
        <v>14</v>
      </c>
      <c r="E2820" t="s">
        <v>14</v>
      </c>
      <c r="F2820">
        <v>26.03</v>
      </c>
      <c r="G2820" t="s">
        <v>14</v>
      </c>
      <c r="H2820" t="s">
        <v>14</v>
      </c>
      <c r="I2820" t="str">
        <f>"060001913169"</f>
        <v>060001913169</v>
      </c>
    </row>
    <row r="2821" spans="1:9" x14ac:dyDescent="0.25">
      <c r="A2821" t="s">
        <v>2536</v>
      </c>
      <c r="B2821" t="s">
        <v>13</v>
      </c>
      <c r="C2821">
        <v>11.95</v>
      </c>
      <c r="D2821">
        <v>9.1999999999999993</v>
      </c>
      <c r="E2821" t="s">
        <v>17</v>
      </c>
      <c r="F2821">
        <v>21</v>
      </c>
      <c r="G2821">
        <v>22.83</v>
      </c>
      <c r="H2821" t="s">
        <v>17</v>
      </c>
      <c r="I2821" t="str">
        <f>"069104510445"</f>
        <v>069104510445</v>
      </c>
    </row>
    <row r="2822" spans="1:9" x14ac:dyDescent="0.25">
      <c r="A2822" t="s">
        <v>2537</v>
      </c>
      <c r="B2822" t="s">
        <v>13</v>
      </c>
      <c r="C2822">
        <v>128.6</v>
      </c>
      <c r="D2822">
        <v>122</v>
      </c>
      <c r="E2822" t="s">
        <v>17</v>
      </c>
      <c r="F2822">
        <v>26.88</v>
      </c>
      <c r="G2822">
        <v>27.61</v>
      </c>
      <c r="H2822" t="s">
        <v>17</v>
      </c>
      <c r="I2822" t="str">
        <f>"060985011709"</f>
        <v>060985011709</v>
      </c>
    </row>
    <row r="2823" spans="1:9" x14ac:dyDescent="0.25">
      <c r="A2823" t="s">
        <v>2538</v>
      </c>
      <c r="B2823" t="s">
        <v>13</v>
      </c>
      <c r="C2823">
        <v>19</v>
      </c>
      <c r="D2823">
        <v>20</v>
      </c>
      <c r="E2823" t="s">
        <v>17</v>
      </c>
      <c r="F2823">
        <v>21.89</v>
      </c>
      <c r="G2823">
        <v>21.6</v>
      </c>
      <c r="H2823" t="s">
        <v>17</v>
      </c>
      <c r="I2823" t="str">
        <f>"062513003726"</f>
        <v>062513003726</v>
      </c>
    </row>
    <row r="2824" spans="1:9" x14ac:dyDescent="0.25">
      <c r="A2824" t="s">
        <v>2539</v>
      </c>
      <c r="B2824" t="s">
        <v>13</v>
      </c>
      <c r="C2824">
        <v>43.17</v>
      </c>
      <c r="D2824">
        <v>42.67</v>
      </c>
      <c r="E2824" t="s">
        <v>17</v>
      </c>
      <c r="F2824">
        <v>20.079999999999998</v>
      </c>
      <c r="G2824">
        <v>20.67</v>
      </c>
      <c r="H2824" t="s">
        <v>17</v>
      </c>
      <c r="I2824" t="str">
        <f>"061722002176"</f>
        <v>061722002176</v>
      </c>
    </row>
    <row r="2825" spans="1:9" x14ac:dyDescent="0.25">
      <c r="A2825" t="s">
        <v>2540</v>
      </c>
      <c r="B2825" t="s">
        <v>13</v>
      </c>
      <c r="C2825">
        <v>5</v>
      </c>
      <c r="D2825">
        <v>7</v>
      </c>
      <c r="E2825" t="s">
        <v>17</v>
      </c>
      <c r="F2825">
        <v>10.6</v>
      </c>
      <c r="G2825">
        <v>10</v>
      </c>
      <c r="H2825" t="s">
        <v>17</v>
      </c>
      <c r="I2825" t="str">
        <f>"069102711052"</f>
        <v>069102711052</v>
      </c>
    </row>
    <row r="2826" spans="1:9" x14ac:dyDescent="0.25">
      <c r="A2826" t="s">
        <v>2541</v>
      </c>
      <c r="B2826" t="s">
        <v>13</v>
      </c>
      <c r="C2826">
        <v>18.71</v>
      </c>
      <c r="D2826">
        <v>20</v>
      </c>
      <c r="E2826" t="s">
        <v>17</v>
      </c>
      <c r="F2826">
        <v>28.65</v>
      </c>
      <c r="G2826">
        <v>27.7</v>
      </c>
      <c r="H2826" t="s">
        <v>17</v>
      </c>
      <c r="I2826" t="str">
        <f>"061518001910"</f>
        <v>061518001910</v>
      </c>
    </row>
    <row r="2827" spans="1:9" x14ac:dyDescent="0.25">
      <c r="A2827" t="s">
        <v>2542</v>
      </c>
      <c r="B2827" t="s">
        <v>13</v>
      </c>
      <c r="C2827">
        <v>23.8</v>
      </c>
      <c r="D2827">
        <v>23.38</v>
      </c>
      <c r="E2827" t="s">
        <v>17</v>
      </c>
      <c r="F2827">
        <v>19.87</v>
      </c>
      <c r="G2827">
        <v>19.8</v>
      </c>
      <c r="H2827" t="s">
        <v>17</v>
      </c>
      <c r="I2827" t="str">
        <f>"064059002846"</f>
        <v>064059002846</v>
      </c>
    </row>
    <row r="2828" spans="1:9" x14ac:dyDescent="0.25">
      <c r="A2828" t="s">
        <v>2543</v>
      </c>
      <c r="B2828" t="s">
        <v>13</v>
      </c>
      <c r="C2828">
        <v>34.9</v>
      </c>
      <c r="D2828">
        <v>34.9</v>
      </c>
      <c r="E2828" t="s">
        <v>17</v>
      </c>
      <c r="F2828">
        <v>25.76</v>
      </c>
      <c r="G2828">
        <v>25.21</v>
      </c>
      <c r="H2828" t="s">
        <v>17</v>
      </c>
      <c r="I2828" t="str">
        <f>"061233003668"</f>
        <v>061233003668</v>
      </c>
    </row>
    <row r="2829" spans="1:9" x14ac:dyDescent="0.25">
      <c r="A2829" t="s">
        <v>2544</v>
      </c>
      <c r="B2829" t="s">
        <v>13</v>
      </c>
      <c r="C2829">
        <v>78.5</v>
      </c>
      <c r="D2829">
        <v>77.06</v>
      </c>
      <c r="E2829" t="s">
        <v>17</v>
      </c>
      <c r="F2829">
        <v>22.48</v>
      </c>
      <c r="G2829">
        <v>23.02</v>
      </c>
      <c r="H2829" t="s">
        <v>17</v>
      </c>
      <c r="I2829" t="str">
        <f>"062271002983"</f>
        <v>062271002983</v>
      </c>
    </row>
    <row r="2830" spans="1:9" x14ac:dyDescent="0.25">
      <c r="A2830" t="s">
        <v>2545</v>
      </c>
      <c r="B2830" t="s">
        <v>13</v>
      </c>
      <c r="C2830">
        <v>39.17</v>
      </c>
      <c r="D2830">
        <v>38.799999999999997</v>
      </c>
      <c r="E2830" t="s">
        <v>17</v>
      </c>
      <c r="F2830">
        <v>23.9</v>
      </c>
      <c r="G2830">
        <v>23.07</v>
      </c>
      <c r="H2830" t="s">
        <v>17</v>
      </c>
      <c r="I2830" t="str">
        <f>"061233012284"</f>
        <v>061233012284</v>
      </c>
    </row>
    <row r="2831" spans="1:9" x14ac:dyDescent="0.25">
      <c r="A2831" t="s">
        <v>2546</v>
      </c>
      <c r="B2831" t="s">
        <v>13</v>
      </c>
      <c r="C2831">
        <v>24.55</v>
      </c>
      <c r="D2831">
        <v>22.28</v>
      </c>
      <c r="E2831" t="s">
        <v>17</v>
      </c>
      <c r="F2831">
        <v>27.9</v>
      </c>
      <c r="G2831">
        <v>27.96</v>
      </c>
      <c r="H2831" t="s">
        <v>17</v>
      </c>
      <c r="I2831" t="str">
        <f>"063237009427"</f>
        <v>063237009427</v>
      </c>
    </row>
    <row r="2832" spans="1:9" x14ac:dyDescent="0.25">
      <c r="A2832" t="s">
        <v>2547</v>
      </c>
      <c r="B2832" t="s">
        <v>13</v>
      </c>
      <c r="C2832">
        <v>36.5</v>
      </c>
      <c r="D2832">
        <v>35</v>
      </c>
      <c r="E2832" t="s">
        <v>17</v>
      </c>
      <c r="F2832">
        <v>22.58</v>
      </c>
      <c r="G2832">
        <v>24.06</v>
      </c>
      <c r="H2832" t="s">
        <v>17</v>
      </c>
      <c r="I2832" t="str">
        <f>"061455004484"</f>
        <v>061455004484</v>
      </c>
    </row>
    <row r="2833" spans="1:9" x14ac:dyDescent="0.25">
      <c r="A2833" t="s">
        <v>2548</v>
      </c>
      <c r="B2833" t="s">
        <v>13</v>
      </c>
      <c r="C2833">
        <v>40.6</v>
      </c>
      <c r="D2833">
        <v>41.45</v>
      </c>
      <c r="E2833" t="s">
        <v>17</v>
      </c>
      <c r="F2833">
        <v>24.19</v>
      </c>
      <c r="G2833">
        <v>23.21</v>
      </c>
      <c r="H2833" t="s">
        <v>17</v>
      </c>
      <c r="I2833" t="str">
        <f>"063867001828"</f>
        <v>063867001828</v>
      </c>
    </row>
    <row r="2834" spans="1:9" x14ac:dyDescent="0.25">
      <c r="A2834" t="s">
        <v>2549</v>
      </c>
      <c r="B2834" t="s">
        <v>13</v>
      </c>
      <c r="C2834">
        <v>1</v>
      </c>
      <c r="D2834">
        <v>1</v>
      </c>
      <c r="E2834" t="s">
        <v>17</v>
      </c>
      <c r="F2834">
        <v>10</v>
      </c>
      <c r="G2834">
        <v>9</v>
      </c>
      <c r="H2834" t="s">
        <v>17</v>
      </c>
      <c r="I2834" t="str">
        <f>"069106310762"</f>
        <v>069106310762</v>
      </c>
    </row>
    <row r="2835" spans="1:9" x14ac:dyDescent="0.25">
      <c r="A2835" t="s">
        <v>2550</v>
      </c>
      <c r="B2835" t="s">
        <v>13</v>
      </c>
      <c r="C2835">
        <v>3</v>
      </c>
      <c r="D2835">
        <v>3</v>
      </c>
      <c r="E2835" t="s">
        <v>17</v>
      </c>
      <c r="F2835">
        <v>12</v>
      </c>
      <c r="G2835">
        <v>16.670000000000002</v>
      </c>
      <c r="H2835" t="s">
        <v>17</v>
      </c>
      <c r="I2835" t="str">
        <f>"063807006440"</f>
        <v>063807006440</v>
      </c>
    </row>
    <row r="2836" spans="1:9" x14ac:dyDescent="0.25">
      <c r="A2836" t="s">
        <v>2551</v>
      </c>
      <c r="B2836" t="s">
        <v>13</v>
      </c>
      <c r="C2836">
        <v>4.7</v>
      </c>
      <c r="D2836">
        <v>4.4000000000000004</v>
      </c>
      <c r="E2836" t="s">
        <v>17</v>
      </c>
      <c r="F2836">
        <v>9.57</v>
      </c>
      <c r="G2836">
        <v>10.23</v>
      </c>
      <c r="H2836" t="s">
        <v>17</v>
      </c>
      <c r="I2836" t="str">
        <f>"063807006441"</f>
        <v>063807006441</v>
      </c>
    </row>
    <row r="2837" spans="1:9" x14ac:dyDescent="0.25">
      <c r="A2837" t="s">
        <v>2552</v>
      </c>
      <c r="B2837" t="s">
        <v>13</v>
      </c>
      <c r="C2837">
        <v>14.8</v>
      </c>
      <c r="D2837">
        <v>17.45</v>
      </c>
      <c r="E2837" t="s">
        <v>17</v>
      </c>
      <c r="F2837">
        <v>17.7</v>
      </c>
      <c r="G2837">
        <v>19.940000000000001</v>
      </c>
      <c r="H2837" t="s">
        <v>17</v>
      </c>
      <c r="I2837" t="str">
        <f>"061233008275"</f>
        <v>061233008275</v>
      </c>
    </row>
    <row r="2838" spans="1:9" x14ac:dyDescent="0.25">
      <c r="A2838" t="s">
        <v>2553</v>
      </c>
      <c r="B2838" t="s">
        <v>13</v>
      </c>
      <c r="C2838">
        <v>34</v>
      </c>
      <c r="D2838">
        <v>35</v>
      </c>
      <c r="E2838" t="s">
        <v>17</v>
      </c>
      <c r="F2838">
        <v>24.79</v>
      </c>
      <c r="G2838">
        <v>24.46</v>
      </c>
      <c r="H2838" t="s">
        <v>17</v>
      </c>
      <c r="I2838" t="str">
        <f>"061233001397"</f>
        <v>061233001397</v>
      </c>
    </row>
    <row r="2839" spans="1:9" x14ac:dyDescent="0.25">
      <c r="A2839" t="s">
        <v>2554</v>
      </c>
      <c r="B2839" t="s">
        <v>13</v>
      </c>
      <c r="C2839">
        <v>62.19</v>
      </c>
      <c r="D2839">
        <v>65.760000000000005</v>
      </c>
      <c r="E2839" t="s">
        <v>17</v>
      </c>
      <c r="F2839">
        <v>28.45</v>
      </c>
      <c r="G2839">
        <v>26.4</v>
      </c>
      <c r="H2839" t="s">
        <v>17</v>
      </c>
      <c r="I2839" t="str">
        <f>"061233001398"</f>
        <v>061233001398</v>
      </c>
    </row>
    <row r="2840" spans="1:9" x14ac:dyDescent="0.25">
      <c r="A2840" t="s">
        <v>2555</v>
      </c>
      <c r="B2840" t="s">
        <v>13</v>
      </c>
      <c r="C2840">
        <v>8.83</v>
      </c>
      <c r="D2840">
        <v>9.5</v>
      </c>
      <c r="E2840" t="s">
        <v>17</v>
      </c>
      <c r="F2840">
        <v>22.76</v>
      </c>
      <c r="G2840">
        <v>21.05</v>
      </c>
      <c r="H2840" t="s">
        <v>17</v>
      </c>
      <c r="I2840" t="str">
        <f>"061236001415"</f>
        <v>061236001415</v>
      </c>
    </row>
    <row r="2841" spans="1:9" x14ac:dyDescent="0.25">
      <c r="A2841" t="s">
        <v>2556</v>
      </c>
      <c r="B2841" t="s">
        <v>13</v>
      </c>
      <c r="C2841">
        <v>11</v>
      </c>
      <c r="D2841">
        <v>11.5</v>
      </c>
      <c r="E2841" t="s">
        <v>17</v>
      </c>
      <c r="F2841">
        <v>27</v>
      </c>
      <c r="G2841">
        <v>26.09</v>
      </c>
      <c r="H2841" t="s">
        <v>17</v>
      </c>
      <c r="I2841" t="str">
        <f>"062223007743"</f>
        <v>062223007743</v>
      </c>
    </row>
    <row r="2842" spans="1:9" x14ac:dyDescent="0.25">
      <c r="A2842" t="s">
        <v>2557</v>
      </c>
      <c r="B2842" t="s">
        <v>13</v>
      </c>
      <c r="C2842">
        <v>23.5</v>
      </c>
      <c r="D2842">
        <v>22.11</v>
      </c>
      <c r="E2842" t="s">
        <v>17</v>
      </c>
      <c r="F2842">
        <v>26.85</v>
      </c>
      <c r="G2842">
        <v>28.4</v>
      </c>
      <c r="H2842" t="s">
        <v>17</v>
      </c>
      <c r="I2842" t="str">
        <f>"062759004143"</f>
        <v>062759004143</v>
      </c>
    </row>
    <row r="2843" spans="1:9" x14ac:dyDescent="0.25">
      <c r="A2843" t="s">
        <v>2558</v>
      </c>
      <c r="B2843" t="s">
        <v>13</v>
      </c>
      <c r="C2843">
        <v>29.67</v>
      </c>
      <c r="D2843">
        <v>29.67</v>
      </c>
      <c r="E2843" t="s">
        <v>17</v>
      </c>
      <c r="F2843">
        <v>18.71</v>
      </c>
      <c r="G2843">
        <v>18.47</v>
      </c>
      <c r="H2843" t="s">
        <v>17</v>
      </c>
      <c r="I2843" t="str">
        <f>"064158006854"</f>
        <v>064158006854</v>
      </c>
    </row>
    <row r="2844" spans="1:9" x14ac:dyDescent="0.25">
      <c r="A2844" t="s">
        <v>2559</v>
      </c>
      <c r="B2844" t="s">
        <v>13</v>
      </c>
      <c r="C2844">
        <v>1</v>
      </c>
      <c r="D2844">
        <v>1</v>
      </c>
      <c r="E2844" t="s">
        <v>17</v>
      </c>
      <c r="F2844">
        <v>13</v>
      </c>
      <c r="G2844">
        <v>15</v>
      </c>
      <c r="H2844" t="s">
        <v>17</v>
      </c>
      <c r="I2844" t="str">
        <f>"061242001416"</f>
        <v>061242001416</v>
      </c>
    </row>
    <row r="2845" spans="1:9" x14ac:dyDescent="0.25">
      <c r="A2845" t="s">
        <v>2560</v>
      </c>
      <c r="B2845" t="s">
        <v>13</v>
      </c>
      <c r="C2845">
        <v>1.34</v>
      </c>
      <c r="D2845">
        <v>1.27</v>
      </c>
      <c r="E2845" t="s">
        <v>17</v>
      </c>
      <c r="F2845">
        <v>11.94</v>
      </c>
      <c r="G2845">
        <v>13.39</v>
      </c>
      <c r="H2845" t="s">
        <v>17</v>
      </c>
      <c r="I2845" t="str">
        <f>"060133910219"</f>
        <v>060133910219</v>
      </c>
    </row>
    <row r="2846" spans="1:9" x14ac:dyDescent="0.25">
      <c r="A2846" t="s">
        <v>2561</v>
      </c>
      <c r="B2846" t="s">
        <v>13</v>
      </c>
      <c r="C2846">
        <v>19.5</v>
      </c>
      <c r="D2846">
        <v>21.5</v>
      </c>
      <c r="E2846" t="s">
        <v>17</v>
      </c>
      <c r="F2846">
        <v>24.05</v>
      </c>
      <c r="G2846">
        <v>22.88</v>
      </c>
      <c r="H2846" t="s">
        <v>17</v>
      </c>
      <c r="I2846" t="str">
        <f>"062409003626"</f>
        <v>062409003626</v>
      </c>
    </row>
    <row r="2847" spans="1:9" x14ac:dyDescent="0.25">
      <c r="A2847" t="s">
        <v>2562</v>
      </c>
      <c r="B2847" t="s">
        <v>13</v>
      </c>
      <c r="C2847">
        <v>26</v>
      </c>
      <c r="D2847">
        <v>25</v>
      </c>
      <c r="E2847" t="s">
        <v>17</v>
      </c>
      <c r="F2847">
        <v>23.5</v>
      </c>
      <c r="G2847">
        <v>24.24</v>
      </c>
      <c r="H2847" t="s">
        <v>17</v>
      </c>
      <c r="I2847" t="str">
        <f>"061233007699"</f>
        <v>061233007699</v>
      </c>
    </row>
    <row r="2848" spans="1:9" x14ac:dyDescent="0.25">
      <c r="A2848" t="s">
        <v>2563</v>
      </c>
      <c r="B2848" t="s">
        <v>13</v>
      </c>
      <c r="C2848">
        <v>60.5</v>
      </c>
      <c r="D2848">
        <v>67.010000000000005</v>
      </c>
      <c r="E2848" t="s">
        <v>17</v>
      </c>
      <c r="F2848">
        <v>25.07</v>
      </c>
      <c r="G2848">
        <v>22.97</v>
      </c>
      <c r="H2848" t="s">
        <v>17</v>
      </c>
      <c r="I2848" t="str">
        <f>"062271008510"</f>
        <v>062271008510</v>
      </c>
    </row>
    <row r="2849" spans="1:9" x14ac:dyDescent="0.25">
      <c r="A2849" t="s">
        <v>2564</v>
      </c>
      <c r="B2849" t="s">
        <v>13</v>
      </c>
      <c r="C2849">
        <v>16</v>
      </c>
      <c r="D2849">
        <v>19</v>
      </c>
      <c r="E2849" t="s">
        <v>17</v>
      </c>
      <c r="F2849">
        <v>26.25</v>
      </c>
      <c r="G2849">
        <v>22.16</v>
      </c>
      <c r="H2849" t="s">
        <v>17</v>
      </c>
      <c r="I2849" t="str">
        <f>"063255005026"</f>
        <v>063255005026</v>
      </c>
    </row>
    <row r="2850" spans="1:9" x14ac:dyDescent="0.25">
      <c r="A2850" t="s">
        <v>2565</v>
      </c>
      <c r="B2850" t="s">
        <v>13</v>
      </c>
      <c r="C2850">
        <v>25.96</v>
      </c>
      <c r="D2850">
        <v>27</v>
      </c>
      <c r="E2850" t="s">
        <v>17</v>
      </c>
      <c r="F2850">
        <v>23.84</v>
      </c>
      <c r="G2850">
        <v>23.78</v>
      </c>
      <c r="H2850" t="s">
        <v>17</v>
      </c>
      <c r="I2850" t="str">
        <f>"062223011416"</f>
        <v>062223011416</v>
      </c>
    </row>
    <row r="2851" spans="1:9" x14ac:dyDescent="0.25">
      <c r="A2851" t="s">
        <v>2566</v>
      </c>
      <c r="B2851" t="s">
        <v>13</v>
      </c>
      <c r="C2851">
        <v>4.5</v>
      </c>
      <c r="D2851">
        <v>4.01</v>
      </c>
      <c r="E2851" t="s">
        <v>17</v>
      </c>
      <c r="F2851">
        <v>31.33</v>
      </c>
      <c r="G2851">
        <v>26.18</v>
      </c>
      <c r="H2851" t="s">
        <v>17</v>
      </c>
      <c r="I2851" t="str">
        <f>"062271002984"</f>
        <v>062271002984</v>
      </c>
    </row>
    <row r="2852" spans="1:9" x14ac:dyDescent="0.25">
      <c r="A2852" t="s">
        <v>2567</v>
      </c>
      <c r="B2852" t="s">
        <v>13</v>
      </c>
      <c r="C2852">
        <v>22</v>
      </c>
      <c r="D2852">
        <v>18.5</v>
      </c>
      <c r="E2852" t="s">
        <v>17</v>
      </c>
      <c r="F2852">
        <v>23.23</v>
      </c>
      <c r="G2852">
        <v>26.97</v>
      </c>
      <c r="H2852" t="s">
        <v>17</v>
      </c>
      <c r="I2852" t="str">
        <f>"060162000011"</f>
        <v>060162000011</v>
      </c>
    </row>
    <row r="2853" spans="1:9" x14ac:dyDescent="0.25">
      <c r="A2853" t="s">
        <v>2568</v>
      </c>
      <c r="B2853" t="s">
        <v>13</v>
      </c>
      <c r="C2853">
        <v>35</v>
      </c>
      <c r="D2853">
        <v>37.6</v>
      </c>
      <c r="E2853" t="s">
        <v>17</v>
      </c>
      <c r="F2853">
        <v>26.03</v>
      </c>
      <c r="G2853">
        <v>24.57</v>
      </c>
      <c r="H2853" t="s">
        <v>17</v>
      </c>
      <c r="I2853" t="str">
        <f>"061233010597"</f>
        <v>061233010597</v>
      </c>
    </row>
    <row r="2854" spans="1:9" x14ac:dyDescent="0.25">
      <c r="A2854" t="s">
        <v>2569</v>
      </c>
      <c r="B2854" t="s">
        <v>13</v>
      </c>
      <c r="C2854">
        <v>31.09</v>
      </c>
      <c r="D2854">
        <v>34.32</v>
      </c>
      <c r="E2854" t="s">
        <v>17</v>
      </c>
      <c r="F2854">
        <v>26.54</v>
      </c>
      <c r="G2854">
        <v>23.34</v>
      </c>
      <c r="H2854" t="s">
        <v>17</v>
      </c>
      <c r="I2854" t="str">
        <f>"063846006460"</f>
        <v>063846006460</v>
      </c>
    </row>
    <row r="2855" spans="1:9" x14ac:dyDescent="0.25">
      <c r="A2855" t="s">
        <v>2570</v>
      </c>
      <c r="B2855" t="s">
        <v>13</v>
      </c>
      <c r="C2855">
        <v>21</v>
      </c>
      <c r="D2855">
        <v>21.5</v>
      </c>
      <c r="E2855" t="s">
        <v>17</v>
      </c>
      <c r="F2855">
        <v>20.29</v>
      </c>
      <c r="G2855">
        <v>21.21</v>
      </c>
      <c r="H2855" t="s">
        <v>17</v>
      </c>
      <c r="I2855" t="str">
        <f>"061551001969"</f>
        <v>061551001969</v>
      </c>
    </row>
    <row r="2856" spans="1:9" x14ac:dyDescent="0.25">
      <c r="A2856" t="s">
        <v>2571</v>
      </c>
      <c r="B2856" t="s">
        <v>13</v>
      </c>
      <c r="C2856">
        <v>2.0499999999999998</v>
      </c>
      <c r="D2856">
        <v>2.75</v>
      </c>
      <c r="E2856" t="s">
        <v>14</v>
      </c>
      <c r="F2856">
        <v>73.66</v>
      </c>
      <c r="G2856">
        <v>47.64</v>
      </c>
      <c r="H2856" t="s">
        <v>14</v>
      </c>
      <c r="I2856" t="str">
        <f>"060141512820"</f>
        <v>060141512820</v>
      </c>
    </row>
    <row r="2857" spans="1:9" x14ac:dyDescent="0.25">
      <c r="A2857" t="s">
        <v>2571</v>
      </c>
      <c r="B2857" t="s">
        <v>13</v>
      </c>
      <c r="C2857" t="s">
        <v>14</v>
      </c>
      <c r="D2857" t="s">
        <v>14</v>
      </c>
      <c r="E2857" t="s">
        <v>17</v>
      </c>
      <c r="F2857" t="s">
        <v>14</v>
      </c>
      <c r="G2857" t="s">
        <v>14</v>
      </c>
      <c r="H2857" t="s">
        <v>17</v>
      </c>
      <c r="I2857" t="str">
        <f>"064164012820"</f>
        <v>064164012820</v>
      </c>
    </row>
    <row r="2858" spans="1:9" x14ac:dyDescent="0.25">
      <c r="A2858" t="s">
        <v>2572</v>
      </c>
      <c r="B2858" t="s">
        <v>13</v>
      </c>
      <c r="C2858">
        <v>19</v>
      </c>
      <c r="D2858">
        <v>18.5</v>
      </c>
      <c r="E2858" t="s">
        <v>17</v>
      </c>
      <c r="F2858">
        <v>21.84</v>
      </c>
      <c r="G2858">
        <v>23.08</v>
      </c>
      <c r="H2858" t="s">
        <v>17</v>
      </c>
      <c r="I2858" t="str">
        <f>"060140900489"</f>
        <v>060140900489</v>
      </c>
    </row>
    <row r="2859" spans="1:9" x14ac:dyDescent="0.25">
      <c r="A2859" t="s">
        <v>2572</v>
      </c>
      <c r="B2859" t="s">
        <v>13</v>
      </c>
      <c r="C2859">
        <v>25</v>
      </c>
      <c r="D2859">
        <v>25</v>
      </c>
      <c r="E2859" t="s">
        <v>17</v>
      </c>
      <c r="F2859">
        <v>30.68</v>
      </c>
      <c r="G2859">
        <v>28.6</v>
      </c>
      <c r="H2859" t="s">
        <v>17</v>
      </c>
      <c r="I2859" t="str">
        <f>"062922006804"</f>
        <v>062922006804</v>
      </c>
    </row>
    <row r="2860" spans="1:9" x14ac:dyDescent="0.25">
      <c r="A2860" t="s">
        <v>2573</v>
      </c>
      <c r="B2860" t="s">
        <v>13</v>
      </c>
      <c r="C2860">
        <v>19</v>
      </c>
      <c r="D2860">
        <v>20</v>
      </c>
      <c r="E2860" t="s">
        <v>17</v>
      </c>
      <c r="F2860">
        <v>26.84</v>
      </c>
      <c r="G2860">
        <v>25.95</v>
      </c>
      <c r="H2860" t="s">
        <v>17</v>
      </c>
      <c r="I2860" t="str">
        <f>"060342000258"</f>
        <v>060342000258</v>
      </c>
    </row>
    <row r="2861" spans="1:9" x14ac:dyDescent="0.25">
      <c r="A2861" t="s">
        <v>2574</v>
      </c>
      <c r="B2861" t="s">
        <v>13</v>
      </c>
      <c r="C2861">
        <v>18.89</v>
      </c>
      <c r="D2861">
        <v>19.62</v>
      </c>
      <c r="E2861" t="s">
        <v>17</v>
      </c>
      <c r="F2861">
        <v>19.48</v>
      </c>
      <c r="G2861">
        <v>18.55</v>
      </c>
      <c r="H2861" t="s">
        <v>17</v>
      </c>
      <c r="I2861" t="str">
        <f>"062805011961"</f>
        <v>062805011961</v>
      </c>
    </row>
    <row r="2862" spans="1:9" x14ac:dyDescent="0.25">
      <c r="A2862" t="s">
        <v>2575</v>
      </c>
      <c r="B2862" t="s">
        <v>13</v>
      </c>
      <c r="C2862">
        <v>22.22</v>
      </c>
      <c r="D2862">
        <v>25.98</v>
      </c>
      <c r="E2862" t="s">
        <v>17</v>
      </c>
      <c r="F2862">
        <v>23.4</v>
      </c>
      <c r="G2862">
        <v>21.86</v>
      </c>
      <c r="H2862" t="s">
        <v>17</v>
      </c>
      <c r="I2862" t="str">
        <f>"064098006753"</f>
        <v>064098006753</v>
      </c>
    </row>
    <row r="2863" spans="1:9" x14ac:dyDescent="0.25">
      <c r="A2863" t="s">
        <v>2576</v>
      </c>
      <c r="B2863" t="s">
        <v>13</v>
      </c>
      <c r="C2863">
        <v>28.4</v>
      </c>
      <c r="D2863">
        <v>30.08</v>
      </c>
      <c r="E2863" t="s">
        <v>17</v>
      </c>
      <c r="F2863">
        <v>30.14</v>
      </c>
      <c r="G2863">
        <v>28.36</v>
      </c>
      <c r="H2863" t="s">
        <v>17</v>
      </c>
      <c r="I2863" t="str">
        <f>"063801006405"</f>
        <v>063801006405</v>
      </c>
    </row>
    <row r="2864" spans="1:9" x14ac:dyDescent="0.25">
      <c r="A2864" t="s">
        <v>2577</v>
      </c>
      <c r="B2864" t="s">
        <v>13</v>
      </c>
      <c r="C2864">
        <v>18</v>
      </c>
      <c r="D2864">
        <v>19</v>
      </c>
      <c r="E2864" t="s">
        <v>17</v>
      </c>
      <c r="F2864">
        <v>25.39</v>
      </c>
      <c r="G2864">
        <v>24.89</v>
      </c>
      <c r="H2864" t="s">
        <v>17</v>
      </c>
      <c r="I2864" t="str">
        <f>"064074006723"</f>
        <v>064074006723</v>
      </c>
    </row>
    <row r="2865" spans="1:9" x14ac:dyDescent="0.25">
      <c r="A2865" t="s">
        <v>2578</v>
      </c>
      <c r="B2865" t="s">
        <v>13</v>
      </c>
      <c r="C2865">
        <v>51.03</v>
      </c>
      <c r="D2865">
        <v>51.2</v>
      </c>
      <c r="E2865" t="s">
        <v>17</v>
      </c>
      <c r="F2865">
        <v>19.22</v>
      </c>
      <c r="G2865">
        <v>20.51</v>
      </c>
      <c r="H2865" t="s">
        <v>17</v>
      </c>
      <c r="I2865" t="str">
        <f>"063583004108"</f>
        <v>063583004108</v>
      </c>
    </row>
    <row r="2866" spans="1:9" x14ac:dyDescent="0.25">
      <c r="A2866" t="s">
        <v>2579</v>
      </c>
      <c r="B2866" t="s">
        <v>13</v>
      </c>
      <c r="C2866">
        <v>23</v>
      </c>
      <c r="D2866">
        <v>22</v>
      </c>
      <c r="E2866" t="s">
        <v>17</v>
      </c>
      <c r="F2866">
        <v>25.09</v>
      </c>
      <c r="G2866">
        <v>24.32</v>
      </c>
      <c r="H2866" t="s">
        <v>17</v>
      </c>
      <c r="I2866" t="str">
        <f>"060002709490"</f>
        <v>060002709490</v>
      </c>
    </row>
    <row r="2867" spans="1:9" x14ac:dyDescent="0.25">
      <c r="A2867" t="s">
        <v>2580</v>
      </c>
      <c r="B2867" t="s">
        <v>13</v>
      </c>
      <c r="C2867">
        <v>89.05</v>
      </c>
      <c r="D2867">
        <v>91.96</v>
      </c>
      <c r="E2867" t="s">
        <v>17</v>
      </c>
      <c r="F2867">
        <v>25.56</v>
      </c>
      <c r="G2867">
        <v>25.27</v>
      </c>
      <c r="H2867" t="s">
        <v>17</v>
      </c>
      <c r="I2867" t="str">
        <f>"060002709489"</f>
        <v>060002709489</v>
      </c>
    </row>
    <row r="2868" spans="1:9" x14ac:dyDescent="0.25">
      <c r="A2868" t="s">
        <v>2581</v>
      </c>
      <c r="B2868" t="s">
        <v>13</v>
      </c>
      <c r="C2868">
        <v>29.9</v>
      </c>
      <c r="D2868">
        <v>30.9</v>
      </c>
      <c r="E2868" t="s">
        <v>17</v>
      </c>
      <c r="F2868">
        <v>23.51</v>
      </c>
      <c r="G2868">
        <v>24.21</v>
      </c>
      <c r="H2868" t="s">
        <v>17</v>
      </c>
      <c r="I2868" t="str">
        <f>"060002709493"</f>
        <v>060002709493</v>
      </c>
    </row>
    <row r="2869" spans="1:9" x14ac:dyDescent="0.25">
      <c r="A2869" t="s">
        <v>2582</v>
      </c>
      <c r="B2869" t="s">
        <v>13</v>
      </c>
      <c r="C2869">
        <v>9</v>
      </c>
      <c r="D2869">
        <v>9.4</v>
      </c>
      <c r="E2869" t="s">
        <v>17</v>
      </c>
      <c r="F2869">
        <v>21</v>
      </c>
      <c r="G2869">
        <v>18.510000000000002</v>
      </c>
      <c r="H2869" t="s">
        <v>17</v>
      </c>
      <c r="I2869" t="str">
        <f>"061260001424"</f>
        <v>061260001424</v>
      </c>
    </row>
    <row r="2870" spans="1:9" x14ac:dyDescent="0.25">
      <c r="A2870" t="s">
        <v>2583</v>
      </c>
      <c r="B2870" t="s">
        <v>13</v>
      </c>
      <c r="C2870">
        <v>20</v>
      </c>
      <c r="D2870">
        <v>23</v>
      </c>
      <c r="E2870" t="s">
        <v>17</v>
      </c>
      <c r="F2870">
        <v>24.55</v>
      </c>
      <c r="G2870">
        <v>21.65</v>
      </c>
      <c r="H2870" t="s">
        <v>17</v>
      </c>
      <c r="I2870" t="str">
        <f>"060369000329"</f>
        <v>060369000329</v>
      </c>
    </row>
    <row r="2871" spans="1:9" x14ac:dyDescent="0.25">
      <c r="A2871" t="s">
        <v>2584</v>
      </c>
      <c r="B2871" t="s">
        <v>13</v>
      </c>
      <c r="C2871">
        <v>45.25</v>
      </c>
      <c r="D2871">
        <v>2.0499999999999998</v>
      </c>
      <c r="E2871" t="s">
        <v>17</v>
      </c>
      <c r="F2871">
        <v>13.61</v>
      </c>
      <c r="G2871">
        <v>349.76</v>
      </c>
      <c r="H2871" t="s">
        <v>17</v>
      </c>
      <c r="I2871" t="str">
        <f>"060133207240"</f>
        <v>060133207240</v>
      </c>
    </row>
    <row r="2872" spans="1:9" x14ac:dyDescent="0.25">
      <c r="A2872" t="s">
        <v>2585</v>
      </c>
      <c r="B2872" t="s">
        <v>13</v>
      </c>
      <c r="C2872">
        <v>11</v>
      </c>
      <c r="D2872">
        <v>10</v>
      </c>
      <c r="E2872" t="s">
        <v>17</v>
      </c>
      <c r="F2872">
        <v>21.27</v>
      </c>
      <c r="G2872">
        <v>23.7</v>
      </c>
      <c r="H2872" t="s">
        <v>17</v>
      </c>
      <c r="I2872" t="str">
        <f>"062271002985"</f>
        <v>062271002985</v>
      </c>
    </row>
    <row r="2873" spans="1:9" x14ac:dyDescent="0.25">
      <c r="A2873" t="s">
        <v>2586</v>
      </c>
      <c r="B2873" t="s">
        <v>13</v>
      </c>
      <c r="C2873">
        <v>7</v>
      </c>
      <c r="D2873">
        <v>7</v>
      </c>
      <c r="E2873" t="s">
        <v>17</v>
      </c>
      <c r="F2873">
        <v>31.29</v>
      </c>
      <c r="G2873">
        <v>25.29</v>
      </c>
      <c r="H2873" t="s">
        <v>17</v>
      </c>
      <c r="I2873" t="str">
        <f>"063597006154"</f>
        <v>063597006154</v>
      </c>
    </row>
    <row r="2874" spans="1:9" x14ac:dyDescent="0.25">
      <c r="A2874" t="s">
        <v>2587</v>
      </c>
      <c r="B2874" t="s">
        <v>13</v>
      </c>
      <c r="C2874">
        <v>20</v>
      </c>
      <c r="D2874">
        <v>19</v>
      </c>
      <c r="E2874" t="s">
        <v>17</v>
      </c>
      <c r="F2874">
        <v>23.25</v>
      </c>
      <c r="G2874">
        <v>22.21</v>
      </c>
      <c r="H2874" t="s">
        <v>17</v>
      </c>
      <c r="I2874" t="str">
        <f>"062271002986"</f>
        <v>062271002986</v>
      </c>
    </row>
    <row r="2875" spans="1:9" x14ac:dyDescent="0.25">
      <c r="A2875" t="s">
        <v>2588</v>
      </c>
      <c r="B2875" t="s">
        <v>13</v>
      </c>
      <c r="C2875">
        <v>31</v>
      </c>
      <c r="D2875">
        <v>29.4</v>
      </c>
      <c r="E2875" t="s">
        <v>17</v>
      </c>
      <c r="F2875">
        <v>20.23</v>
      </c>
      <c r="G2875">
        <v>22.24</v>
      </c>
      <c r="H2875" t="s">
        <v>17</v>
      </c>
      <c r="I2875" t="str">
        <f>"060681000612"</f>
        <v>060681000612</v>
      </c>
    </row>
    <row r="2876" spans="1:9" x14ac:dyDescent="0.25">
      <c r="A2876" t="s">
        <v>2589</v>
      </c>
      <c r="B2876" t="s">
        <v>13</v>
      </c>
      <c r="C2876">
        <v>22.5</v>
      </c>
      <c r="D2876">
        <v>25.5</v>
      </c>
      <c r="E2876" t="s">
        <v>17</v>
      </c>
      <c r="F2876">
        <v>26.4</v>
      </c>
      <c r="G2876">
        <v>23.49</v>
      </c>
      <c r="H2876" t="s">
        <v>17</v>
      </c>
      <c r="I2876" t="str">
        <f>"061494001900"</f>
        <v>061494001900</v>
      </c>
    </row>
    <row r="2877" spans="1:9" x14ac:dyDescent="0.25">
      <c r="A2877" t="s">
        <v>2590</v>
      </c>
      <c r="B2877" t="s">
        <v>13</v>
      </c>
      <c r="C2877">
        <v>23</v>
      </c>
      <c r="D2877">
        <v>22</v>
      </c>
      <c r="E2877" t="s">
        <v>17</v>
      </c>
      <c r="F2877">
        <v>27.04</v>
      </c>
      <c r="G2877">
        <v>27.18</v>
      </c>
      <c r="H2877" t="s">
        <v>17</v>
      </c>
      <c r="I2877" t="str">
        <f>"060962000980"</f>
        <v>060962000980</v>
      </c>
    </row>
    <row r="2878" spans="1:9" x14ac:dyDescent="0.25">
      <c r="A2878" t="s">
        <v>2590</v>
      </c>
      <c r="B2878" t="s">
        <v>13</v>
      </c>
      <c r="C2878">
        <v>11.75</v>
      </c>
      <c r="D2878">
        <v>11.25</v>
      </c>
      <c r="E2878" t="s">
        <v>17</v>
      </c>
      <c r="F2878">
        <v>24.51</v>
      </c>
      <c r="G2878">
        <v>25.87</v>
      </c>
      <c r="H2878" t="s">
        <v>17</v>
      </c>
      <c r="I2878" t="str">
        <f>"060474000436"</f>
        <v>060474000436</v>
      </c>
    </row>
    <row r="2879" spans="1:9" x14ac:dyDescent="0.25">
      <c r="A2879" t="s">
        <v>2590</v>
      </c>
      <c r="B2879" t="s">
        <v>13</v>
      </c>
      <c r="C2879">
        <v>14</v>
      </c>
      <c r="D2879">
        <v>13</v>
      </c>
      <c r="E2879" t="s">
        <v>17</v>
      </c>
      <c r="F2879">
        <v>23.14</v>
      </c>
      <c r="G2879">
        <v>21.38</v>
      </c>
      <c r="H2879" t="s">
        <v>17</v>
      </c>
      <c r="I2879" t="str">
        <f>"062805004260"</f>
        <v>062805004260</v>
      </c>
    </row>
    <row r="2880" spans="1:9" x14ac:dyDescent="0.25">
      <c r="A2880" t="s">
        <v>2590</v>
      </c>
      <c r="B2880" t="s">
        <v>13</v>
      </c>
      <c r="C2880">
        <v>29.5</v>
      </c>
      <c r="D2880">
        <v>27.65</v>
      </c>
      <c r="E2880" t="s">
        <v>17</v>
      </c>
      <c r="F2880">
        <v>27.15</v>
      </c>
      <c r="G2880">
        <v>25.39</v>
      </c>
      <c r="H2880" t="s">
        <v>17</v>
      </c>
      <c r="I2880" t="str">
        <f>"063315005136"</f>
        <v>063315005136</v>
      </c>
    </row>
    <row r="2881" spans="1:9" x14ac:dyDescent="0.25">
      <c r="A2881" t="s">
        <v>2591</v>
      </c>
      <c r="B2881" t="s">
        <v>13</v>
      </c>
      <c r="C2881">
        <v>30.21</v>
      </c>
      <c r="D2881">
        <v>30.2</v>
      </c>
      <c r="E2881" t="s">
        <v>17</v>
      </c>
      <c r="F2881">
        <v>28.04</v>
      </c>
      <c r="G2881">
        <v>26.32</v>
      </c>
      <c r="H2881" t="s">
        <v>17</v>
      </c>
      <c r="I2881" t="str">
        <f>"060363000297"</f>
        <v>060363000297</v>
      </c>
    </row>
    <row r="2882" spans="1:9" x14ac:dyDescent="0.25">
      <c r="A2882" t="s">
        <v>2591</v>
      </c>
      <c r="B2882" t="s">
        <v>13</v>
      </c>
      <c r="C2882">
        <v>28.5</v>
      </c>
      <c r="D2882">
        <v>27.5</v>
      </c>
      <c r="E2882" t="s">
        <v>17</v>
      </c>
      <c r="F2882">
        <v>23.37</v>
      </c>
      <c r="G2882">
        <v>23.67</v>
      </c>
      <c r="H2882" t="s">
        <v>17</v>
      </c>
      <c r="I2882" t="str">
        <f>"063132004839"</f>
        <v>063132004839</v>
      </c>
    </row>
    <row r="2883" spans="1:9" x14ac:dyDescent="0.25">
      <c r="A2883" t="s">
        <v>2592</v>
      </c>
      <c r="B2883" t="s">
        <v>13</v>
      </c>
      <c r="C2883">
        <v>28</v>
      </c>
      <c r="D2883">
        <v>29</v>
      </c>
      <c r="E2883" t="s">
        <v>17</v>
      </c>
      <c r="F2883">
        <v>25.39</v>
      </c>
      <c r="G2883">
        <v>22.17</v>
      </c>
      <c r="H2883" t="s">
        <v>17</v>
      </c>
      <c r="I2883" t="str">
        <f>"062250002712"</f>
        <v>062250002712</v>
      </c>
    </row>
    <row r="2884" spans="1:9" x14ac:dyDescent="0.25">
      <c r="A2884" t="s">
        <v>2593</v>
      </c>
      <c r="B2884" t="s">
        <v>13</v>
      </c>
      <c r="C2884">
        <v>41</v>
      </c>
      <c r="D2884">
        <v>42</v>
      </c>
      <c r="E2884" t="s">
        <v>17</v>
      </c>
      <c r="F2884">
        <v>14.61</v>
      </c>
      <c r="G2884">
        <v>15.55</v>
      </c>
      <c r="H2884" t="s">
        <v>17</v>
      </c>
      <c r="I2884" t="str">
        <f>"063432005451"</f>
        <v>063432005451</v>
      </c>
    </row>
    <row r="2885" spans="1:9" x14ac:dyDescent="0.25">
      <c r="A2885" t="s">
        <v>2594</v>
      </c>
      <c r="B2885" t="s">
        <v>13</v>
      </c>
      <c r="C2885">
        <v>20.66</v>
      </c>
      <c r="D2885">
        <v>22.66</v>
      </c>
      <c r="E2885" t="s">
        <v>17</v>
      </c>
      <c r="F2885">
        <v>27.25</v>
      </c>
      <c r="G2885">
        <v>24.4</v>
      </c>
      <c r="H2885" t="s">
        <v>17</v>
      </c>
      <c r="I2885" t="str">
        <f>"060015310935"</f>
        <v>060015310935</v>
      </c>
    </row>
    <row r="2886" spans="1:9" x14ac:dyDescent="0.25">
      <c r="A2886" t="s">
        <v>2595</v>
      </c>
      <c r="B2886" t="s">
        <v>13</v>
      </c>
      <c r="C2886">
        <v>13.8</v>
      </c>
      <c r="D2886">
        <v>20</v>
      </c>
      <c r="E2886" t="s">
        <v>17</v>
      </c>
      <c r="F2886">
        <v>16.16</v>
      </c>
      <c r="G2886">
        <v>13.45</v>
      </c>
      <c r="H2886" t="s">
        <v>17</v>
      </c>
      <c r="I2886" t="str">
        <f>"061263001426"</f>
        <v>061263001426</v>
      </c>
    </row>
    <row r="2887" spans="1:9" x14ac:dyDescent="0.25">
      <c r="A2887" t="s">
        <v>2596</v>
      </c>
      <c r="B2887" t="s">
        <v>13</v>
      </c>
      <c r="C2887" t="s">
        <v>17</v>
      </c>
      <c r="D2887" t="s">
        <v>14</v>
      </c>
      <c r="E2887" t="s">
        <v>14</v>
      </c>
      <c r="F2887" t="s">
        <v>17</v>
      </c>
      <c r="G2887" t="s">
        <v>14</v>
      </c>
      <c r="H2887" t="s">
        <v>14</v>
      </c>
      <c r="I2887" t="str">
        <f>"061263013526"</f>
        <v>061263013526</v>
      </c>
    </row>
    <row r="2888" spans="1:9" x14ac:dyDescent="0.25">
      <c r="A2888" t="s">
        <v>2597</v>
      </c>
      <c r="B2888" t="s">
        <v>13</v>
      </c>
      <c r="C2888">
        <v>1</v>
      </c>
      <c r="D2888">
        <v>1</v>
      </c>
      <c r="E2888" t="s">
        <v>17</v>
      </c>
      <c r="F2888">
        <v>2</v>
      </c>
      <c r="G2888">
        <v>3</v>
      </c>
      <c r="H2888" t="s">
        <v>17</v>
      </c>
      <c r="I2888" t="str">
        <f>"060225001428"</f>
        <v>060225001428</v>
      </c>
    </row>
    <row r="2889" spans="1:9" x14ac:dyDescent="0.25">
      <c r="A2889" t="s">
        <v>2598</v>
      </c>
      <c r="B2889" t="s">
        <v>13</v>
      </c>
      <c r="C2889">
        <v>21.17</v>
      </c>
      <c r="D2889">
        <v>21.5</v>
      </c>
      <c r="E2889" t="s">
        <v>17</v>
      </c>
      <c r="F2889">
        <v>22.39</v>
      </c>
      <c r="G2889">
        <v>21.16</v>
      </c>
      <c r="H2889" t="s">
        <v>17</v>
      </c>
      <c r="I2889" t="str">
        <f>"060006002208"</f>
        <v>060006002208</v>
      </c>
    </row>
    <row r="2890" spans="1:9" x14ac:dyDescent="0.25">
      <c r="A2890" t="s">
        <v>2599</v>
      </c>
      <c r="B2890" t="s">
        <v>13</v>
      </c>
      <c r="C2890">
        <v>27</v>
      </c>
      <c r="D2890">
        <v>26</v>
      </c>
      <c r="E2890" t="s">
        <v>17</v>
      </c>
      <c r="F2890">
        <v>27.93</v>
      </c>
      <c r="G2890">
        <v>29.35</v>
      </c>
      <c r="H2890" t="s">
        <v>17</v>
      </c>
      <c r="I2890" t="str">
        <f>"062922001855"</f>
        <v>062922001855</v>
      </c>
    </row>
    <row r="2891" spans="1:9" x14ac:dyDescent="0.25">
      <c r="A2891" t="s">
        <v>2600</v>
      </c>
      <c r="B2891" t="s">
        <v>13</v>
      </c>
      <c r="C2891">
        <v>31.26</v>
      </c>
      <c r="D2891">
        <v>31.26</v>
      </c>
      <c r="E2891" t="s">
        <v>17</v>
      </c>
      <c r="F2891">
        <v>22.97</v>
      </c>
      <c r="G2891">
        <v>23.22</v>
      </c>
      <c r="H2891" t="s">
        <v>17</v>
      </c>
      <c r="I2891" t="str">
        <f>"062211002624"</f>
        <v>062211002624</v>
      </c>
    </row>
    <row r="2892" spans="1:9" x14ac:dyDescent="0.25">
      <c r="A2892" t="s">
        <v>2601</v>
      </c>
      <c r="B2892" t="s">
        <v>13</v>
      </c>
      <c r="C2892">
        <v>21</v>
      </c>
      <c r="D2892">
        <v>21</v>
      </c>
      <c r="E2892" t="s">
        <v>17</v>
      </c>
      <c r="F2892">
        <v>26.9</v>
      </c>
      <c r="G2892">
        <v>27.19</v>
      </c>
      <c r="H2892" t="s">
        <v>17</v>
      </c>
      <c r="I2892" t="str">
        <f>"063357005182"</f>
        <v>063357005182</v>
      </c>
    </row>
    <row r="2893" spans="1:9" x14ac:dyDescent="0.25">
      <c r="A2893" t="s">
        <v>2602</v>
      </c>
      <c r="B2893" t="s">
        <v>13</v>
      </c>
      <c r="C2893">
        <v>27.96</v>
      </c>
      <c r="D2893">
        <v>28</v>
      </c>
      <c r="E2893" t="s">
        <v>17</v>
      </c>
      <c r="F2893">
        <v>23.18</v>
      </c>
      <c r="G2893">
        <v>22.89</v>
      </c>
      <c r="H2893" t="s">
        <v>17</v>
      </c>
      <c r="I2893" t="str">
        <f>"060837001947"</f>
        <v>060837001947</v>
      </c>
    </row>
    <row r="2894" spans="1:9" x14ac:dyDescent="0.25">
      <c r="A2894" t="s">
        <v>2603</v>
      </c>
      <c r="B2894" t="s">
        <v>13</v>
      </c>
      <c r="C2894">
        <v>18</v>
      </c>
      <c r="D2894">
        <v>20</v>
      </c>
      <c r="E2894" t="s">
        <v>17</v>
      </c>
      <c r="F2894">
        <v>31.61</v>
      </c>
      <c r="G2894">
        <v>28.2</v>
      </c>
      <c r="H2894" t="s">
        <v>17</v>
      </c>
      <c r="I2894" t="str">
        <f>"063417005359"</f>
        <v>063417005359</v>
      </c>
    </row>
    <row r="2895" spans="1:9" x14ac:dyDescent="0.25">
      <c r="A2895" t="s">
        <v>2604</v>
      </c>
      <c r="B2895" t="s">
        <v>13</v>
      </c>
      <c r="C2895">
        <v>25</v>
      </c>
      <c r="D2895">
        <v>26.5</v>
      </c>
      <c r="E2895" t="s">
        <v>17</v>
      </c>
      <c r="F2895">
        <v>21.36</v>
      </c>
      <c r="G2895">
        <v>21.02</v>
      </c>
      <c r="H2895" t="s">
        <v>17</v>
      </c>
      <c r="I2895" t="str">
        <f>"061743002184"</f>
        <v>061743002184</v>
      </c>
    </row>
    <row r="2896" spans="1:9" x14ac:dyDescent="0.25">
      <c r="A2896" t="s">
        <v>2605</v>
      </c>
      <c r="B2896" t="s">
        <v>13</v>
      </c>
      <c r="C2896">
        <v>25</v>
      </c>
      <c r="D2896">
        <v>26</v>
      </c>
      <c r="E2896" t="s">
        <v>17</v>
      </c>
      <c r="F2896">
        <v>25.92</v>
      </c>
      <c r="G2896">
        <v>26.58</v>
      </c>
      <c r="H2896" t="s">
        <v>17</v>
      </c>
      <c r="I2896" t="str">
        <f>"063738006318"</f>
        <v>063738006318</v>
      </c>
    </row>
    <row r="2897" spans="1:9" x14ac:dyDescent="0.25">
      <c r="A2897" t="s">
        <v>2606</v>
      </c>
      <c r="B2897" t="s">
        <v>13</v>
      </c>
      <c r="C2897">
        <v>23</v>
      </c>
      <c r="D2897">
        <v>24.25</v>
      </c>
      <c r="E2897" t="s">
        <v>17</v>
      </c>
      <c r="F2897">
        <v>28.61</v>
      </c>
      <c r="G2897">
        <v>26.68</v>
      </c>
      <c r="H2897" t="s">
        <v>17</v>
      </c>
      <c r="I2897" t="str">
        <f>"063898006535"</f>
        <v>063898006535</v>
      </c>
    </row>
    <row r="2898" spans="1:9" x14ac:dyDescent="0.25">
      <c r="A2898" t="s">
        <v>2607</v>
      </c>
      <c r="B2898" t="s">
        <v>13</v>
      </c>
      <c r="C2898">
        <v>24.5</v>
      </c>
      <c r="D2898">
        <v>27</v>
      </c>
      <c r="E2898" t="s">
        <v>17</v>
      </c>
      <c r="F2898">
        <v>22.24</v>
      </c>
      <c r="G2898">
        <v>22.3</v>
      </c>
      <c r="H2898" t="s">
        <v>17</v>
      </c>
      <c r="I2898" t="str">
        <f>"061269001430"</f>
        <v>061269001430</v>
      </c>
    </row>
    <row r="2899" spans="1:9" x14ac:dyDescent="0.25">
      <c r="A2899" t="s">
        <v>2608</v>
      </c>
      <c r="B2899" t="s">
        <v>13</v>
      </c>
      <c r="C2899">
        <v>18.899999999999999</v>
      </c>
      <c r="D2899">
        <v>15.9</v>
      </c>
      <c r="E2899" t="s">
        <v>17</v>
      </c>
      <c r="F2899">
        <v>23.81</v>
      </c>
      <c r="G2899">
        <v>25.85</v>
      </c>
      <c r="H2899" t="s">
        <v>17</v>
      </c>
      <c r="I2899" t="str">
        <f>"063459005711"</f>
        <v>063459005711</v>
      </c>
    </row>
    <row r="2900" spans="1:9" x14ac:dyDescent="0.25">
      <c r="A2900" t="s">
        <v>2609</v>
      </c>
      <c r="B2900" t="s">
        <v>13</v>
      </c>
      <c r="C2900">
        <v>24.25</v>
      </c>
      <c r="D2900">
        <v>26.6</v>
      </c>
      <c r="E2900" t="s">
        <v>17</v>
      </c>
      <c r="F2900">
        <v>27.42</v>
      </c>
      <c r="G2900">
        <v>26.99</v>
      </c>
      <c r="H2900" t="s">
        <v>17</v>
      </c>
      <c r="I2900" t="str">
        <f>"061389010355"</f>
        <v>061389010355</v>
      </c>
    </row>
    <row r="2901" spans="1:9" x14ac:dyDescent="0.25">
      <c r="A2901" t="s">
        <v>2610</v>
      </c>
      <c r="B2901" t="s">
        <v>13</v>
      </c>
      <c r="C2901">
        <v>28</v>
      </c>
      <c r="D2901">
        <v>28</v>
      </c>
      <c r="E2901" t="s">
        <v>17</v>
      </c>
      <c r="F2901">
        <v>25.57</v>
      </c>
      <c r="G2901">
        <v>25.61</v>
      </c>
      <c r="H2901" t="s">
        <v>17</v>
      </c>
      <c r="I2901" t="str">
        <f>"064119009652"</f>
        <v>064119009652</v>
      </c>
    </row>
    <row r="2902" spans="1:9" x14ac:dyDescent="0.25">
      <c r="A2902" t="s">
        <v>2611</v>
      </c>
      <c r="B2902" t="s">
        <v>13</v>
      </c>
      <c r="C2902">
        <v>9</v>
      </c>
      <c r="D2902">
        <v>8</v>
      </c>
      <c r="E2902" t="s">
        <v>17</v>
      </c>
      <c r="F2902">
        <v>25</v>
      </c>
      <c r="G2902">
        <v>27.63</v>
      </c>
      <c r="H2902" t="s">
        <v>17</v>
      </c>
      <c r="I2902" t="str">
        <f>"062271012217"</f>
        <v>062271012217</v>
      </c>
    </row>
    <row r="2903" spans="1:9" x14ac:dyDescent="0.25">
      <c r="A2903" t="s">
        <v>2612</v>
      </c>
      <c r="B2903" t="s">
        <v>13</v>
      </c>
      <c r="C2903">
        <v>39.6</v>
      </c>
      <c r="D2903">
        <v>41</v>
      </c>
      <c r="E2903" t="s">
        <v>17</v>
      </c>
      <c r="F2903">
        <v>13.54</v>
      </c>
      <c r="G2903">
        <v>14.44</v>
      </c>
      <c r="H2903" t="s">
        <v>17</v>
      </c>
      <c r="I2903" t="str">
        <f>"063432005452"</f>
        <v>063432005452</v>
      </c>
    </row>
    <row r="2904" spans="1:9" x14ac:dyDescent="0.25">
      <c r="A2904" t="s">
        <v>2613</v>
      </c>
      <c r="B2904" t="s">
        <v>13</v>
      </c>
      <c r="C2904">
        <v>23</v>
      </c>
      <c r="D2904">
        <v>23</v>
      </c>
      <c r="E2904" t="s">
        <v>17</v>
      </c>
      <c r="F2904">
        <v>24.74</v>
      </c>
      <c r="G2904">
        <v>24.17</v>
      </c>
      <c r="H2904" t="s">
        <v>17</v>
      </c>
      <c r="I2904" t="str">
        <f>"063018010584"</f>
        <v>063018010584</v>
      </c>
    </row>
    <row r="2905" spans="1:9" x14ac:dyDescent="0.25">
      <c r="A2905" t="s">
        <v>2614</v>
      </c>
      <c r="B2905" t="s">
        <v>13</v>
      </c>
      <c r="C2905">
        <v>43.24</v>
      </c>
      <c r="D2905">
        <v>39.700000000000003</v>
      </c>
      <c r="E2905" t="s">
        <v>17</v>
      </c>
      <c r="F2905">
        <v>21.72</v>
      </c>
      <c r="G2905">
        <v>28.36</v>
      </c>
      <c r="H2905" t="s">
        <v>17</v>
      </c>
      <c r="I2905" t="str">
        <f>"063462005778"</f>
        <v>063462005778</v>
      </c>
    </row>
    <row r="2906" spans="1:9" x14ac:dyDescent="0.25">
      <c r="A2906" t="s">
        <v>2615</v>
      </c>
      <c r="B2906" t="s">
        <v>13</v>
      </c>
      <c r="C2906">
        <v>4</v>
      </c>
      <c r="D2906">
        <v>4</v>
      </c>
      <c r="E2906" t="s">
        <v>17</v>
      </c>
      <c r="F2906">
        <v>20.5</v>
      </c>
      <c r="G2906">
        <v>20.75</v>
      </c>
      <c r="H2906" t="s">
        <v>17</v>
      </c>
      <c r="I2906" t="str">
        <f>"062205002613"</f>
        <v>062205002613</v>
      </c>
    </row>
    <row r="2907" spans="1:9" x14ac:dyDescent="0.25">
      <c r="A2907" t="s">
        <v>2615</v>
      </c>
      <c r="B2907" t="s">
        <v>13</v>
      </c>
      <c r="C2907">
        <v>43.2</v>
      </c>
      <c r="D2907">
        <v>42.6</v>
      </c>
      <c r="E2907" t="s">
        <v>17</v>
      </c>
      <c r="F2907">
        <v>17.48</v>
      </c>
      <c r="G2907">
        <v>18.190000000000001</v>
      </c>
      <c r="H2907" t="s">
        <v>17</v>
      </c>
      <c r="I2907" t="str">
        <f>"062457003682"</f>
        <v>062457003682</v>
      </c>
    </row>
    <row r="2908" spans="1:9" x14ac:dyDescent="0.25">
      <c r="A2908" t="s">
        <v>2616</v>
      </c>
      <c r="B2908" t="s">
        <v>13</v>
      </c>
      <c r="C2908">
        <v>48.75</v>
      </c>
      <c r="D2908">
        <v>49.3</v>
      </c>
      <c r="E2908" t="s">
        <v>17</v>
      </c>
      <c r="F2908">
        <v>21.64</v>
      </c>
      <c r="G2908">
        <v>22.09</v>
      </c>
      <c r="H2908" t="s">
        <v>17</v>
      </c>
      <c r="I2908" t="str">
        <f>"060177000045"</f>
        <v>060177000045</v>
      </c>
    </row>
    <row r="2909" spans="1:9" x14ac:dyDescent="0.25">
      <c r="A2909" t="s">
        <v>2617</v>
      </c>
      <c r="B2909" t="s">
        <v>13</v>
      </c>
      <c r="C2909">
        <v>13.85</v>
      </c>
      <c r="D2909">
        <v>15.72</v>
      </c>
      <c r="E2909" t="s">
        <v>17</v>
      </c>
      <c r="F2909">
        <v>27.73</v>
      </c>
      <c r="G2909">
        <v>25.76</v>
      </c>
      <c r="H2909" t="s">
        <v>17</v>
      </c>
      <c r="I2909" t="str">
        <f>"063357005178"</f>
        <v>063357005178</v>
      </c>
    </row>
    <row r="2910" spans="1:9" x14ac:dyDescent="0.25">
      <c r="A2910" t="s">
        <v>2618</v>
      </c>
      <c r="B2910" t="s">
        <v>13</v>
      </c>
      <c r="C2910">
        <v>23</v>
      </c>
      <c r="D2910">
        <v>22</v>
      </c>
      <c r="E2910" t="s">
        <v>17</v>
      </c>
      <c r="F2910">
        <v>24.65</v>
      </c>
      <c r="G2910">
        <v>24.73</v>
      </c>
      <c r="H2910" t="s">
        <v>17</v>
      </c>
      <c r="I2910" t="str">
        <f>"062271002990"</f>
        <v>062271002990</v>
      </c>
    </row>
    <row r="2911" spans="1:9" x14ac:dyDescent="0.25">
      <c r="A2911" t="s">
        <v>2619</v>
      </c>
      <c r="B2911" t="s">
        <v>13</v>
      </c>
      <c r="C2911">
        <v>11.45</v>
      </c>
      <c r="D2911">
        <v>11</v>
      </c>
      <c r="E2911" t="s">
        <v>17</v>
      </c>
      <c r="F2911">
        <v>27.25</v>
      </c>
      <c r="G2911">
        <v>23.64</v>
      </c>
      <c r="H2911" t="s">
        <v>17</v>
      </c>
      <c r="I2911" t="str">
        <f>"062805010686"</f>
        <v>062805010686</v>
      </c>
    </row>
    <row r="2912" spans="1:9" x14ac:dyDescent="0.25">
      <c r="A2912" t="s">
        <v>2620</v>
      </c>
      <c r="B2912" t="s">
        <v>13</v>
      </c>
      <c r="C2912">
        <v>28.01</v>
      </c>
      <c r="D2912">
        <v>37.92</v>
      </c>
      <c r="E2912" t="s">
        <v>17</v>
      </c>
      <c r="F2912">
        <v>38.340000000000003</v>
      </c>
      <c r="G2912">
        <v>25.16</v>
      </c>
      <c r="H2912" t="s">
        <v>17</v>
      </c>
      <c r="I2912" t="str">
        <f>"060001412375"</f>
        <v>060001412375</v>
      </c>
    </row>
    <row r="2913" spans="1:9" x14ac:dyDescent="0.25">
      <c r="A2913" t="s">
        <v>2621</v>
      </c>
      <c r="B2913" t="s">
        <v>13</v>
      </c>
      <c r="C2913">
        <v>3.76</v>
      </c>
      <c r="D2913">
        <v>3.15</v>
      </c>
      <c r="E2913" t="s">
        <v>17</v>
      </c>
      <c r="F2913">
        <v>40.69</v>
      </c>
      <c r="G2913">
        <v>27.3</v>
      </c>
      <c r="H2913" t="s">
        <v>17</v>
      </c>
      <c r="I2913" t="str">
        <f>"060813005472"</f>
        <v>060813005472</v>
      </c>
    </row>
    <row r="2914" spans="1:9" x14ac:dyDescent="0.25">
      <c r="A2914" t="s">
        <v>2622</v>
      </c>
      <c r="B2914" t="s">
        <v>13</v>
      </c>
      <c r="C2914">
        <v>18.75</v>
      </c>
      <c r="D2914">
        <v>16</v>
      </c>
      <c r="E2914" t="s">
        <v>17</v>
      </c>
      <c r="F2914">
        <v>17.170000000000002</v>
      </c>
      <c r="G2914">
        <v>16.25</v>
      </c>
      <c r="H2914" t="s">
        <v>17</v>
      </c>
      <c r="I2914" t="str">
        <f>"062271012536"</f>
        <v>062271012536</v>
      </c>
    </row>
    <row r="2915" spans="1:9" x14ac:dyDescent="0.25">
      <c r="A2915" t="s">
        <v>2623</v>
      </c>
      <c r="B2915" t="s">
        <v>13</v>
      </c>
      <c r="C2915">
        <v>30.18</v>
      </c>
      <c r="D2915">
        <v>31.43</v>
      </c>
      <c r="E2915" t="s">
        <v>17</v>
      </c>
      <c r="F2915">
        <v>25.05</v>
      </c>
      <c r="G2915">
        <v>24.15</v>
      </c>
      <c r="H2915" t="s">
        <v>17</v>
      </c>
      <c r="I2915" t="str">
        <f>"061470004526"</f>
        <v>061470004526</v>
      </c>
    </row>
    <row r="2916" spans="1:9" x14ac:dyDescent="0.25">
      <c r="A2916" t="s">
        <v>2624</v>
      </c>
      <c r="B2916" t="s">
        <v>13</v>
      </c>
      <c r="C2916">
        <v>37.72</v>
      </c>
      <c r="D2916">
        <v>36.25</v>
      </c>
      <c r="E2916" t="s">
        <v>17</v>
      </c>
      <c r="F2916">
        <v>20.84</v>
      </c>
      <c r="G2916">
        <v>22.32</v>
      </c>
      <c r="H2916" t="s">
        <v>17</v>
      </c>
      <c r="I2916" t="str">
        <f>"062088010826"</f>
        <v>062088010826</v>
      </c>
    </row>
    <row r="2917" spans="1:9" x14ac:dyDescent="0.25">
      <c r="A2917" t="s">
        <v>2625</v>
      </c>
      <c r="B2917" t="s">
        <v>13</v>
      </c>
      <c r="C2917">
        <v>25.16</v>
      </c>
      <c r="D2917">
        <v>24.16</v>
      </c>
      <c r="E2917" t="s">
        <v>17</v>
      </c>
      <c r="F2917">
        <v>31.92</v>
      </c>
      <c r="G2917">
        <v>31.83</v>
      </c>
      <c r="H2917" t="s">
        <v>17</v>
      </c>
      <c r="I2917" t="str">
        <f>"064104011111"</f>
        <v>064104011111</v>
      </c>
    </row>
    <row r="2918" spans="1:9" x14ac:dyDescent="0.25">
      <c r="A2918" t="s">
        <v>2626</v>
      </c>
      <c r="B2918" t="s">
        <v>13</v>
      </c>
      <c r="C2918">
        <v>22</v>
      </c>
      <c r="D2918">
        <v>23</v>
      </c>
      <c r="E2918" t="s">
        <v>17</v>
      </c>
      <c r="F2918">
        <v>25.55</v>
      </c>
      <c r="G2918">
        <v>25.35</v>
      </c>
      <c r="H2918" t="s">
        <v>17</v>
      </c>
      <c r="I2918" t="str">
        <f>"061488001839"</f>
        <v>061488001839</v>
      </c>
    </row>
    <row r="2919" spans="1:9" x14ac:dyDescent="0.25">
      <c r="A2919" t="s">
        <v>2627</v>
      </c>
      <c r="B2919" t="s">
        <v>13</v>
      </c>
      <c r="C2919">
        <v>19.5</v>
      </c>
      <c r="D2919">
        <v>19.02</v>
      </c>
      <c r="E2919" t="s">
        <v>17</v>
      </c>
      <c r="F2919">
        <v>23.95</v>
      </c>
      <c r="G2919">
        <v>25.45</v>
      </c>
      <c r="H2919" t="s">
        <v>17</v>
      </c>
      <c r="I2919" t="str">
        <f>"062271012819"</f>
        <v>062271012819</v>
      </c>
    </row>
    <row r="2920" spans="1:9" x14ac:dyDescent="0.25">
      <c r="A2920" t="s">
        <v>2628</v>
      </c>
      <c r="B2920" t="s">
        <v>13</v>
      </c>
      <c r="C2920" t="s">
        <v>14</v>
      </c>
      <c r="D2920" t="s">
        <v>14</v>
      </c>
      <c r="E2920" t="s">
        <v>17</v>
      </c>
      <c r="F2920" t="s">
        <v>14</v>
      </c>
      <c r="G2920" t="s">
        <v>14</v>
      </c>
      <c r="H2920" t="s">
        <v>17</v>
      </c>
      <c r="I2920" t="str">
        <f>"062415002912"</f>
        <v>062415002912</v>
      </c>
    </row>
    <row r="2921" spans="1:9" x14ac:dyDescent="0.25">
      <c r="A2921" t="s">
        <v>2629</v>
      </c>
      <c r="B2921" t="s">
        <v>13</v>
      </c>
      <c r="C2921">
        <v>28.2</v>
      </c>
      <c r="D2921">
        <v>28.7</v>
      </c>
      <c r="E2921" t="s">
        <v>17</v>
      </c>
      <c r="F2921">
        <v>24.4</v>
      </c>
      <c r="G2921">
        <v>24.18</v>
      </c>
      <c r="H2921" t="s">
        <v>17</v>
      </c>
      <c r="I2921" t="str">
        <f>"060690011595"</f>
        <v>060690011595</v>
      </c>
    </row>
    <row r="2922" spans="1:9" x14ac:dyDescent="0.25">
      <c r="A2922" t="s">
        <v>2630</v>
      </c>
      <c r="B2922" t="s">
        <v>13</v>
      </c>
      <c r="C2922">
        <v>14.6</v>
      </c>
      <c r="D2922">
        <v>17</v>
      </c>
      <c r="E2922" t="s">
        <v>17</v>
      </c>
      <c r="F2922">
        <v>24.32</v>
      </c>
      <c r="G2922">
        <v>22.41</v>
      </c>
      <c r="H2922" t="s">
        <v>17</v>
      </c>
      <c r="I2922" t="str">
        <f>"062513003730"</f>
        <v>062513003730</v>
      </c>
    </row>
    <row r="2923" spans="1:9" x14ac:dyDescent="0.25">
      <c r="A2923" t="s">
        <v>2631</v>
      </c>
      <c r="B2923" t="s">
        <v>13</v>
      </c>
      <c r="C2923">
        <v>9.2200000000000006</v>
      </c>
      <c r="D2923">
        <v>10.41</v>
      </c>
      <c r="E2923" t="s">
        <v>17</v>
      </c>
      <c r="F2923">
        <v>13.12</v>
      </c>
      <c r="G2923">
        <v>11.91</v>
      </c>
      <c r="H2923" t="s">
        <v>17</v>
      </c>
      <c r="I2923" t="str">
        <f>"060903009760"</f>
        <v>060903009760</v>
      </c>
    </row>
    <row r="2924" spans="1:9" x14ac:dyDescent="0.25">
      <c r="A2924" t="s">
        <v>2632</v>
      </c>
      <c r="B2924" t="s">
        <v>13</v>
      </c>
      <c r="C2924">
        <v>2</v>
      </c>
      <c r="D2924">
        <v>2</v>
      </c>
      <c r="E2924" t="s">
        <v>17</v>
      </c>
      <c r="F2924">
        <v>8.5</v>
      </c>
      <c r="G2924">
        <v>5.5</v>
      </c>
      <c r="H2924" t="s">
        <v>17</v>
      </c>
      <c r="I2924" t="str">
        <f>"061281007442"</f>
        <v>061281007442</v>
      </c>
    </row>
    <row r="2925" spans="1:9" x14ac:dyDescent="0.25">
      <c r="A2925" t="s">
        <v>2633</v>
      </c>
      <c r="B2925" t="s">
        <v>13</v>
      </c>
      <c r="C2925">
        <v>52.2</v>
      </c>
      <c r="D2925">
        <v>52.2</v>
      </c>
      <c r="E2925" t="s">
        <v>17</v>
      </c>
      <c r="F2925">
        <v>23.52</v>
      </c>
      <c r="G2925">
        <v>24.69</v>
      </c>
      <c r="H2925" t="s">
        <v>17</v>
      </c>
      <c r="I2925" t="str">
        <f>"063660006210"</f>
        <v>063660006210</v>
      </c>
    </row>
    <row r="2926" spans="1:9" x14ac:dyDescent="0.25">
      <c r="A2926" t="s">
        <v>2633</v>
      </c>
      <c r="B2926" t="s">
        <v>13</v>
      </c>
      <c r="C2926">
        <v>5.18</v>
      </c>
      <c r="D2926">
        <v>5.15</v>
      </c>
      <c r="E2926" t="s">
        <v>17</v>
      </c>
      <c r="F2926">
        <v>11.78</v>
      </c>
      <c r="G2926">
        <v>9.51</v>
      </c>
      <c r="H2926" t="s">
        <v>17</v>
      </c>
      <c r="I2926" t="str">
        <f>"061949008865"</f>
        <v>061949008865</v>
      </c>
    </row>
    <row r="2927" spans="1:9" x14ac:dyDescent="0.25">
      <c r="A2927" t="s">
        <v>2634</v>
      </c>
      <c r="B2927" t="s">
        <v>13</v>
      </c>
      <c r="C2927">
        <v>24.01</v>
      </c>
      <c r="D2927">
        <v>30.5</v>
      </c>
      <c r="E2927" t="s">
        <v>17</v>
      </c>
      <c r="F2927">
        <v>24.45</v>
      </c>
      <c r="G2927">
        <v>20.03</v>
      </c>
      <c r="H2927" t="s">
        <v>17</v>
      </c>
      <c r="I2927" t="str">
        <f>"060962004608"</f>
        <v>060962004608</v>
      </c>
    </row>
    <row r="2928" spans="1:9" x14ac:dyDescent="0.25">
      <c r="A2928" t="s">
        <v>2635</v>
      </c>
      <c r="B2928" t="s">
        <v>13</v>
      </c>
      <c r="C2928">
        <v>2</v>
      </c>
      <c r="D2928">
        <v>2</v>
      </c>
      <c r="E2928" t="s">
        <v>17</v>
      </c>
      <c r="F2928">
        <v>23</v>
      </c>
      <c r="G2928">
        <v>24.5</v>
      </c>
      <c r="H2928" t="s">
        <v>17</v>
      </c>
      <c r="I2928" t="str">
        <f>"063660012154"</f>
        <v>063660012154</v>
      </c>
    </row>
    <row r="2929" spans="1:9" x14ac:dyDescent="0.25">
      <c r="A2929" t="s">
        <v>2636</v>
      </c>
      <c r="B2929" t="s">
        <v>13</v>
      </c>
      <c r="C2929">
        <v>5</v>
      </c>
      <c r="D2929">
        <v>5</v>
      </c>
      <c r="E2929" t="s">
        <v>17</v>
      </c>
      <c r="F2929">
        <v>12.4</v>
      </c>
      <c r="G2929">
        <v>12</v>
      </c>
      <c r="H2929" t="s">
        <v>17</v>
      </c>
      <c r="I2929" t="str">
        <f>"069101709021"</f>
        <v>069101709021</v>
      </c>
    </row>
    <row r="2930" spans="1:9" x14ac:dyDescent="0.25">
      <c r="A2930" t="s">
        <v>2637</v>
      </c>
      <c r="B2930" t="s">
        <v>13</v>
      </c>
      <c r="C2930">
        <v>22</v>
      </c>
      <c r="D2930">
        <v>22</v>
      </c>
      <c r="E2930" t="s">
        <v>17</v>
      </c>
      <c r="F2930">
        <v>24.23</v>
      </c>
      <c r="G2930">
        <v>24.45</v>
      </c>
      <c r="H2930" t="s">
        <v>17</v>
      </c>
      <c r="I2930" t="str">
        <f>"060964012393"</f>
        <v>060964012393</v>
      </c>
    </row>
    <row r="2931" spans="1:9" x14ac:dyDescent="0.25">
      <c r="A2931" t="s">
        <v>2638</v>
      </c>
      <c r="B2931" t="s">
        <v>13</v>
      </c>
      <c r="C2931">
        <v>26.5</v>
      </c>
      <c r="D2931">
        <v>21.25</v>
      </c>
      <c r="E2931" t="s">
        <v>17</v>
      </c>
      <c r="F2931">
        <v>20.260000000000002</v>
      </c>
      <c r="G2931">
        <v>22.78</v>
      </c>
      <c r="H2931" t="s">
        <v>17</v>
      </c>
      <c r="I2931" t="str">
        <f>"062121008718"</f>
        <v>062121008718</v>
      </c>
    </row>
    <row r="2932" spans="1:9" x14ac:dyDescent="0.25">
      <c r="A2932" t="s">
        <v>2639</v>
      </c>
      <c r="B2932" t="s">
        <v>13</v>
      </c>
      <c r="C2932">
        <v>13</v>
      </c>
      <c r="D2932">
        <v>9</v>
      </c>
      <c r="E2932" t="s">
        <v>17</v>
      </c>
      <c r="F2932">
        <v>24.85</v>
      </c>
      <c r="G2932">
        <v>23.56</v>
      </c>
      <c r="H2932" t="s">
        <v>17</v>
      </c>
      <c r="I2932" t="str">
        <f>"069107812673"</f>
        <v>069107812673</v>
      </c>
    </row>
    <row r="2933" spans="1:9" x14ac:dyDescent="0.25">
      <c r="A2933" t="s">
        <v>2640</v>
      </c>
      <c r="B2933" t="s">
        <v>13</v>
      </c>
      <c r="C2933" t="s">
        <v>17</v>
      </c>
      <c r="D2933" t="s">
        <v>14</v>
      </c>
      <c r="E2933" t="s">
        <v>14</v>
      </c>
      <c r="F2933" t="s">
        <v>17</v>
      </c>
      <c r="G2933" t="s">
        <v>14</v>
      </c>
      <c r="H2933" t="s">
        <v>14</v>
      </c>
      <c r="I2933" t="str">
        <f>"069107813591"</f>
        <v>069107813591</v>
      </c>
    </row>
    <row r="2934" spans="1:9" x14ac:dyDescent="0.25">
      <c r="A2934" t="s">
        <v>2641</v>
      </c>
      <c r="B2934" t="s">
        <v>13</v>
      </c>
      <c r="C2934">
        <v>14</v>
      </c>
      <c r="D2934">
        <v>15</v>
      </c>
      <c r="E2934" t="s">
        <v>17</v>
      </c>
      <c r="F2934">
        <v>23.64</v>
      </c>
      <c r="G2934">
        <v>22.2</v>
      </c>
      <c r="H2934" t="s">
        <v>17</v>
      </c>
      <c r="I2934" t="str">
        <f>"069105110947"</f>
        <v>069105110947</v>
      </c>
    </row>
    <row r="2935" spans="1:9" x14ac:dyDescent="0.25">
      <c r="A2935" t="s">
        <v>2642</v>
      </c>
      <c r="B2935" t="s">
        <v>13</v>
      </c>
      <c r="C2935" t="s">
        <v>17</v>
      </c>
      <c r="D2935" t="s">
        <v>14</v>
      </c>
      <c r="E2935" t="s">
        <v>14</v>
      </c>
      <c r="F2935" t="s">
        <v>17</v>
      </c>
      <c r="G2935" t="s">
        <v>14</v>
      </c>
      <c r="H2935" t="s">
        <v>14</v>
      </c>
      <c r="I2935" t="str">
        <f>"063432013053"</f>
        <v>063432013053</v>
      </c>
    </row>
    <row r="2936" spans="1:9" x14ac:dyDescent="0.25">
      <c r="A2936" t="s">
        <v>2643</v>
      </c>
      <c r="B2936" t="s">
        <v>13</v>
      </c>
      <c r="C2936">
        <v>17</v>
      </c>
      <c r="D2936">
        <v>13</v>
      </c>
      <c r="E2936" t="s">
        <v>17</v>
      </c>
      <c r="F2936">
        <v>26.71</v>
      </c>
      <c r="G2936">
        <v>18.46</v>
      </c>
      <c r="H2936" t="s">
        <v>17</v>
      </c>
      <c r="I2936" t="str">
        <f>"062271012479"</f>
        <v>062271012479</v>
      </c>
    </row>
    <row r="2937" spans="1:9" x14ac:dyDescent="0.25">
      <c r="A2937" t="s">
        <v>2644</v>
      </c>
      <c r="B2937" t="s">
        <v>13</v>
      </c>
      <c r="C2937" t="s">
        <v>17</v>
      </c>
      <c r="D2937" t="s">
        <v>14</v>
      </c>
      <c r="E2937" t="s">
        <v>14</v>
      </c>
      <c r="F2937" t="s">
        <v>17</v>
      </c>
      <c r="G2937" t="s">
        <v>14</v>
      </c>
      <c r="H2937" t="s">
        <v>14</v>
      </c>
      <c r="I2937" t="str">
        <f>"062271013145"</f>
        <v>062271013145</v>
      </c>
    </row>
    <row r="2938" spans="1:9" x14ac:dyDescent="0.25">
      <c r="A2938" t="s">
        <v>2645</v>
      </c>
      <c r="B2938" t="s">
        <v>13</v>
      </c>
      <c r="C2938">
        <v>21.77</v>
      </c>
      <c r="D2938">
        <v>19.82</v>
      </c>
      <c r="E2938" t="s">
        <v>17</v>
      </c>
      <c r="F2938">
        <v>24.35</v>
      </c>
      <c r="G2938">
        <v>24.67</v>
      </c>
      <c r="H2938" t="s">
        <v>17</v>
      </c>
      <c r="I2938" t="str">
        <f>"063627006182"</f>
        <v>063627006182</v>
      </c>
    </row>
    <row r="2939" spans="1:9" x14ac:dyDescent="0.25">
      <c r="A2939" t="s">
        <v>2646</v>
      </c>
      <c r="B2939" t="s">
        <v>13</v>
      </c>
      <c r="C2939">
        <v>24</v>
      </c>
      <c r="D2939">
        <v>24</v>
      </c>
      <c r="E2939" t="s">
        <v>17</v>
      </c>
      <c r="F2939">
        <v>26</v>
      </c>
      <c r="G2939">
        <v>25.33</v>
      </c>
      <c r="H2939" t="s">
        <v>17</v>
      </c>
      <c r="I2939" t="str">
        <f>"061455001724"</f>
        <v>061455001724</v>
      </c>
    </row>
    <row r="2940" spans="1:9" x14ac:dyDescent="0.25">
      <c r="A2940" t="s">
        <v>2646</v>
      </c>
      <c r="B2940" t="s">
        <v>13</v>
      </c>
      <c r="C2940">
        <v>35.03</v>
      </c>
      <c r="D2940">
        <v>36</v>
      </c>
      <c r="E2940" t="s">
        <v>17</v>
      </c>
      <c r="F2940">
        <v>22.1</v>
      </c>
      <c r="G2940">
        <v>21.56</v>
      </c>
      <c r="H2940" t="s">
        <v>17</v>
      </c>
      <c r="I2940" t="str">
        <f>"063432005453"</f>
        <v>063432005453</v>
      </c>
    </row>
    <row r="2941" spans="1:9" x14ac:dyDescent="0.25">
      <c r="A2941" t="s">
        <v>2647</v>
      </c>
      <c r="B2941" t="s">
        <v>13</v>
      </c>
      <c r="C2941">
        <v>42.56</v>
      </c>
      <c r="D2941">
        <v>39.479999999999997</v>
      </c>
      <c r="E2941" t="s">
        <v>17</v>
      </c>
      <c r="F2941">
        <v>26.34</v>
      </c>
      <c r="G2941">
        <v>26.75</v>
      </c>
      <c r="H2941" t="s">
        <v>17</v>
      </c>
      <c r="I2941" t="str">
        <f>"060002811187"</f>
        <v>060002811187</v>
      </c>
    </row>
    <row r="2942" spans="1:9" x14ac:dyDescent="0.25">
      <c r="A2942" t="s">
        <v>2648</v>
      </c>
      <c r="B2942" t="s">
        <v>13</v>
      </c>
      <c r="C2942">
        <v>25.17</v>
      </c>
      <c r="D2942">
        <v>24.5</v>
      </c>
      <c r="E2942" t="s">
        <v>17</v>
      </c>
      <c r="F2942">
        <v>25.31</v>
      </c>
      <c r="G2942">
        <v>25.63</v>
      </c>
      <c r="H2942" t="s">
        <v>17</v>
      </c>
      <c r="I2942" t="str">
        <f>"062223002646"</f>
        <v>062223002646</v>
      </c>
    </row>
    <row r="2943" spans="1:9" x14ac:dyDescent="0.25">
      <c r="A2943" t="s">
        <v>2649</v>
      </c>
      <c r="B2943" t="s">
        <v>13</v>
      </c>
      <c r="C2943">
        <v>40.21</v>
      </c>
      <c r="D2943">
        <v>44.1</v>
      </c>
      <c r="E2943" t="s">
        <v>17</v>
      </c>
      <c r="F2943">
        <v>24.5</v>
      </c>
      <c r="G2943">
        <v>21.84</v>
      </c>
      <c r="H2943" t="s">
        <v>17</v>
      </c>
      <c r="I2943" t="str">
        <f>"061455008841"</f>
        <v>061455008841</v>
      </c>
    </row>
    <row r="2944" spans="1:9" x14ac:dyDescent="0.25">
      <c r="A2944" t="s">
        <v>2650</v>
      </c>
      <c r="B2944" t="s">
        <v>13</v>
      </c>
      <c r="C2944">
        <v>24.52</v>
      </c>
      <c r="D2944">
        <v>26.38</v>
      </c>
      <c r="E2944" t="s">
        <v>17</v>
      </c>
      <c r="F2944">
        <v>28.75</v>
      </c>
      <c r="G2944">
        <v>28.28</v>
      </c>
      <c r="H2944" t="s">
        <v>17</v>
      </c>
      <c r="I2944" t="str">
        <f>"063237003848"</f>
        <v>063237003848</v>
      </c>
    </row>
    <row r="2945" spans="1:9" x14ac:dyDescent="0.25">
      <c r="A2945" t="s">
        <v>2651</v>
      </c>
      <c r="B2945" t="s">
        <v>13</v>
      </c>
      <c r="C2945">
        <v>55</v>
      </c>
      <c r="D2945">
        <v>62.01</v>
      </c>
      <c r="E2945" t="s">
        <v>17</v>
      </c>
      <c r="F2945">
        <v>28.49</v>
      </c>
      <c r="G2945">
        <v>26.59</v>
      </c>
      <c r="H2945" t="s">
        <v>17</v>
      </c>
      <c r="I2945" t="str">
        <f>"062271003128"</f>
        <v>062271003128</v>
      </c>
    </row>
    <row r="2946" spans="1:9" x14ac:dyDescent="0.25">
      <c r="A2946" t="s">
        <v>2652</v>
      </c>
      <c r="B2946" t="s">
        <v>13</v>
      </c>
      <c r="C2946">
        <v>26</v>
      </c>
      <c r="D2946">
        <v>24</v>
      </c>
      <c r="E2946" t="s">
        <v>17</v>
      </c>
      <c r="F2946">
        <v>24.12</v>
      </c>
      <c r="G2946">
        <v>26.75</v>
      </c>
      <c r="H2946" t="s">
        <v>17</v>
      </c>
      <c r="I2946" t="str">
        <f>"061488001857"</f>
        <v>061488001857</v>
      </c>
    </row>
    <row r="2947" spans="1:9" x14ac:dyDescent="0.25">
      <c r="A2947" t="s">
        <v>2653</v>
      </c>
      <c r="B2947" t="s">
        <v>13</v>
      </c>
      <c r="C2947">
        <v>25.83</v>
      </c>
      <c r="D2947">
        <v>23.87</v>
      </c>
      <c r="E2947" t="s">
        <v>17</v>
      </c>
      <c r="F2947">
        <v>8.94</v>
      </c>
      <c r="G2947">
        <v>9.0500000000000007</v>
      </c>
      <c r="H2947" t="s">
        <v>17</v>
      </c>
      <c r="I2947" t="str">
        <f>"062271007766"</f>
        <v>062271007766</v>
      </c>
    </row>
    <row r="2948" spans="1:9" x14ac:dyDescent="0.25">
      <c r="A2948" t="s">
        <v>2654</v>
      </c>
      <c r="B2948" t="s">
        <v>13</v>
      </c>
      <c r="C2948">
        <v>36</v>
      </c>
      <c r="D2948">
        <v>34.5</v>
      </c>
      <c r="E2948" t="s">
        <v>17</v>
      </c>
      <c r="F2948">
        <v>19.579999999999998</v>
      </c>
      <c r="G2948">
        <v>20.52</v>
      </c>
      <c r="H2948" t="s">
        <v>17</v>
      </c>
      <c r="I2948" t="str">
        <f>"060369000331"</f>
        <v>060369000331</v>
      </c>
    </row>
    <row r="2949" spans="1:9" x14ac:dyDescent="0.25">
      <c r="A2949" t="s">
        <v>2655</v>
      </c>
      <c r="B2949" t="s">
        <v>13</v>
      </c>
      <c r="C2949">
        <v>88.2</v>
      </c>
      <c r="D2949">
        <v>91</v>
      </c>
      <c r="E2949" t="s">
        <v>17</v>
      </c>
      <c r="F2949">
        <v>24.67</v>
      </c>
      <c r="G2949">
        <v>24.12</v>
      </c>
      <c r="H2949" t="s">
        <v>17</v>
      </c>
      <c r="I2949" t="str">
        <f>"063567006083"</f>
        <v>063567006083</v>
      </c>
    </row>
    <row r="2950" spans="1:9" x14ac:dyDescent="0.25">
      <c r="A2950" t="s">
        <v>2656</v>
      </c>
      <c r="B2950" t="s">
        <v>13</v>
      </c>
      <c r="C2950" t="s">
        <v>17</v>
      </c>
      <c r="D2950" t="s">
        <v>14</v>
      </c>
      <c r="E2950" t="s">
        <v>14</v>
      </c>
      <c r="F2950" t="s">
        <v>17</v>
      </c>
      <c r="G2950" t="s">
        <v>14</v>
      </c>
      <c r="H2950" t="s">
        <v>14</v>
      </c>
      <c r="I2950" t="str">
        <f>"062250013105"</f>
        <v>062250013105</v>
      </c>
    </row>
    <row r="2951" spans="1:9" x14ac:dyDescent="0.25">
      <c r="A2951" t="s">
        <v>2657</v>
      </c>
      <c r="B2951" t="s">
        <v>13</v>
      </c>
      <c r="C2951">
        <v>22.15</v>
      </c>
      <c r="D2951">
        <v>20.8</v>
      </c>
      <c r="E2951" t="s">
        <v>17</v>
      </c>
      <c r="F2951">
        <v>22.93</v>
      </c>
      <c r="G2951">
        <v>24.62</v>
      </c>
      <c r="H2951" t="s">
        <v>17</v>
      </c>
      <c r="I2951" t="str">
        <f>"063459010411"</f>
        <v>063459010411</v>
      </c>
    </row>
    <row r="2952" spans="1:9" x14ac:dyDescent="0.25">
      <c r="A2952" t="s">
        <v>2658</v>
      </c>
      <c r="B2952" t="s">
        <v>13</v>
      </c>
      <c r="C2952">
        <v>19</v>
      </c>
      <c r="D2952">
        <v>20</v>
      </c>
      <c r="E2952" t="s">
        <v>17</v>
      </c>
      <c r="F2952">
        <v>29.42</v>
      </c>
      <c r="G2952">
        <v>28</v>
      </c>
      <c r="H2952" t="s">
        <v>17</v>
      </c>
      <c r="I2952" t="str">
        <f>"060444000403"</f>
        <v>060444000403</v>
      </c>
    </row>
    <row r="2953" spans="1:9" x14ac:dyDescent="0.25">
      <c r="A2953" t="s">
        <v>2659</v>
      </c>
      <c r="B2953" t="s">
        <v>13</v>
      </c>
      <c r="C2953">
        <v>34</v>
      </c>
      <c r="D2953">
        <v>35</v>
      </c>
      <c r="E2953" t="s">
        <v>17</v>
      </c>
      <c r="F2953">
        <v>23</v>
      </c>
      <c r="G2953">
        <v>23.31</v>
      </c>
      <c r="H2953" t="s">
        <v>17</v>
      </c>
      <c r="I2953" t="str">
        <f>"062271002991"</f>
        <v>062271002991</v>
      </c>
    </row>
    <row r="2954" spans="1:9" x14ac:dyDescent="0.25">
      <c r="A2954" t="s">
        <v>2660</v>
      </c>
      <c r="B2954" t="s">
        <v>13</v>
      </c>
      <c r="C2954" t="str">
        <f>"0.60"</f>
        <v>0.60</v>
      </c>
      <c r="D2954" t="s">
        <v>14</v>
      </c>
      <c r="E2954" t="s">
        <v>14</v>
      </c>
      <c r="F2954">
        <v>61.67</v>
      </c>
      <c r="G2954" t="s">
        <v>14</v>
      </c>
      <c r="H2954" t="s">
        <v>14</v>
      </c>
      <c r="I2954" t="str">
        <f>"061284013059"</f>
        <v>061284013059</v>
      </c>
    </row>
    <row r="2955" spans="1:9" x14ac:dyDescent="0.25">
      <c r="A2955" t="s">
        <v>2661</v>
      </c>
      <c r="B2955" t="s">
        <v>13</v>
      </c>
      <c r="C2955">
        <v>36.24</v>
      </c>
      <c r="D2955">
        <v>37.82</v>
      </c>
      <c r="E2955" t="s">
        <v>17</v>
      </c>
      <c r="F2955">
        <v>23.81</v>
      </c>
      <c r="G2955">
        <v>24.46</v>
      </c>
      <c r="H2955" t="s">
        <v>17</v>
      </c>
      <c r="I2955" t="str">
        <f>"061284001448"</f>
        <v>061284001448</v>
      </c>
    </row>
    <row r="2956" spans="1:9" x14ac:dyDescent="0.25">
      <c r="A2956" t="s">
        <v>2662</v>
      </c>
      <c r="B2956" t="s">
        <v>13</v>
      </c>
      <c r="C2956">
        <v>20.2</v>
      </c>
      <c r="D2956">
        <v>20.7</v>
      </c>
      <c r="E2956" t="s">
        <v>17</v>
      </c>
      <c r="F2956">
        <v>26.58</v>
      </c>
      <c r="G2956">
        <v>25.89</v>
      </c>
      <c r="H2956" t="s">
        <v>17</v>
      </c>
      <c r="I2956" t="str">
        <f>"062769004163"</f>
        <v>062769004163</v>
      </c>
    </row>
    <row r="2957" spans="1:9" x14ac:dyDescent="0.25">
      <c r="A2957" t="s">
        <v>2663</v>
      </c>
      <c r="B2957" t="s">
        <v>13</v>
      </c>
      <c r="C2957">
        <v>6.26</v>
      </c>
      <c r="D2957">
        <v>6</v>
      </c>
      <c r="E2957" t="s">
        <v>17</v>
      </c>
      <c r="F2957">
        <v>19.329999999999998</v>
      </c>
      <c r="G2957">
        <v>23.5</v>
      </c>
      <c r="H2957" t="s">
        <v>17</v>
      </c>
      <c r="I2957" t="str">
        <f>"062502010699"</f>
        <v>062502010699</v>
      </c>
    </row>
    <row r="2958" spans="1:9" x14ac:dyDescent="0.25">
      <c r="A2958" t="s">
        <v>2664</v>
      </c>
      <c r="B2958" t="s">
        <v>13</v>
      </c>
      <c r="C2958">
        <v>45.85</v>
      </c>
      <c r="D2958">
        <v>41.5</v>
      </c>
      <c r="E2958" t="s">
        <v>17</v>
      </c>
      <c r="F2958">
        <v>19.02</v>
      </c>
      <c r="G2958">
        <v>21.16</v>
      </c>
      <c r="H2958" t="s">
        <v>17</v>
      </c>
      <c r="I2958" t="str">
        <f>"061291006493"</f>
        <v>061291006493</v>
      </c>
    </row>
    <row r="2959" spans="1:9" x14ac:dyDescent="0.25">
      <c r="A2959" t="s">
        <v>2665</v>
      </c>
      <c r="B2959" t="s">
        <v>13</v>
      </c>
      <c r="C2959">
        <v>3.4</v>
      </c>
      <c r="D2959">
        <v>2.4</v>
      </c>
      <c r="E2959" t="s">
        <v>14</v>
      </c>
      <c r="F2959">
        <v>9.7100000000000009</v>
      </c>
      <c r="G2959">
        <v>8.33</v>
      </c>
      <c r="H2959" t="s">
        <v>14</v>
      </c>
      <c r="I2959" t="str">
        <f>"061291012789"</f>
        <v>061291012789</v>
      </c>
    </row>
    <row r="2960" spans="1:9" x14ac:dyDescent="0.25">
      <c r="A2960" t="s">
        <v>2666</v>
      </c>
      <c r="B2960" t="s">
        <v>13</v>
      </c>
      <c r="C2960">
        <v>29.34</v>
      </c>
      <c r="D2960">
        <v>29.1</v>
      </c>
      <c r="E2960" t="s">
        <v>17</v>
      </c>
      <c r="F2960">
        <v>19.53</v>
      </c>
      <c r="G2960">
        <v>19.79</v>
      </c>
      <c r="H2960" t="s">
        <v>17</v>
      </c>
      <c r="I2960" t="str">
        <f>"062961004584"</f>
        <v>062961004584</v>
      </c>
    </row>
    <row r="2961" spans="1:9" x14ac:dyDescent="0.25">
      <c r="A2961" t="s">
        <v>2667</v>
      </c>
      <c r="B2961" t="s">
        <v>13</v>
      </c>
      <c r="C2961">
        <v>110</v>
      </c>
      <c r="D2961">
        <v>110.6</v>
      </c>
      <c r="E2961" t="s">
        <v>17</v>
      </c>
      <c r="F2961">
        <v>24.05</v>
      </c>
      <c r="G2961">
        <v>24.64</v>
      </c>
      <c r="H2961" t="s">
        <v>17</v>
      </c>
      <c r="I2961" t="str">
        <f>"061291001465"</f>
        <v>061291001465</v>
      </c>
    </row>
    <row r="2962" spans="1:9" x14ac:dyDescent="0.25">
      <c r="A2962" t="s">
        <v>2668</v>
      </c>
      <c r="B2962" t="s">
        <v>13</v>
      </c>
      <c r="C2962">
        <v>21</v>
      </c>
      <c r="D2962">
        <v>19.79</v>
      </c>
      <c r="E2962" t="s">
        <v>17</v>
      </c>
      <c r="F2962">
        <v>15.1</v>
      </c>
      <c r="G2962">
        <v>16.62</v>
      </c>
      <c r="H2962" t="s">
        <v>17</v>
      </c>
      <c r="I2962" t="str">
        <f>"061182010666"</f>
        <v>061182010666</v>
      </c>
    </row>
    <row r="2963" spans="1:9" x14ac:dyDescent="0.25">
      <c r="A2963" t="s">
        <v>2669</v>
      </c>
      <c r="B2963" t="s">
        <v>13</v>
      </c>
      <c r="C2963">
        <v>12.1</v>
      </c>
      <c r="D2963">
        <v>11.25</v>
      </c>
      <c r="E2963" t="s">
        <v>17</v>
      </c>
      <c r="F2963">
        <v>74.959999999999994</v>
      </c>
      <c r="G2963" t="s">
        <v>17</v>
      </c>
      <c r="H2963" t="s">
        <v>17</v>
      </c>
      <c r="I2963" t="str">
        <f>"061182011449"</f>
        <v>061182011449</v>
      </c>
    </row>
    <row r="2964" spans="1:9" x14ac:dyDescent="0.25">
      <c r="A2964" t="s">
        <v>2670</v>
      </c>
      <c r="B2964" t="s">
        <v>13</v>
      </c>
      <c r="C2964">
        <v>27</v>
      </c>
      <c r="D2964">
        <v>27</v>
      </c>
      <c r="E2964" t="s">
        <v>17</v>
      </c>
      <c r="F2964">
        <v>23.26</v>
      </c>
      <c r="G2964">
        <v>24.44</v>
      </c>
      <c r="H2964" t="s">
        <v>17</v>
      </c>
      <c r="I2964" t="str">
        <f>"062271002992"</f>
        <v>062271002992</v>
      </c>
    </row>
    <row r="2965" spans="1:9" x14ac:dyDescent="0.25">
      <c r="A2965" t="s">
        <v>2671</v>
      </c>
      <c r="B2965" t="s">
        <v>13</v>
      </c>
      <c r="C2965">
        <v>14.6</v>
      </c>
      <c r="D2965">
        <v>15.34</v>
      </c>
      <c r="E2965" t="s">
        <v>17</v>
      </c>
      <c r="F2965">
        <v>18.63</v>
      </c>
      <c r="G2965">
        <v>19.23</v>
      </c>
      <c r="H2965" t="s">
        <v>17</v>
      </c>
      <c r="I2965" t="str">
        <f>"061293001470"</f>
        <v>061293001470</v>
      </c>
    </row>
    <row r="2966" spans="1:9" x14ac:dyDescent="0.25">
      <c r="A2966" t="s">
        <v>2672</v>
      </c>
      <c r="B2966" t="s">
        <v>13</v>
      </c>
      <c r="C2966">
        <v>21.5</v>
      </c>
      <c r="D2966">
        <v>26</v>
      </c>
      <c r="E2966" t="s">
        <v>17</v>
      </c>
      <c r="F2966">
        <v>32.090000000000003</v>
      </c>
      <c r="G2966">
        <v>27.38</v>
      </c>
      <c r="H2966" t="s">
        <v>17</v>
      </c>
      <c r="I2966" t="str">
        <f>"061293001469"</f>
        <v>061293001469</v>
      </c>
    </row>
    <row r="2967" spans="1:9" x14ac:dyDescent="0.25">
      <c r="A2967" t="s">
        <v>2673</v>
      </c>
      <c r="B2967" t="s">
        <v>13</v>
      </c>
      <c r="C2967">
        <v>8</v>
      </c>
      <c r="D2967">
        <v>8</v>
      </c>
      <c r="E2967" t="s">
        <v>17</v>
      </c>
      <c r="F2967">
        <v>13.25</v>
      </c>
      <c r="G2967">
        <v>14.13</v>
      </c>
      <c r="H2967" t="s">
        <v>17</v>
      </c>
      <c r="I2967" t="str">
        <f>"063386005297"</f>
        <v>063386005297</v>
      </c>
    </row>
    <row r="2968" spans="1:9" x14ac:dyDescent="0.25">
      <c r="A2968" t="s">
        <v>2674</v>
      </c>
      <c r="B2968" t="s">
        <v>13</v>
      </c>
      <c r="C2968">
        <v>29</v>
      </c>
      <c r="D2968">
        <v>33</v>
      </c>
      <c r="E2968" t="s">
        <v>17</v>
      </c>
      <c r="F2968">
        <v>26.66</v>
      </c>
      <c r="G2968">
        <v>25.3</v>
      </c>
      <c r="H2968" t="s">
        <v>17</v>
      </c>
      <c r="I2968" t="str">
        <f>"062271000451"</f>
        <v>062271000451</v>
      </c>
    </row>
    <row r="2969" spans="1:9" x14ac:dyDescent="0.25">
      <c r="A2969" t="s">
        <v>2674</v>
      </c>
      <c r="B2969" t="s">
        <v>13</v>
      </c>
      <c r="C2969">
        <v>37</v>
      </c>
      <c r="D2969">
        <v>40</v>
      </c>
      <c r="E2969" t="s">
        <v>17</v>
      </c>
      <c r="F2969">
        <v>27.78</v>
      </c>
      <c r="G2969">
        <v>26.9</v>
      </c>
      <c r="H2969" t="s">
        <v>17</v>
      </c>
      <c r="I2969" t="str">
        <f>"064212011319"</f>
        <v>064212011319</v>
      </c>
    </row>
    <row r="2970" spans="1:9" x14ac:dyDescent="0.25">
      <c r="A2970" t="s">
        <v>2674</v>
      </c>
      <c r="B2970" t="s">
        <v>13</v>
      </c>
      <c r="C2970">
        <v>15</v>
      </c>
      <c r="D2970">
        <v>18</v>
      </c>
      <c r="E2970" t="s">
        <v>17</v>
      </c>
      <c r="F2970">
        <v>21.4</v>
      </c>
      <c r="G2970">
        <v>18.28</v>
      </c>
      <c r="H2970" t="s">
        <v>17</v>
      </c>
      <c r="I2970" t="str">
        <f>"062805004317"</f>
        <v>062805004317</v>
      </c>
    </row>
    <row r="2971" spans="1:9" x14ac:dyDescent="0.25">
      <c r="A2971" t="s">
        <v>2675</v>
      </c>
      <c r="B2971" t="s">
        <v>13</v>
      </c>
      <c r="C2971" t="str">
        <f>"0.80"</f>
        <v>0.80</v>
      </c>
      <c r="D2971">
        <v>1.8</v>
      </c>
      <c r="E2971" t="s">
        <v>17</v>
      </c>
      <c r="F2971">
        <v>85</v>
      </c>
      <c r="G2971">
        <v>31.67</v>
      </c>
      <c r="H2971" t="s">
        <v>17</v>
      </c>
      <c r="I2971" t="str">
        <f>"061035009776"</f>
        <v>061035009776</v>
      </c>
    </row>
    <row r="2972" spans="1:9" x14ac:dyDescent="0.25">
      <c r="A2972" t="s">
        <v>2675</v>
      </c>
      <c r="B2972" t="s">
        <v>13</v>
      </c>
      <c r="C2972">
        <v>75.56</v>
      </c>
      <c r="D2972">
        <v>75.97</v>
      </c>
      <c r="E2972" t="s">
        <v>17</v>
      </c>
      <c r="F2972">
        <v>24.92</v>
      </c>
      <c r="G2972">
        <v>25.05</v>
      </c>
      <c r="H2972" t="s">
        <v>17</v>
      </c>
      <c r="I2972" t="str">
        <f>"063066004758"</f>
        <v>063066004758</v>
      </c>
    </row>
    <row r="2973" spans="1:9" x14ac:dyDescent="0.25">
      <c r="A2973" t="s">
        <v>2676</v>
      </c>
      <c r="B2973" t="s">
        <v>13</v>
      </c>
      <c r="C2973">
        <v>1.4</v>
      </c>
      <c r="D2973">
        <v>1.6</v>
      </c>
      <c r="E2973" t="s">
        <v>17</v>
      </c>
      <c r="F2973">
        <v>20</v>
      </c>
      <c r="G2973">
        <v>18.75</v>
      </c>
      <c r="H2973" t="s">
        <v>17</v>
      </c>
      <c r="I2973" t="str">
        <f>"060005102015"</f>
        <v>060005102015</v>
      </c>
    </row>
    <row r="2974" spans="1:9" x14ac:dyDescent="0.25">
      <c r="A2974" t="s">
        <v>2677</v>
      </c>
      <c r="B2974" t="s">
        <v>13</v>
      </c>
      <c r="C2974">
        <v>25.49</v>
      </c>
      <c r="D2974">
        <v>26.49</v>
      </c>
      <c r="E2974" t="s">
        <v>17</v>
      </c>
      <c r="F2974">
        <v>17.850000000000001</v>
      </c>
      <c r="G2974">
        <v>18.16</v>
      </c>
      <c r="H2974" t="s">
        <v>17</v>
      </c>
      <c r="I2974" t="str">
        <f>"062865004427"</f>
        <v>062865004427</v>
      </c>
    </row>
    <row r="2975" spans="1:9" x14ac:dyDescent="0.25">
      <c r="A2975" t="s">
        <v>2678</v>
      </c>
      <c r="B2975" t="s">
        <v>13</v>
      </c>
      <c r="C2975">
        <v>55.31</v>
      </c>
      <c r="D2975">
        <v>51.16</v>
      </c>
      <c r="E2975" t="s">
        <v>17</v>
      </c>
      <c r="F2975">
        <v>23.12</v>
      </c>
      <c r="G2975">
        <v>25.63</v>
      </c>
      <c r="H2975" t="s">
        <v>17</v>
      </c>
      <c r="I2975" t="str">
        <f>"062724004114"</f>
        <v>062724004114</v>
      </c>
    </row>
    <row r="2976" spans="1:9" x14ac:dyDescent="0.25">
      <c r="A2976" t="s">
        <v>2679</v>
      </c>
      <c r="B2976" t="s">
        <v>13</v>
      </c>
      <c r="C2976">
        <v>22.05</v>
      </c>
      <c r="D2976">
        <v>23</v>
      </c>
      <c r="E2976" t="s">
        <v>17</v>
      </c>
      <c r="F2976">
        <v>25.85</v>
      </c>
      <c r="G2976">
        <v>24.87</v>
      </c>
      <c r="H2976" t="s">
        <v>17</v>
      </c>
      <c r="I2976" t="str">
        <f>"062343003565"</f>
        <v>062343003565</v>
      </c>
    </row>
    <row r="2977" spans="1:9" x14ac:dyDescent="0.25">
      <c r="A2977" t="s">
        <v>2680</v>
      </c>
      <c r="B2977" t="s">
        <v>13</v>
      </c>
      <c r="C2977">
        <v>33</v>
      </c>
      <c r="D2977">
        <v>31.4</v>
      </c>
      <c r="E2977" t="s">
        <v>17</v>
      </c>
      <c r="F2977">
        <v>26.12</v>
      </c>
      <c r="G2977">
        <v>26.31</v>
      </c>
      <c r="H2977" t="s">
        <v>17</v>
      </c>
      <c r="I2977" t="str">
        <f>"060444000400"</f>
        <v>060444000400</v>
      </c>
    </row>
    <row r="2978" spans="1:9" x14ac:dyDescent="0.25">
      <c r="A2978" t="s">
        <v>2681</v>
      </c>
      <c r="B2978" t="s">
        <v>13</v>
      </c>
      <c r="C2978">
        <v>23</v>
      </c>
      <c r="D2978">
        <v>22</v>
      </c>
      <c r="E2978" t="s">
        <v>17</v>
      </c>
      <c r="F2978">
        <v>22.91</v>
      </c>
      <c r="G2978">
        <v>22.45</v>
      </c>
      <c r="H2978" t="s">
        <v>17</v>
      </c>
      <c r="I2978" t="str">
        <f>"062271012674"</f>
        <v>062271012674</v>
      </c>
    </row>
    <row r="2979" spans="1:9" x14ac:dyDescent="0.25">
      <c r="A2979" t="s">
        <v>2682</v>
      </c>
      <c r="B2979" t="s">
        <v>13</v>
      </c>
      <c r="C2979">
        <v>7.33</v>
      </c>
      <c r="D2979">
        <v>8.01</v>
      </c>
      <c r="E2979" t="s">
        <v>17</v>
      </c>
      <c r="F2979">
        <v>19.37</v>
      </c>
      <c r="G2979">
        <v>19.23</v>
      </c>
      <c r="H2979" t="s">
        <v>17</v>
      </c>
      <c r="I2979" t="str">
        <f>"061482001820"</f>
        <v>061482001820</v>
      </c>
    </row>
    <row r="2980" spans="1:9" x14ac:dyDescent="0.25">
      <c r="A2980" t="s">
        <v>2683</v>
      </c>
      <c r="B2980" t="s">
        <v>13</v>
      </c>
      <c r="C2980">
        <v>19</v>
      </c>
      <c r="D2980">
        <v>20</v>
      </c>
      <c r="E2980" t="s">
        <v>17</v>
      </c>
      <c r="F2980">
        <v>30</v>
      </c>
      <c r="G2980">
        <v>30.85</v>
      </c>
      <c r="H2980" t="s">
        <v>17</v>
      </c>
      <c r="I2980" t="str">
        <f>"063444011032"</f>
        <v>063444011032</v>
      </c>
    </row>
    <row r="2981" spans="1:9" x14ac:dyDescent="0.25">
      <c r="A2981" t="s">
        <v>2684</v>
      </c>
      <c r="B2981" t="s">
        <v>13</v>
      </c>
      <c r="C2981">
        <v>36.75</v>
      </c>
      <c r="D2981">
        <v>35</v>
      </c>
      <c r="E2981" t="s">
        <v>17</v>
      </c>
      <c r="F2981">
        <v>27.48</v>
      </c>
      <c r="G2981">
        <v>26.69</v>
      </c>
      <c r="H2981" t="s">
        <v>17</v>
      </c>
      <c r="I2981" t="str">
        <f>"063339012127"</f>
        <v>063339012127</v>
      </c>
    </row>
    <row r="2982" spans="1:9" x14ac:dyDescent="0.25">
      <c r="A2982" t="s">
        <v>2685</v>
      </c>
      <c r="B2982" t="s">
        <v>13</v>
      </c>
      <c r="C2982">
        <v>29.2</v>
      </c>
      <c r="D2982">
        <v>27.2</v>
      </c>
      <c r="E2982" t="s">
        <v>17</v>
      </c>
      <c r="F2982">
        <v>28.12</v>
      </c>
      <c r="G2982">
        <v>29.93</v>
      </c>
      <c r="H2982" t="s">
        <v>17</v>
      </c>
      <c r="I2982" t="str">
        <f>"061488001823"</f>
        <v>061488001823</v>
      </c>
    </row>
    <row r="2983" spans="1:9" x14ac:dyDescent="0.25">
      <c r="A2983" t="s">
        <v>2686</v>
      </c>
      <c r="B2983" t="s">
        <v>13</v>
      </c>
      <c r="C2983">
        <v>46.01</v>
      </c>
      <c r="D2983">
        <v>42</v>
      </c>
      <c r="E2983" t="s">
        <v>17</v>
      </c>
      <c r="F2983">
        <v>27.49</v>
      </c>
      <c r="G2983">
        <v>29.64</v>
      </c>
      <c r="H2983" t="s">
        <v>17</v>
      </c>
      <c r="I2983" t="str">
        <f>"061803002215"</f>
        <v>061803002215</v>
      </c>
    </row>
    <row r="2984" spans="1:9" x14ac:dyDescent="0.25">
      <c r="A2984" t="s">
        <v>2687</v>
      </c>
      <c r="B2984" t="s">
        <v>13</v>
      </c>
      <c r="C2984">
        <v>19</v>
      </c>
      <c r="D2984">
        <v>24.2</v>
      </c>
      <c r="E2984" t="s">
        <v>17</v>
      </c>
      <c r="F2984">
        <v>31.79</v>
      </c>
      <c r="G2984">
        <v>27.73</v>
      </c>
      <c r="H2984" t="s">
        <v>17</v>
      </c>
      <c r="I2984" t="str">
        <f>"063384005239"</f>
        <v>063384005239</v>
      </c>
    </row>
    <row r="2985" spans="1:9" x14ac:dyDescent="0.25">
      <c r="A2985" t="s">
        <v>2688</v>
      </c>
      <c r="B2985" t="s">
        <v>13</v>
      </c>
      <c r="C2985">
        <v>49.96</v>
      </c>
      <c r="D2985">
        <v>50.9</v>
      </c>
      <c r="E2985" t="s">
        <v>17</v>
      </c>
      <c r="F2985">
        <v>24.68</v>
      </c>
      <c r="G2985">
        <v>24.79</v>
      </c>
      <c r="H2985" t="s">
        <v>17</v>
      </c>
      <c r="I2985" t="str">
        <f>"063237003852"</f>
        <v>063237003852</v>
      </c>
    </row>
    <row r="2986" spans="1:9" x14ac:dyDescent="0.25">
      <c r="A2986" t="s">
        <v>2689</v>
      </c>
      <c r="B2986" t="s">
        <v>13</v>
      </c>
      <c r="C2986">
        <v>20.5</v>
      </c>
      <c r="D2986">
        <v>21.5</v>
      </c>
      <c r="E2986" t="s">
        <v>17</v>
      </c>
      <c r="F2986">
        <v>25.17</v>
      </c>
      <c r="G2986">
        <v>26.23</v>
      </c>
      <c r="H2986" t="s">
        <v>17</v>
      </c>
      <c r="I2986" t="str">
        <f>"061488001840"</f>
        <v>061488001840</v>
      </c>
    </row>
    <row r="2987" spans="1:9" x14ac:dyDescent="0.25">
      <c r="A2987" t="s">
        <v>2690</v>
      </c>
      <c r="B2987" t="s">
        <v>13</v>
      </c>
      <c r="C2987">
        <v>18.899999999999999</v>
      </c>
      <c r="D2987">
        <v>17.579999999999998</v>
      </c>
      <c r="E2987" t="s">
        <v>17</v>
      </c>
      <c r="F2987">
        <v>23.23</v>
      </c>
      <c r="G2987">
        <v>23.49</v>
      </c>
      <c r="H2987" t="s">
        <v>17</v>
      </c>
      <c r="I2987" t="str">
        <f>"063384005240"</f>
        <v>063384005240</v>
      </c>
    </row>
    <row r="2988" spans="1:9" x14ac:dyDescent="0.25">
      <c r="A2988" t="s">
        <v>2691</v>
      </c>
      <c r="B2988" t="s">
        <v>13</v>
      </c>
      <c r="C2988">
        <v>31</v>
      </c>
      <c r="D2988">
        <v>32</v>
      </c>
      <c r="E2988" t="s">
        <v>17</v>
      </c>
      <c r="F2988">
        <v>28.16</v>
      </c>
      <c r="G2988">
        <v>27.91</v>
      </c>
      <c r="H2988" t="s">
        <v>17</v>
      </c>
      <c r="I2988" t="str">
        <f>"061296011094"</f>
        <v>061296011094</v>
      </c>
    </row>
    <row r="2989" spans="1:9" x14ac:dyDescent="0.25">
      <c r="A2989" t="s">
        <v>2692</v>
      </c>
      <c r="B2989" t="s">
        <v>13</v>
      </c>
      <c r="C2989">
        <v>1</v>
      </c>
      <c r="D2989">
        <v>1</v>
      </c>
      <c r="E2989" t="s">
        <v>17</v>
      </c>
      <c r="F2989">
        <v>3</v>
      </c>
      <c r="G2989">
        <v>6</v>
      </c>
      <c r="H2989" t="s">
        <v>17</v>
      </c>
      <c r="I2989" t="str">
        <f>"061296012260"</f>
        <v>061296012260</v>
      </c>
    </row>
    <row r="2990" spans="1:9" x14ac:dyDescent="0.25">
      <c r="A2990" t="s">
        <v>2693</v>
      </c>
      <c r="B2990" t="s">
        <v>13</v>
      </c>
      <c r="C2990">
        <v>117.7</v>
      </c>
      <c r="D2990">
        <v>114.97</v>
      </c>
      <c r="E2990" t="s">
        <v>17</v>
      </c>
      <c r="F2990">
        <v>27.7</v>
      </c>
      <c r="G2990">
        <v>27.64</v>
      </c>
      <c r="H2990" t="s">
        <v>17</v>
      </c>
      <c r="I2990" t="str">
        <f>"060816008807"</f>
        <v>060816008807</v>
      </c>
    </row>
    <row r="2991" spans="1:9" x14ac:dyDescent="0.25">
      <c r="A2991" t="s">
        <v>2694</v>
      </c>
      <c r="B2991" t="s">
        <v>13</v>
      </c>
      <c r="C2991">
        <v>49.17</v>
      </c>
      <c r="D2991">
        <v>47.7</v>
      </c>
      <c r="E2991" t="s">
        <v>17</v>
      </c>
      <c r="F2991">
        <v>25.38</v>
      </c>
      <c r="G2991">
        <v>26.44</v>
      </c>
      <c r="H2991" t="s">
        <v>17</v>
      </c>
      <c r="I2991" t="str">
        <f>"061296001471"</f>
        <v>061296001471</v>
      </c>
    </row>
    <row r="2992" spans="1:9" x14ac:dyDescent="0.25">
      <c r="A2992" t="s">
        <v>2695</v>
      </c>
      <c r="B2992" t="s">
        <v>13</v>
      </c>
      <c r="C2992" t="s">
        <v>17</v>
      </c>
      <c r="D2992" t="s">
        <v>17</v>
      </c>
      <c r="E2992" t="s">
        <v>17</v>
      </c>
      <c r="F2992" t="s">
        <v>17</v>
      </c>
      <c r="G2992" t="s">
        <v>17</v>
      </c>
      <c r="H2992" t="s">
        <v>17</v>
      </c>
      <c r="I2992" t="str">
        <f>"060015910677"</f>
        <v>060015910677</v>
      </c>
    </row>
    <row r="2993" spans="1:9" x14ac:dyDescent="0.25">
      <c r="A2993" t="s">
        <v>2696</v>
      </c>
      <c r="B2993" t="s">
        <v>13</v>
      </c>
      <c r="C2993">
        <v>8.5500000000000007</v>
      </c>
      <c r="D2993">
        <v>8.5</v>
      </c>
      <c r="E2993" t="s">
        <v>17</v>
      </c>
      <c r="F2993">
        <v>23.98</v>
      </c>
      <c r="G2993">
        <v>24.82</v>
      </c>
      <c r="H2993" t="s">
        <v>17</v>
      </c>
      <c r="I2993" t="str">
        <f>"060015901473"</f>
        <v>060015901473</v>
      </c>
    </row>
    <row r="2994" spans="1:9" x14ac:dyDescent="0.25">
      <c r="A2994" t="s">
        <v>2697</v>
      </c>
      <c r="B2994" t="s">
        <v>13</v>
      </c>
      <c r="C2994">
        <v>13.84</v>
      </c>
      <c r="D2994">
        <v>14.55</v>
      </c>
      <c r="E2994" t="s">
        <v>17</v>
      </c>
      <c r="F2994">
        <v>14.74</v>
      </c>
      <c r="G2994">
        <v>12.65</v>
      </c>
      <c r="H2994" t="s">
        <v>17</v>
      </c>
      <c r="I2994" t="str">
        <f>"060015901474"</f>
        <v>060015901474</v>
      </c>
    </row>
    <row r="2995" spans="1:9" x14ac:dyDescent="0.25">
      <c r="A2995" t="s">
        <v>2698</v>
      </c>
      <c r="B2995" t="s">
        <v>13</v>
      </c>
      <c r="C2995" t="s">
        <v>14</v>
      </c>
      <c r="D2995">
        <v>1</v>
      </c>
      <c r="E2995" t="s">
        <v>17</v>
      </c>
      <c r="F2995" t="s">
        <v>17</v>
      </c>
      <c r="G2995">
        <v>9</v>
      </c>
      <c r="H2995" t="s">
        <v>17</v>
      </c>
      <c r="I2995" t="str">
        <f>"063759007879"</f>
        <v>063759007879</v>
      </c>
    </row>
    <row r="2996" spans="1:9" x14ac:dyDescent="0.25">
      <c r="A2996" t="s">
        <v>2699</v>
      </c>
      <c r="B2996" t="s">
        <v>13</v>
      </c>
      <c r="C2996">
        <v>37</v>
      </c>
      <c r="D2996">
        <v>41.5</v>
      </c>
      <c r="E2996" t="s">
        <v>17</v>
      </c>
      <c r="F2996">
        <v>27.59</v>
      </c>
      <c r="G2996">
        <v>23.86</v>
      </c>
      <c r="H2996" t="s">
        <v>17</v>
      </c>
      <c r="I2996" t="str">
        <f>"061668002093"</f>
        <v>061668002093</v>
      </c>
    </row>
    <row r="2997" spans="1:9" x14ac:dyDescent="0.25">
      <c r="A2997" t="s">
        <v>2700</v>
      </c>
      <c r="B2997" t="s">
        <v>13</v>
      </c>
      <c r="C2997">
        <v>22.5</v>
      </c>
      <c r="D2997">
        <v>22</v>
      </c>
      <c r="E2997" t="s">
        <v>17</v>
      </c>
      <c r="F2997">
        <v>29.69</v>
      </c>
      <c r="G2997">
        <v>29</v>
      </c>
      <c r="H2997" t="s">
        <v>17</v>
      </c>
      <c r="I2997" t="str">
        <f>"060001409076"</f>
        <v>060001409076</v>
      </c>
    </row>
    <row r="2998" spans="1:9" x14ac:dyDescent="0.25">
      <c r="A2998" t="s">
        <v>2701</v>
      </c>
      <c r="B2998" t="s">
        <v>13</v>
      </c>
      <c r="C2998">
        <v>38</v>
      </c>
      <c r="D2998">
        <v>44</v>
      </c>
      <c r="E2998" t="s">
        <v>17</v>
      </c>
      <c r="F2998">
        <v>24.76</v>
      </c>
      <c r="G2998">
        <v>23.64</v>
      </c>
      <c r="H2998" t="s">
        <v>17</v>
      </c>
      <c r="I2998" t="str">
        <f>"062271002993"</f>
        <v>062271002993</v>
      </c>
    </row>
    <row r="2999" spans="1:9" x14ac:dyDescent="0.25">
      <c r="A2999" t="s">
        <v>2702</v>
      </c>
      <c r="B2999" t="s">
        <v>13</v>
      </c>
      <c r="C2999">
        <v>30</v>
      </c>
      <c r="D2999">
        <v>30</v>
      </c>
      <c r="E2999" t="s">
        <v>17</v>
      </c>
      <c r="F2999">
        <v>19.7</v>
      </c>
      <c r="G2999">
        <v>19.73</v>
      </c>
      <c r="H2999" t="s">
        <v>17</v>
      </c>
      <c r="I2999" t="str">
        <f>"062847004398"</f>
        <v>062847004398</v>
      </c>
    </row>
    <row r="3000" spans="1:9" x14ac:dyDescent="0.25">
      <c r="A3000" t="s">
        <v>2702</v>
      </c>
      <c r="B3000" t="s">
        <v>13</v>
      </c>
      <c r="C3000">
        <v>32</v>
      </c>
      <c r="D3000">
        <v>32.700000000000003</v>
      </c>
      <c r="E3000" t="s">
        <v>17</v>
      </c>
      <c r="F3000">
        <v>19.38</v>
      </c>
      <c r="G3000">
        <v>19.66</v>
      </c>
      <c r="H3000" t="s">
        <v>17</v>
      </c>
      <c r="I3000" t="str">
        <f>"063432005454"</f>
        <v>063432005454</v>
      </c>
    </row>
    <row r="3001" spans="1:9" x14ac:dyDescent="0.25">
      <c r="A3001" t="s">
        <v>2703</v>
      </c>
      <c r="B3001" t="s">
        <v>13</v>
      </c>
      <c r="C3001" t="s">
        <v>14</v>
      </c>
      <c r="D3001">
        <v>10</v>
      </c>
      <c r="E3001" t="s">
        <v>17</v>
      </c>
      <c r="F3001" t="s">
        <v>17</v>
      </c>
      <c r="G3001">
        <v>5.4</v>
      </c>
      <c r="H3001" t="s">
        <v>17</v>
      </c>
      <c r="I3001" t="str">
        <f>"061218012230"</f>
        <v>061218012230</v>
      </c>
    </row>
    <row r="3002" spans="1:9" x14ac:dyDescent="0.25">
      <c r="A3002" t="s">
        <v>2704</v>
      </c>
      <c r="B3002" t="s">
        <v>13</v>
      </c>
      <c r="C3002">
        <v>27.16</v>
      </c>
      <c r="D3002">
        <v>32.700000000000003</v>
      </c>
      <c r="E3002" t="s">
        <v>17</v>
      </c>
      <c r="F3002">
        <v>23.23</v>
      </c>
      <c r="G3002">
        <v>20.37</v>
      </c>
      <c r="H3002" t="s">
        <v>17</v>
      </c>
      <c r="I3002" t="str">
        <f>"064059006706"</f>
        <v>064059006706</v>
      </c>
    </row>
    <row r="3003" spans="1:9" x14ac:dyDescent="0.25">
      <c r="A3003" t="s">
        <v>2705</v>
      </c>
      <c r="B3003" t="s">
        <v>13</v>
      </c>
      <c r="C3003">
        <v>4</v>
      </c>
      <c r="D3003">
        <v>4</v>
      </c>
      <c r="E3003" t="s">
        <v>17</v>
      </c>
      <c r="F3003">
        <v>30.25</v>
      </c>
      <c r="G3003">
        <v>32.5</v>
      </c>
      <c r="H3003" t="s">
        <v>17</v>
      </c>
      <c r="I3003" t="str">
        <f>"069100910794"</f>
        <v>069100910794</v>
      </c>
    </row>
    <row r="3004" spans="1:9" x14ac:dyDescent="0.25">
      <c r="A3004" t="s">
        <v>2706</v>
      </c>
      <c r="B3004" t="s">
        <v>13</v>
      </c>
      <c r="C3004" t="s">
        <v>14</v>
      </c>
      <c r="D3004" t="str">
        <f>"0.75"</f>
        <v>0.75</v>
      </c>
      <c r="E3004" t="s">
        <v>17</v>
      </c>
      <c r="F3004" t="s">
        <v>17</v>
      </c>
      <c r="G3004">
        <v>2.67</v>
      </c>
      <c r="H3004" t="s">
        <v>17</v>
      </c>
      <c r="I3004" t="str">
        <f>"060495007501"</f>
        <v>060495007501</v>
      </c>
    </row>
    <row r="3005" spans="1:9" x14ac:dyDescent="0.25">
      <c r="A3005" t="s">
        <v>2707</v>
      </c>
      <c r="B3005" t="s">
        <v>13</v>
      </c>
      <c r="C3005">
        <v>55.2</v>
      </c>
      <c r="D3005">
        <v>59.4</v>
      </c>
      <c r="E3005" t="s">
        <v>17</v>
      </c>
      <c r="F3005">
        <v>20.69</v>
      </c>
      <c r="G3005">
        <v>21.23</v>
      </c>
      <c r="H3005" t="s">
        <v>17</v>
      </c>
      <c r="I3005" t="str">
        <f>"060005201477"</f>
        <v>060005201477</v>
      </c>
    </row>
    <row r="3006" spans="1:9" x14ac:dyDescent="0.25">
      <c r="A3006" t="s">
        <v>2708</v>
      </c>
      <c r="B3006" t="s">
        <v>13</v>
      </c>
      <c r="C3006">
        <v>33.85</v>
      </c>
      <c r="D3006">
        <v>34.700000000000003</v>
      </c>
      <c r="E3006" t="s">
        <v>17</v>
      </c>
      <c r="F3006">
        <v>21.12</v>
      </c>
      <c r="G3006">
        <v>21.15</v>
      </c>
      <c r="H3006" t="s">
        <v>17</v>
      </c>
      <c r="I3006" t="str">
        <f>"060348000265"</f>
        <v>060348000265</v>
      </c>
    </row>
    <row r="3007" spans="1:9" x14ac:dyDescent="0.25">
      <c r="A3007" t="s">
        <v>2709</v>
      </c>
      <c r="B3007" t="s">
        <v>13</v>
      </c>
      <c r="C3007">
        <v>3.75</v>
      </c>
      <c r="D3007">
        <v>3.25</v>
      </c>
      <c r="E3007" t="s">
        <v>14</v>
      </c>
      <c r="F3007">
        <v>32.799999999999997</v>
      </c>
      <c r="G3007">
        <v>9.5399999999999991</v>
      </c>
      <c r="H3007" t="s">
        <v>14</v>
      </c>
      <c r="I3007" t="str">
        <f>"063432012560"</f>
        <v>063432012560</v>
      </c>
    </row>
    <row r="3008" spans="1:9" x14ac:dyDescent="0.25">
      <c r="A3008" t="s">
        <v>2710</v>
      </c>
      <c r="B3008" t="s">
        <v>13</v>
      </c>
      <c r="C3008">
        <v>25</v>
      </c>
      <c r="D3008">
        <v>29</v>
      </c>
      <c r="E3008" t="s">
        <v>17</v>
      </c>
      <c r="F3008">
        <v>26.44</v>
      </c>
      <c r="G3008">
        <v>25.83</v>
      </c>
      <c r="H3008" t="s">
        <v>17</v>
      </c>
      <c r="I3008" t="str">
        <f>"062454011716"</f>
        <v>062454011716</v>
      </c>
    </row>
    <row r="3009" spans="1:9" x14ac:dyDescent="0.25">
      <c r="A3009" t="s">
        <v>2711</v>
      </c>
      <c r="B3009" t="s">
        <v>13</v>
      </c>
      <c r="C3009">
        <v>16.2</v>
      </c>
      <c r="D3009">
        <v>16.2</v>
      </c>
      <c r="E3009" t="s">
        <v>17</v>
      </c>
      <c r="F3009">
        <v>22.9</v>
      </c>
      <c r="G3009">
        <v>23.27</v>
      </c>
      <c r="H3009" t="s">
        <v>17</v>
      </c>
      <c r="I3009" t="str">
        <f>"063942006554"</f>
        <v>063942006554</v>
      </c>
    </row>
    <row r="3010" spans="1:9" x14ac:dyDescent="0.25">
      <c r="A3010" t="s">
        <v>2712</v>
      </c>
      <c r="B3010" t="s">
        <v>13</v>
      </c>
      <c r="C3010">
        <v>28.59</v>
      </c>
      <c r="D3010">
        <v>30.83</v>
      </c>
      <c r="E3010" t="s">
        <v>17</v>
      </c>
      <c r="F3010">
        <v>26.69</v>
      </c>
      <c r="G3010">
        <v>23.87</v>
      </c>
      <c r="H3010" t="s">
        <v>17</v>
      </c>
      <c r="I3010" t="str">
        <f>"062513010333"</f>
        <v>062513010333</v>
      </c>
    </row>
    <row r="3011" spans="1:9" x14ac:dyDescent="0.25">
      <c r="A3011" t="s">
        <v>2713</v>
      </c>
      <c r="B3011" t="s">
        <v>13</v>
      </c>
      <c r="C3011">
        <v>23</v>
      </c>
      <c r="D3011">
        <v>16</v>
      </c>
      <c r="E3011" t="s">
        <v>17</v>
      </c>
      <c r="F3011">
        <v>16.649999999999999</v>
      </c>
      <c r="G3011">
        <v>18.75</v>
      </c>
      <c r="H3011" t="s">
        <v>17</v>
      </c>
      <c r="I3011" t="str">
        <f>"060133412395"</f>
        <v>060133412395</v>
      </c>
    </row>
    <row r="3012" spans="1:9" x14ac:dyDescent="0.25">
      <c r="A3012" t="s">
        <v>2714</v>
      </c>
      <c r="B3012" t="s">
        <v>13</v>
      </c>
      <c r="C3012">
        <v>24.48</v>
      </c>
      <c r="D3012">
        <v>23</v>
      </c>
      <c r="E3012" t="s">
        <v>17</v>
      </c>
      <c r="F3012">
        <v>20.87</v>
      </c>
      <c r="G3012">
        <v>20.7</v>
      </c>
      <c r="H3012" t="s">
        <v>17</v>
      </c>
      <c r="I3012" t="str">
        <f>"062724007193"</f>
        <v>062724007193</v>
      </c>
    </row>
    <row r="3013" spans="1:9" x14ac:dyDescent="0.25">
      <c r="A3013" t="s">
        <v>2715</v>
      </c>
      <c r="B3013" t="s">
        <v>13</v>
      </c>
      <c r="C3013">
        <v>97.45</v>
      </c>
      <c r="D3013">
        <v>98.65</v>
      </c>
      <c r="E3013" t="s">
        <v>17</v>
      </c>
      <c r="F3013">
        <v>24.39</v>
      </c>
      <c r="G3013">
        <v>23.24</v>
      </c>
      <c r="H3013" t="s">
        <v>17</v>
      </c>
      <c r="I3013" t="str">
        <f>"063398004694"</f>
        <v>063398004694</v>
      </c>
    </row>
    <row r="3014" spans="1:9" x14ac:dyDescent="0.25">
      <c r="A3014" t="s">
        <v>2716</v>
      </c>
      <c r="B3014" t="s">
        <v>13</v>
      </c>
      <c r="C3014">
        <v>31.03</v>
      </c>
      <c r="D3014">
        <v>31.2</v>
      </c>
      <c r="E3014" t="s">
        <v>17</v>
      </c>
      <c r="F3014">
        <v>13.08</v>
      </c>
      <c r="G3014">
        <v>11.12</v>
      </c>
      <c r="H3014" t="s">
        <v>17</v>
      </c>
      <c r="I3014" t="str">
        <f>"063441007842"</f>
        <v>063441007842</v>
      </c>
    </row>
    <row r="3015" spans="1:9" x14ac:dyDescent="0.25">
      <c r="A3015" t="s">
        <v>2717</v>
      </c>
      <c r="B3015" t="s">
        <v>13</v>
      </c>
      <c r="C3015">
        <v>43</v>
      </c>
      <c r="D3015">
        <v>44</v>
      </c>
      <c r="E3015" t="s">
        <v>17</v>
      </c>
      <c r="F3015">
        <v>20.84</v>
      </c>
      <c r="G3015">
        <v>20.43</v>
      </c>
      <c r="H3015" t="s">
        <v>17</v>
      </c>
      <c r="I3015" t="str">
        <f>"062271002994"</f>
        <v>062271002994</v>
      </c>
    </row>
    <row r="3016" spans="1:9" x14ac:dyDescent="0.25">
      <c r="A3016" t="s">
        <v>2718</v>
      </c>
      <c r="B3016" t="s">
        <v>13</v>
      </c>
      <c r="C3016" t="str">
        <f>"0.50"</f>
        <v>0.50</v>
      </c>
      <c r="D3016" t="str">
        <f>"0.50"</f>
        <v>0.50</v>
      </c>
      <c r="E3016" t="s">
        <v>17</v>
      </c>
      <c r="F3016">
        <v>4</v>
      </c>
      <c r="G3016">
        <v>4</v>
      </c>
      <c r="H3016" t="s">
        <v>17</v>
      </c>
      <c r="I3016" t="str">
        <f>"061317007461"</f>
        <v>061317007461</v>
      </c>
    </row>
    <row r="3017" spans="1:9" x14ac:dyDescent="0.25">
      <c r="A3017" t="s">
        <v>2719</v>
      </c>
      <c r="B3017" t="s">
        <v>13</v>
      </c>
      <c r="C3017" t="str">
        <f>"0.50"</f>
        <v>0.50</v>
      </c>
      <c r="D3017" t="str">
        <f>"0.50"</f>
        <v>0.50</v>
      </c>
      <c r="E3017" t="s">
        <v>17</v>
      </c>
      <c r="F3017">
        <v>8</v>
      </c>
      <c r="G3017">
        <v>12</v>
      </c>
      <c r="H3017" t="s">
        <v>17</v>
      </c>
      <c r="I3017" t="str">
        <f>"061317012160"</f>
        <v>061317012160</v>
      </c>
    </row>
    <row r="3018" spans="1:9" x14ac:dyDescent="0.25">
      <c r="A3018" t="s">
        <v>2720</v>
      </c>
      <c r="B3018" t="s">
        <v>13</v>
      </c>
      <c r="C3018">
        <v>4.5</v>
      </c>
      <c r="D3018">
        <v>4.01</v>
      </c>
      <c r="E3018" t="s">
        <v>17</v>
      </c>
      <c r="F3018">
        <v>25.78</v>
      </c>
      <c r="G3018">
        <v>25.19</v>
      </c>
      <c r="H3018" t="s">
        <v>17</v>
      </c>
      <c r="I3018" t="str">
        <f>"062271002995"</f>
        <v>062271002995</v>
      </c>
    </row>
    <row r="3019" spans="1:9" x14ac:dyDescent="0.25">
      <c r="A3019" t="s">
        <v>2721</v>
      </c>
      <c r="B3019" t="s">
        <v>13</v>
      </c>
      <c r="C3019">
        <v>19.8</v>
      </c>
      <c r="D3019">
        <v>22.13</v>
      </c>
      <c r="E3019" t="s">
        <v>17</v>
      </c>
      <c r="F3019">
        <v>27.68</v>
      </c>
      <c r="G3019">
        <v>25.03</v>
      </c>
      <c r="H3019" t="s">
        <v>17</v>
      </c>
      <c r="I3019" t="str">
        <f>"064128006838"</f>
        <v>064128006838</v>
      </c>
    </row>
    <row r="3020" spans="1:9" x14ac:dyDescent="0.25">
      <c r="A3020" t="s">
        <v>2721</v>
      </c>
      <c r="B3020" t="s">
        <v>13</v>
      </c>
      <c r="C3020">
        <v>24.33</v>
      </c>
      <c r="D3020">
        <v>23</v>
      </c>
      <c r="E3020" t="s">
        <v>17</v>
      </c>
      <c r="F3020">
        <v>21.66</v>
      </c>
      <c r="G3020">
        <v>21</v>
      </c>
      <c r="H3020" t="s">
        <v>17</v>
      </c>
      <c r="I3020" t="str">
        <f>"061317001500"</f>
        <v>061317001500</v>
      </c>
    </row>
    <row r="3021" spans="1:9" x14ac:dyDescent="0.25">
      <c r="A3021" t="s">
        <v>2721</v>
      </c>
      <c r="B3021" t="s">
        <v>13</v>
      </c>
      <c r="C3021">
        <v>21.5</v>
      </c>
      <c r="D3021">
        <v>17.899999999999999</v>
      </c>
      <c r="E3021" t="s">
        <v>17</v>
      </c>
      <c r="F3021">
        <v>23.3</v>
      </c>
      <c r="G3021">
        <v>21.28</v>
      </c>
      <c r="H3021" t="s">
        <v>17</v>
      </c>
      <c r="I3021" t="str">
        <f>"064338007024"</f>
        <v>064338007024</v>
      </c>
    </row>
    <row r="3022" spans="1:9" x14ac:dyDescent="0.25">
      <c r="A3022" t="s">
        <v>2721</v>
      </c>
      <c r="B3022" t="s">
        <v>13</v>
      </c>
      <c r="C3022">
        <v>31.3</v>
      </c>
      <c r="D3022">
        <v>26.78</v>
      </c>
      <c r="E3022" t="s">
        <v>17</v>
      </c>
      <c r="F3022">
        <v>18.72</v>
      </c>
      <c r="G3022">
        <v>22.11</v>
      </c>
      <c r="H3022" t="s">
        <v>17</v>
      </c>
      <c r="I3022" t="str">
        <f>"060363007098"</f>
        <v>060363007098</v>
      </c>
    </row>
    <row r="3023" spans="1:9" x14ac:dyDescent="0.25">
      <c r="A3023" t="s">
        <v>2721</v>
      </c>
      <c r="B3023" t="s">
        <v>13</v>
      </c>
      <c r="C3023">
        <v>25.5</v>
      </c>
      <c r="D3023">
        <v>28.05</v>
      </c>
      <c r="E3023" t="s">
        <v>17</v>
      </c>
      <c r="F3023">
        <v>18.940000000000001</v>
      </c>
      <c r="G3023">
        <v>17.829999999999998</v>
      </c>
      <c r="H3023" t="s">
        <v>17</v>
      </c>
      <c r="I3023" t="str">
        <f>"061185001313"</f>
        <v>061185001313</v>
      </c>
    </row>
    <row r="3024" spans="1:9" x14ac:dyDescent="0.25">
      <c r="A3024" t="s">
        <v>2721</v>
      </c>
      <c r="B3024" t="s">
        <v>13</v>
      </c>
      <c r="C3024">
        <v>29</v>
      </c>
      <c r="D3024">
        <v>29.65</v>
      </c>
      <c r="E3024" t="s">
        <v>17</v>
      </c>
      <c r="F3024">
        <v>25.34</v>
      </c>
      <c r="G3024">
        <v>25.06</v>
      </c>
      <c r="H3024" t="s">
        <v>17</v>
      </c>
      <c r="I3024" t="str">
        <f>"061314001492"</f>
        <v>061314001492</v>
      </c>
    </row>
    <row r="3025" spans="1:9" x14ac:dyDescent="0.25">
      <c r="A3025" t="s">
        <v>2721</v>
      </c>
      <c r="B3025" t="s">
        <v>13</v>
      </c>
      <c r="C3025">
        <v>25</v>
      </c>
      <c r="D3025">
        <v>22</v>
      </c>
      <c r="E3025" t="s">
        <v>17</v>
      </c>
      <c r="F3025">
        <v>25.6</v>
      </c>
      <c r="G3025">
        <v>29.59</v>
      </c>
      <c r="H3025" t="s">
        <v>17</v>
      </c>
      <c r="I3025" t="str">
        <f>"060994001077"</f>
        <v>060994001077</v>
      </c>
    </row>
    <row r="3026" spans="1:9" x14ac:dyDescent="0.25">
      <c r="A3026" t="s">
        <v>2721</v>
      </c>
      <c r="B3026" t="s">
        <v>13</v>
      </c>
      <c r="C3026">
        <v>1</v>
      </c>
      <c r="D3026">
        <v>1</v>
      </c>
      <c r="E3026" t="s">
        <v>17</v>
      </c>
      <c r="F3026">
        <v>7</v>
      </c>
      <c r="G3026">
        <v>6</v>
      </c>
      <c r="H3026" t="s">
        <v>17</v>
      </c>
      <c r="I3026" t="str">
        <f>"064158012499"</f>
        <v>064158012499</v>
      </c>
    </row>
    <row r="3027" spans="1:9" x14ac:dyDescent="0.25">
      <c r="A3027" t="s">
        <v>2722</v>
      </c>
      <c r="B3027" t="s">
        <v>13</v>
      </c>
      <c r="C3027">
        <v>1.5</v>
      </c>
      <c r="D3027">
        <v>2.2400000000000002</v>
      </c>
      <c r="E3027" t="s">
        <v>17</v>
      </c>
      <c r="F3027">
        <v>26</v>
      </c>
      <c r="G3027">
        <v>18.3</v>
      </c>
      <c r="H3027" t="s">
        <v>17</v>
      </c>
      <c r="I3027" t="str">
        <f>"060016010254"</f>
        <v>060016010254</v>
      </c>
    </row>
    <row r="3028" spans="1:9" x14ac:dyDescent="0.25">
      <c r="A3028" t="s">
        <v>2723</v>
      </c>
      <c r="B3028" t="s">
        <v>13</v>
      </c>
      <c r="C3028">
        <v>19.84</v>
      </c>
      <c r="D3028">
        <v>21.5</v>
      </c>
      <c r="E3028" t="s">
        <v>17</v>
      </c>
      <c r="F3028">
        <v>21.57</v>
      </c>
      <c r="G3028">
        <v>21.16</v>
      </c>
      <c r="H3028" t="s">
        <v>17</v>
      </c>
      <c r="I3028" t="str">
        <f>"061317004183"</f>
        <v>061317004183</v>
      </c>
    </row>
    <row r="3029" spans="1:9" x14ac:dyDescent="0.25">
      <c r="A3029" t="s">
        <v>2723</v>
      </c>
      <c r="B3029" t="s">
        <v>13</v>
      </c>
      <c r="C3029">
        <v>2.4500000000000002</v>
      </c>
      <c r="D3029">
        <v>3.08</v>
      </c>
      <c r="E3029" t="s">
        <v>17</v>
      </c>
      <c r="F3029">
        <v>4.9000000000000004</v>
      </c>
      <c r="G3029">
        <v>4.55</v>
      </c>
      <c r="H3029" t="s">
        <v>17</v>
      </c>
      <c r="I3029" t="str">
        <f>"064158012545"</f>
        <v>064158012545</v>
      </c>
    </row>
    <row r="3030" spans="1:9" x14ac:dyDescent="0.25">
      <c r="A3030" t="s">
        <v>2724</v>
      </c>
      <c r="B3030" t="s">
        <v>13</v>
      </c>
      <c r="C3030">
        <v>100.83</v>
      </c>
      <c r="D3030">
        <v>99.94</v>
      </c>
      <c r="E3030" t="s">
        <v>17</v>
      </c>
      <c r="F3030">
        <v>26.71</v>
      </c>
      <c r="G3030">
        <v>26.31</v>
      </c>
      <c r="H3030" t="s">
        <v>17</v>
      </c>
      <c r="I3030" t="str">
        <f>"061182010665"</f>
        <v>061182010665</v>
      </c>
    </row>
    <row r="3031" spans="1:9" x14ac:dyDescent="0.25">
      <c r="A3031" t="s">
        <v>2725</v>
      </c>
      <c r="B3031" t="s">
        <v>13</v>
      </c>
      <c r="C3031">
        <v>29</v>
      </c>
      <c r="D3031">
        <v>28</v>
      </c>
      <c r="E3031" t="s">
        <v>17</v>
      </c>
      <c r="F3031">
        <v>23.55</v>
      </c>
      <c r="G3031">
        <v>25.68</v>
      </c>
      <c r="H3031" t="s">
        <v>17</v>
      </c>
      <c r="I3031" t="str">
        <f>"061455001725"</f>
        <v>061455001725</v>
      </c>
    </row>
    <row r="3032" spans="1:9" x14ac:dyDescent="0.25">
      <c r="A3032" t="s">
        <v>2726</v>
      </c>
      <c r="B3032" t="s">
        <v>13</v>
      </c>
      <c r="C3032">
        <v>7</v>
      </c>
      <c r="D3032">
        <v>6.25</v>
      </c>
      <c r="E3032" t="s">
        <v>17</v>
      </c>
      <c r="F3032">
        <v>21.29</v>
      </c>
      <c r="G3032">
        <v>27.36</v>
      </c>
      <c r="H3032" t="s">
        <v>17</v>
      </c>
      <c r="I3032" t="str">
        <f>"069103111968"</f>
        <v>069103111968</v>
      </c>
    </row>
    <row r="3033" spans="1:9" x14ac:dyDescent="0.25">
      <c r="A3033" t="s">
        <v>2727</v>
      </c>
      <c r="B3033" t="s">
        <v>13</v>
      </c>
      <c r="C3033">
        <v>1</v>
      </c>
      <c r="D3033">
        <v>1</v>
      </c>
      <c r="E3033" t="s">
        <v>17</v>
      </c>
      <c r="F3033">
        <v>13</v>
      </c>
      <c r="G3033">
        <v>8</v>
      </c>
      <c r="H3033" t="s">
        <v>17</v>
      </c>
      <c r="I3033" t="str">
        <f>"060004707366"</f>
        <v>060004707366</v>
      </c>
    </row>
    <row r="3034" spans="1:9" x14ac:dyDescent="0.25">
      <c r="A3034" t="s">
        <v>2728</v>
      </c>
      <c r="B3034" t="s">
        <v>13</v>
      </c>
      <c r="C3034">
        <v>5</v>
      </c>
      <c r="D3034" t="str">
        <f>"0.50"</f>
        <v>0.50</v>
      </c>
      <c r="E3034" t="s">
        <v>17</v>
      </c>
      <c r="F3034">
        <v>20.6</v>
      </c>
      <c r="G3034">
        <v>118</v>
      </c>
      <c r="H3034" t="s">
        <v>17</v>
      </c>
      <c r="I3034" t="str">
        <f>"063417012557"</f>
        <v>063417012557</v>
      </c>
    </row>
    <row r="3035" spans="1:9" x14ac:dyDescent="0.25">
      <c r="A3035" t="s">
        <v>2729</v>
      </c>
      <c r="B3035" t="s">
        <v>13</v>
      </c>
      <c r="C3035">
        <v>18</v>
      </c>
      <c r="D3035" t="s">
        <v>14</v>
      </c>
      <c r="E3035" t="s">
        <v>14</v>
      </c>
      <c r="F3035" t="s">
        <v>14</v>
      </c>
      <c r="G3035" t="s">
        <v>14</v>
      </c>
      <c r="H3035" t="s">
        <v>14</v>
      </c>
      <c r="I3035" t="str">
        <f>"062778013024"</f>
        <v>062778013024</v>
      </c>
    </row>
    <row r="3036" spans="1:9" x14ac:dyDescent="0.25">
      <c r="A3036" t="s">
        <v>2730</v>
      </c>
      <c r="B3036" t="s">
        <v>13</v>
      </c>
      <c r="C3036">
        <v>50.83</v>
      </c>
      <c r="D3036">
        <v>50.08</v>
      </c>
      <c r="E3036" t="s">
        <v>17</v>
      </c>
      <c r="F3036">
        <v>28.92</v>
      </c>
      <c r="G3036">
        <v>25.9</v>
      </c>
      <c r="H3036" t="s">
        <v>17</v>
      </c>
      <c r="I3036" t="str">
        <f>"063697205058"</f>
        <v>063697205058</v>
      </c>
    </row>
    <row r="3037" spans="1:9" x14ac:dyDescent="0.25">
      <c r="A3037" t="s">
        <v>2731</v>
      </c>
      <c r="B3037" t="s">
        <v>13</v>
      </c>
      <c r="C3037">
        <v>24.68</v>
      </c>
      <c r="D3037">
        <v>23.74</v>
      </c>
      <c r="E3037" t="s">
        <v>17</v>
      </c>
      <c r="F3037">
        <v>24.03</v>
      </c>
      <c r="G3037">
        <v>22.33</v>
      </c>
      <c r="H3037" t="s">
        <v>17</v>
      </c>
      <c r="I3037" t="str">
        <f>"061308008254"</f>
        <v>061308008254</v>
      </c>
    </row>
    <row r="3038" spans="1:9" x14ac:dyDescent="0.25">
      <c r="A3038" t="s">
        <v>2731</v>
      </c>
      <c r="B3038" t="s">
        <v>13</v>
      </c>
      <c r="C3038">
        <v>20</v>
      </c>
      <c r="D3038">
        <v>20</v>
      </c>
      <c r="E3038" t="s">
        <v>17</v>
      </c>
      <c r="F3038">
        <v>26.05</v>
      </c>
      <c r="G3038">
        <v>25.25</v>
      </c>
      <c r="H3038" t="s">
        <v>17</v>
      </c>
      <c r="I3038" t="str">
        <f>"061488001841"</f>
        <v>061488001841</v>
      </c>
    </row>
    <row r="3039" spans="1:9" x14ac:dyDescent="0.25">
      <c r="A3039" t="s">
        <v>2732</v>
      </c>
      <c r="B3039" t="s">
        <v>13</v>
      </c>
      <c r="C3039">
        <v>24.89</v>
      </c>
      <c r="D3039">
        <v>22.9</v>
      </c>
      <c r="E3039" t="s">
        <v>17</v>
      </c>
      <c r="F3039">
        <v>25.15</v>
      </c>
      <c r="G3039">
        <v>26.46</v>
      </c>
      <c r="H3039" t="s">
        <v>17</v>
      </c>
      <c r="I3039" t="str">
        <f>"060675000595"</f>
        <v>060675000595</v>
      </c>
    </row>
    <row r="3040" spans="1:9" x14ac:dyDescent="0.25">
      <c r="A3040" t="s">
        <v>2733</v>
      </c>
      <c r="B3040" t="s">
        <v>13</v>
      </c>
      <c r="C3040" t="s">
        <v>17</v>
      </c>
      <c r="D3040" t="s">
        <v>14</v>
      </c>
      <c r="E3040" t="s">
        <v>14</v>
      </c>
      <c r="F3040" t="s">
        <v>17</v>
      </c>
      <c r="G3040" t="s">
        <v>14</v>
      </c>
      <c r="H3040" t="s">
        <v>14</v>
      </c>
      <c r="I3040" t="str">
        <f>"062271013527"</f>
        <v>062271013527</v>
      </c>
    </row>
    <row r="3041" spans="1:9" x14ac:dyDescent="0.25">
      <c r="A3041" t="s">
        <v>2734</v>
      </c>
      <c r="B3041" t="s">
        <v>13</v>
      </c>
      <c r="C3041" t="s">
        <v>17</v>
      </c>
      <c r="D3041" t="s">
        <v>17</v>
      </c>
      <c r="E3041" t="s">
        <v>17</v>
      </c>
      <c r="F3041" t="s">
        <v>17</v>
      </c>
      <c r="G3041" t="s">
        <v>17</v>
      </c>
      <c r="H3041" t="s">
        <v>17</v>
      </c>
      <c r="I3041" t="str">
        <f>"061323008662"</f>
        <v>061323008662</v>
      </c>
    </row>
    <row r="3042" spans="1:9" x14ac:dyDescent="0.25">
      <c r="A3042" t="s">
        <v>2735</v>
      </c>
      <c r="B3042" t="s">
        <v>13</v>
      </c>
      <c r="C3042" t="s">
        <v>17</v>
      </c>
      <c r="D3042" t="s">
        <v>17</v>
      </c>
      <c r="E3042" t="s">
        <v>17</v>
      </c>
      <c r="F3042" t="s">
        <v>17</v>
      </c>
      <c r="G3042" t="s">
        <v>17</v>
      </c>
      <c r="H3042" t="s">
        <v>17</v>
      </c>
      <c r="I3042" t="str">
        <f>"061323001504"</f>
        <v>061323001504</v>
      </c>
    </row>
    <row r="3043" spans="1:9" x14ac:dyDescent="0.25">
      <c r="A3043" t="s">
        <v>2736</v>
      </c>
      <c r="B3043" t="s">
        <v>13</v>
      </c>
      <c r="C3043" t="s">
        <v>17</v>
      </c>
      <c r="D3043" t="s">
        <v>17</v>
      </c>
      <c r="E3043" t="s">
        <v>17</v>
      </c>
      <c r="F3043" t="s">
        <v>17</v>
      </c>
      <c r="G3043" t="s">
        <v>17</v>
      </c>
      <c r="H3043" t="s">
        <v>17</v>
      </c>
      <c r="I3043" t="str">
        <f>"061323007466"</f>
        <v>061323007466</v>
      </c>
    </row>
    <row r="3044" spans="1:9" x14ac:dyDescent="0.25">
      <c r="A3044" t="s">
        <v>2737</v>
      </c>
      <c r="B3044" t="s">
        <v>13</v>
      </c>
      <c r="C3044" t="s">
        <v>17</v>
      </c>
      <c r="D3044" t="s">
        <v>17</v>
      </c>
      <c r="E3044" t="s">
        <v>17</v>
      </c>
      <c r="F3044" t="s">
        <v>17</v>
      </c>
      <c r="G3044" t="s">
        <v>17</v>
      </c>
      <c r="H3044" t="s">
        <v>17</v>
      </c>
      <c r="I3044" t="str">
        <f>"061320011527"</f>
        <v>061320011527</v>
      </c>
    </row>
    <row r="3045" spans="1:9" x14ac:dyDescent="0.25">
      <c r="A3045" t="s">
        <v>2738</v>
      </c>
      <c r="B3045" t="s">
        <v>13</v>
      </c>
      <c r="C3045">
        <v>13.2</v>
      </c>
      <c r="D3045">
        <v>13.2</v>
      </c>
      <c r="E3045" t="s">
        <v>17</v>
      </c>
      <c r="F3045">
        <v>27.42</v>
      </c>
      <c r="G3045">
        <v>25.76</v>
      </c>
      <c r="H3045" t="s">
        <v>17</v>
      </c>
      <c r="I3045" t="str">
        <f>"063432008602"</f>
        <v>063432008602</v>
      </c>
    </row>
    <row r="3046" spans="1:9" x14ac:dyDescent="0.25">
      <c r="A3046" t="s">
        <v>2739</v>
      </c>
      <c r="B3046" t="s">
        <v>13</v>
      </c>
      <c r="C3046">
        <v>14.5</v>
      </c>
      <c r="D3046">
        <v>11</v>
      </c>
      <c r="E3046" t="s">
        <v>14</v>
      </c>
      <c r="F3046">
        <v>22.83</v>
      </c>
      <c r="G3046">
        <v>21</v>
      </c>
      <c r="H3046" t="s">
        <v>14</v>
      </c>
      <c r="I3046" t="str">
        <f>"062271012982"</f>
        <v>062271012982</v>
      </c>
    </row>
    <row r="3047" spans="1:9" x14ac:dyDescent="0.25">
      <c r="A3047" t="s">
        <v>2740</v>
      </c>
      <c r="B3047" t="s">
        <v>13</v>
      </c>
      <c r="C3047" t="s">
        <v>17</v>
      </c>
      <c r="D3047" t="s">
        <v>14</v>
      </c>
      <c r="E3047" t="s">
        <v>14</v>
      </c>
      <c r="F3047" t="s">
        <v>17</v>
      </c>
      <c r="G3047" t="s">
        <v>14</v>
      </c>
      <c r="H3047" t="s">
        <v>14</v>
      </c>
      <c r="I3047" t="str">
        <f>"062271013316"</f>
        <v>062271013316</v>
      </c>
    </row>
    <row r="3048" spans="1:9" x14ac:dyDescent="0.25">
      <c r="A3048" t="s">
        <v>2741</v>
      </c>
      <c r="B3048" t="s">
        <v>13</v>
      </c>
      <c r="C3048">
        <v>27</v>
      </c>
      <c r="D3048">
        <v>25.5</v>
      </c>
      <c r="E3048" t="s">
        <v>17</v>
      </c>
      <c r="F3048">
        <v>25.19</v>
      </c>
      <c r="G3048">
        <v>26.59</v>
      </c>
      <c r="H3048" t="s">
        <v>17</v>
      </c>
      <c r="I3048" t="str">
        <f>"061455010209"</f>
        <v>061455010209</v>
      </c>
    </row>
    <row r="3049" spans="1:9" x14ac:dyDescent="0.25">
      <c r="A3049" t="s">
        <v>2742</v>
      </c>
      <c r="B3049" t="s">
        <v>13</v>
      </c>
      <c r="C3049">
        <v>15</v>
      </c>
      <c r="D3049">
        <v>14</v>
      </c>
      <c r="E3049" t="s">
        <v>17</v>
      </c>
      <c r="F3049">
        <v>25.67</v>
      </c>
      <c r="G3049">
        <v>26.43</v>
      </c>
      <c r="H3049" t="s">
        <v>17</v>
      </c>
      <c r="I3049" t="str">
        <f>"062334010951"</f>
        <v>062334010951</v>
      </c>
    </row>
    <row r="3050" spans="1:9" x14ac:dyDescent="0.25">
      <c r="A3050" t="s">
        <v>2743</v>
      </c>
      <c r="B3050" t="s">
        <v>13</v>
      </c>
      <c r="C3050">
        <v>16</v>
      </c>
      <c r="D3050">
        <v>16</v>
      </c>
      <c r="E3050" t="s">
        <v>17</v>
      </c>
      <c r="F3050">
        <v>25.63</v>
      </c>
      <c r="G3050">
        <v>23.19</v>
      </c>
      <c r="H3050" t="s">
        <v>17</v>
      </c>
      <c r="I3050" t="str">
        <f>"062121002541"</f>
        <v>062121002541</v>
      </c>
    </row>
    <row r="3051" spans="1:9" x14ac:dyDescent="0.25">
      <c r="A3051" t="s">
        <v>2744</v>
      </c>
      <c r="B3051" t="s">
        <v>13</v>
      </c>
      <c r="C3051">
        <v>41.5</v>
      </c>
      <c r="D3051">
        <v>48</v>
      </c>
      <c r="E3051" t="s">
        <v>17</v>
      </c>
      <c r="F3051">
        <v>24.34</v>
      </c>
      <c r="G3051">
        <v>25.1</v>
      </c>
      <c r="H3051" t="s">
        <v>17</v>
      </c>
      <c r="I3051" t="str">
        <f>"062271002996"</f>
        <v>062271002996</v>
      </c>
    </row>
    <row r="3052" spans="1:9" x14ac:dyDescent="0.25">
      <c r="A3052" t="s">
        <v>2745</v>
      </c>
      <c r="B3052" t="s">
        <v>13</v>
      </c>
      <c r="C3052">
        <v>36.549999999999997</v>
      </c>
      <c r="D3052">
        <v>36.25</v>
      </c>
      <c r="E3052" t="s">
        <v>17</v>
      </c>
      <c r="F3052">
        <v>22.63</v>
      </c>
      <c r="G3052">
        <v>22.9</v>
      </c>
      <c r="H3052" t="s">
        <v>17</v>
      </c>
      <c r="I3052" t="str">
        <f>"060006204234"</f>
        <v>060006204234</v>
      </c>
    </row>
    <row r="3053" spans="1:9" x14ac:dyDescent="0.25">
      <c r="A3053" t="s">
        <v>2745</v>
      </c>
      <c r="B3053" t="s">
        <v>13</v>
      </c>
      <c r="C3053">
        <v>19.3</v>
      </c>
      <c r="D3053">
        <v>21.9</v>
      </c>
      <c r="E3053" t="s">
        <v>17</v>
      </c>
      <c r="F3053">
        <v>20.98</v>
      </c>
      <c r="G3053">
        <v>19.36</v>
      </c>
      <c r="H3053" t="s">
        <v>17</v>
      </c>
      <c r="I3053" t="str">
        <f>"063213004964"</f>
        <v>063213004964</v>
      </c>
    </row>
    <row r="3054" spans="1:9" x14ac:dyDescent="0.25">
      <c r="A3054" t="s">
        <v>2745</v>
      </c>
      <c r="B3054" t="s">
        <v>13</v>
      </c>
      <c r="C3054">
        <v>16.399999999999999</v>
      </c>
      <c r="D3054">
        <v>18.75</v>
      </c>
      <c r="E3054" t="s">
        <v>17</v>
      </c>
      <c r="F3054">
        <v>23.9</v>
      </c>
      <c r="G3054">
        <v>21.76</v>
      </c>
      <c r="H3054" t="s">
        <v>17</v>
      </c>
      <c r="I3054" t="str">
        <f>"062637003946"</f>
        <v>062637003946</v>
      </c>
    </row>
    <row r="3055" spans="1:9" x14ac:dyDescent="0.25">
      <c r="A3055" t="s">
        <v>2746</v>
      </c>
      <c r="B3055" t="s">
        <v>13</v>
      </c>
      <c r="C3055">
        <v>37.1</v>
      </c>
      <c r="D3055">
        <v>36</v>
      </c>
      <c r="E3055" t="s">
        <v>17</v>
      </c>
      <c r="F3055">
        <v>25.26</v>
      </c>
      <c r="G3055">
        <v>26.53</v>
      </c>
      <c r="H3055" t="s">
        <v>17</v>
      </c>
      <c r="I3055" t="str">
        <f>"063822010536"</f>
        <v>063822010536</v>
      </c>
    </row>
    <row r="3056" spans="1:9" x14ac:dyDescent="0.25">
      <c r="A3056" t="s">
        <v>2747</v>
      </c>
      <c r="B3056" t="s">
        <v>13</v>
      </c>
      <c r="C3056">
        <v>12.66</v>
      </c>
      <c r="D3056">
        <v>12.86</v>
      </c>
      <c r="E3056" t="s">
        <v>17</v>
      </c>
      <c r="F3056">
        <v>18.010000000000002</v>
      </c>
      <c r="G3056">
        <v>16.87</v>
      </c>
      <c r="H3056" t="s">
        <v>17</v>
      </c>
      <c r="I3056" t="str">
        <f>"060837000818"</f>
        <v>060837000818</v>
      </c>
    </row>
    <row r="3057" spans="1:9" x14ac:dyDescent="0.25">
      <c r="A3057" t="s">
        <v>2748</v>
      </c>
      <c r="B3057" t="s">
        <v>13</v>
      </c>
      <c r="C3057">
        <v>21.9</v>
      </c>
      <c r="D3057">
        <v>21.4</v>
      </c>
      <c r="E3057" t="s">
        <v>17</v>
      </c>
      <c r="F3057">
        <v>19.22</v>
      </c>
      <c r="G3057">
        <v>18.79</v>
      </c>
      <c r="H3057" t="s">
        <v>17</v>
      </c>
      <c r="I3057" t="str">
        <f>"060133201202"</f>
        <v>060133201202</v>
      </c>
    </row>
    <row r="3058" spans="1:9" x14ac:dyDescent="0.25">
      <c r="A3058" t="s">
        <v>2749</v>
      </c>
      <c r="B3058" t="s">
        <v>13</v>
      </c>
      <c r="C3058">
        <v>17.5</v>
      </c>
      <c r="D3058">
        <v>18</v>
      </c>
      <c r="E3058" t="s">
        <v>17</v>
      </c>
      <c r="F3058">
        <v>24.69</v>
      </c>
      <c r="G3058">
        <v>25.5</v>
      </c>
      <c r="H3058" t="s">
        <v>17</v>
      </c>
      <c r="I3058" t="str">
        <f>"062271002997"</f>
        <v>062271002997</v>
      </c>
    </row>
    <row r="3059" spans="1:9" x14ac:dyDescent="0.25">
      <c r="A3059" t="s">
        <v>2750</v>
      </c>
      <c r="B3059" t="s">
        <v>13</v>
      </c>
      <c r="C3059">
        <v>11</v>
      </c>
      <c r="D3059">
        <v>13</v>
      </c>
      <c r="E3059" t="s">
        <v>17</v>
      </c>
      <c r="F3059">
        <v>32.909999999999997</v>
      </c>
      <c r="G3059">
        <v>27.23</v>
      </c>
      <c r="H3059" t="s">
        <v>17</v>
      </c>
      <c r="I3059" t="str">
        <f>"063417007277"</f>
        <v>063417007277</v>
      </c>
    </row>
    <row r="3060" spans="1:9" x14ac:dyDescent="0.25">
      <c r="A3060" t="s">
        <v>2751</v>
      </c>
      <c r="B3060" t="s">
        <v>13</v>
      </c>
      <c r="C3060">
        <v>36.86</v>
      </c>
      <c r="D3060">
        <v>36</v>
      </c>
      <c r="E3060" t="s">
        <v>17</v>
      </c>
      <c r="F3060">
        <v>21.46</v>
      </c>
      <c r="G3060">
        <v>21.28</v>
      </c>
      <c r="H3060" t="s">
        <v>17</v>
      </c>
      <c r="I3060" t="str">
        <f>"061329011599"</f>
        <v>061329011599</v>
      </c>
    </row>
    <row r="3061" spans="1:9" x14ac:dyDescent="0.25">
      <c r="A3061" t="s">
        <v>2752</v>
      </c>
      <c r="B3061" t="s">
        <v>13</v>
      </c>
      <c r="C3061">
        <v>90.5</v>
      </c>
      <c r="D3061">
        <v>93.87</v>
      </c>
      <c r="E3061" t="s">
        <v>17</v>
      </c>
      <c r="F3061">
        <v>25.78</v>
      </c>
      <c r="G3061">
        <v>25.64</v>
      </c>
      <c r="H3061" t="s">
        <v>17</v>
      </c>
      <c r="I3061" t="str">
        <f>"062271002998"</f>
        <v>062271002998</v>
      </c>
    </row>
    <row r="3062" spans="1:9" x14ac:dyDescent="0.25">
      <c r="A3062" t="s">
        <v>2753</v>
      </c>
      <c r="B3062" t="s">
        <v>13</v>
      </c>
      <c r="C3062">
        <v>2</v>
      </c>
      <c r="D3062">
        <v>2</v>
      </c>
      <c r="E3062" t="s">
        <v>17</v>
      </c>
      <c r="F3062">
        <v>25.5</v>
      </c>
      <c r="G3062">
        <v>26.5</v>
      </c>
      <c r="H3062" t="s">
        <v>17</v>
      </c>
      <c r="I3062" t="str">
        <f>"061062005547"</f>
        <v>061062005547</v>
      </c>
    </row>
    <row r="3063" spans="1:9" x14ac:dyDescent="0.25">
      <c r="A3063" t="s">
        <v>2754</v>
      </c>
      <c r="B3063" t="s">
        <v>13</v>
      </c>
      <c r="C3063">
        <v>62.13</v>
      </c>
      <c r="D3063">
        <v>66.05</v>
      </c>
      <c r="E3063" t="s">
        <v>17</v>
      </c>
      <c r="F3063">
        <v>21.39</v>
      </c>
      <c r="G3063">
        <v>22.74</v>
      </c>
      <c r="H3063" t="s">
        <v>17</v>
      </c>
      <c r="I3063" t="str">
        <f>"061336001516"</f>
        <v>061336001516</v>
      </c>
    </row>
    <row r="3064" spans="1:9" x14ac:dyDescent="0.25">
      <c r="A3064" t="s">
        <v>2755</v>
      </c>
      <c r="B3064" t="s">
        <v>13</v>
      </c>
      <c r="C3064">
        <v>1</v>
      </c>
      <c r="D3064">
        <v>1</v>
      </c>
      <c r="E3064" t="s">
        <v>17</v>
      </c>
      <c r="F3064">
        <v>7</v>
      </c>
      <c r="G3064">
        <v>9</v>
      </c>
      <c r="H3064" t="s">
        <v>17</v>
      </c>
      <c r="I3064" t="str">
        <f>"061336011867"</f>
        <v>061336011867</v>
      </c>
    </row>
    <row r="3065" spans="1:9" x14ac:dyDescent="0.25">
      <c r="A3065" t="s">
        <v>2756</v>
      </c>
      <c r="B3065" t="s">
        <v>13</v>
      </c>
      <c r="C3065">
        <v>39</v>
      </c>
      <c r="D3065">
        <v>38.6</v>
      </c>
      <c r="E3065" t="s">
        <v>17</v>
      </c>
      <c r="F3065">
        <v>23.9</v>
      </c>
      <c r="G3065">
        <v>24.02</v>
      </c>
      <c r="H3065" t="s">
        <v>17</v>
      </c>
      <c r="I3065" t="str">
        <f>"061632507159"</f>
        <v>061632507159</v>
      </c>
    </row>
    <row r="3066" spans="1:9" x14ac:dyDescent="0.25">
      <c r="A3066" t="s">
        <v>2757</v>
      </c>
      <c r="B3066" t="s">
        <v>13</v>
      </c>
      <c r="C3066">
        <v>18.100000000000001</v>
      </c>
      <c r="D3066">
        <v>17.5</v>
      </c>
      <c r="E3066" t="s">
        <v>17</v>
      </c>
      <c r="F3066">
        <v>26.24</v>
      </c>
      <c r="G3066">
        <v>26.34</v>
      </c>
      <c r="H3066" t="s">
        <v>17</v>
      </c>
      <c r="I3066" t="str">
        <f>"062308003525"</f>
        <v>062308003525</v>
      </c>
    </row>
    <row r="3067" spans="1:9" x14ac:dyDescent="0.25">
      <c r="A3067" t="s">
        <v>2758</v>
      </c>
      <c r="B3067" t="s">
        <v>13</v>
      </c>
      <c r="C3067">
        <v>28.52</v>
      </c>
      <c r="D3067">
        <v>27</v>
      </c>
      <c r="E3067" t="s">
        <v>17</v>
      </c>
      <c r="F3067">
        <v>19.39</v>
      </c>
      <c r="G3067">
        <v>19.190000000000001</v>
      </c>
      <c r="H3067" t="s">
        <v>17</v>
      </c>
      <c r="I3067" t="str">
        <f>"062865004428"</f>
        <v>062865004428</v>
      </c>
    </row>
    <row r="3068" spans="1:9" x14ac:dyDescent="0.25">
      <c r="A3068" t="s">
        <v>2759</v>
      </c>
      <c r="B3068" t="s">
        <v>13</v>
      </c>
      <c r="C3068">
        <v>28.5</v>
      </c>
      <c r="D3068">
        <v>31.59</v>
      </c>
      <c r="E3068" t="s">
        <v>17</v>
      </c>
      <c r="F3068">
        <v>26.7</v>
      </c>
      <c r="G3068">
        <v>23.27</v>
      </c>
      <c r="H3068" t="s">
        <v>17</v>
      </c>
      <c r="I3068" t="str">
        <f>"060002009286"</f>
        <v>060002009286</v>
      </c>
    </row>
    <row r="3069" spans="1:9" x14ac:dyDescent="0.25">
      <c r="A3069" t="s">
        <v>2760</v>
      </c>
      <c r="B3069" t="s">
        <v>13</v>
      </c>
      <c r="C3069">
        <v>25.77</v>
      </c>
      <c r="D3069">
        <v>24.77</v>
      </c>
      <c r="E3069" t="s">
        <v>17</v>
      </c>
      <c r="F3069">
        <v>28.21</v>
      </c>
      <c r="G3069">
        <v>27.86</v>
      </c>
      <c r="H3069" t="s">
        <v>17</v>
      </c>
      <c r="I3069" t="str">
        <f>"060558009316"</f>
        <v>060558009316</v>
      </c>
    </row>
    <row r="3070" spans="1:9" x14ac:dyDescent="0.25">
      <c r="A3070" t="s">
        <v>2761</v>
      </c>
      <c r="B3070" t="s">
        <v>13</v>
      </c>
      <c r="C3070">
        <v>18.010000000000002</v>
      </c>
      <c r="D3070">
        <v>17.399999999999999</v>
      </c>
      <c r="E3070" t="s">
        <v>17</v>
      </c>
      <c r="F3070">
        <v>26.54</v>
      </c>
      <c r="G3070">
        <v>24.94</v>
      </c>
      <c r="H3070" t="s">
        <v>17</v>
      </c>
      <c r="I3070" t="str">
        <f>"060852000848"</f>
        <v>060852000848</v>
      </c>
    </row>
    <row r="3071" spans="1:9" x14ac:dyDescent="0.25">
      <c r="A3071" t="s">
        <v>2762</v>
      </c>
      <c r="B3071" t="s">
        <v>13</v>
      </c>
      <c r="C3071">
        <v>24.16</v>
      </c>
      <c r="D3071">
        <v>24.77</v>
      </c>
      <c r="E3071" t="s">
        <v>17</v>
      </c>
      <c r="F3071">
        <v>21.73</v>
      </c>
      <c r="G3071">
        <v>20.350000000000001</v>
      </c>
      <c r="H3071" t="s">
        <v>17</v>
      </c>
      <c r="I3071" t="str">
        <f>"062961004585"</f>
        <v>062961004585</v>
      </c>
    </row>
    <row r="3072" spans="1:9" x14ac:dyDescent="0.25">
      <c r="A3072" t="s">
        <v>2763</v>
      </c>
      <c r="B3072" t="s">
        <v>13</v>
      </c>
      <c r="C3072">
        <v>29.89</v>
      </c>
      <c r="D3072">
        <v>27</v>
      </c>
      <c r="E3072" t="s">
        <v>17</v>
      </c>
      <c r="F3072">
        <v>20.78</v>
      </c>
      <c r="G3072">
        <v>22.56</v>
      </c>
      <c r="H3072" t="s">
        <v>17</v>
      </c>
      <c r="I3072" t="str">
        <f>"064059006701"</f>
        <v>064059006701</v>
      </c>
    </row>
    <row r="3073" spans="1:9" x14ac:dyDescent="0.25">
      <c r="A3073" t="s">
        <v>2764</v>
      </c>
      <c r="B3073" t="s">
        <v>13</v>
      </c>
      <c r="C3073">
        <v>23</v>
      </c>
      <c r="D3073">
        <v>24</v>
      </c>
      <c r="E3073" t="s">
        <v>17</v>
      </c>
      <c r="F3073">
        <v>25.65</v>
      </c>
      <c r="G3073">
        <v>23.13</v>
      </c>
      <c r="H3073" t="s">
        <v>17</v>
      </c>
      <c r="I3073" t="str">
        <f>"063255005029"</f>
        <v>063255005029</v>
      </c>
    </row>
    <row r="3074" spans="1:9" x14ac:dyDescent="0.25">
      <c r="A3074" t="s">
        <v>2764</v>
      </c>
      <c r="B3074" t="s">
        <v>13</v>
      </c>
      <c r="C3074">
        <v>32</v>
      </c>
      <c r="D3074">
        <v>32.75</v>
      </c>
      <c r="E3074" t="s">
        <v>17</v>
      </c>
      <c r="F3074">
        <v>29.25</v>
      </c>
      <c r="G3074">
        <v>30.14</v>
      </c>
      <c r="H3074" t="s">
        <v>17</v>
      </c>
      <c r="I3074" t="str">
        <f>"063066004759"</f>
        <v>063066004759</v>
      </c>
    </row>
    <row r="3075" spans="1:9" x14ac:dyDescent="0.25">
      <c r="A3075" t="s">
        <v>2764</v>
      </c>
      <c r="B3075" t="s">
        <v>13</v>
      </c>
      <c r="C3075">
        <v>23.87</v>
      </c>
      <c r="D3075">
        <v>23.37</v>
      </c>
      <c r="E3075" t="s">
        <v>17</v>
      </c>
      <c r="F3075">
        <v>19.690000000000001</v>
      </c>
      <c r="G3075">
        <v>20.41</v>
      </c>
      <c r="H3075" t="s">
        <v>17</v>
      </c>
      <c r="I3075" t="str">
        <f>"063525005970"</f>
        <v>063525005970</v>
      </c>
    </row>
    <row r="3076" spans="1:9" x14ac:dyDescent="0.25">
      <c r="A3076" t="s">
        <v>2765</v>
      </c>
      <c r="B3076" t="s">
        <v>13</v>
      </c>
      <c r="C3076">
        <v>19.03</v>
      </c>
      <c r="D3076">
        <v>19</v>
      </c>
      <c r="E3076" t="s">
        <v>17</v>
      </c>
      <c r="F3076">
        <v>20.55</v>
      </c>
      <c r="G3076">
        <v>20.37</v>
      </c>
      <c r="H3076" t="s">
        <v>17</v>
      </c>
      <c r="I3076" t="str">
        <f>"063441005607"</f>
        <v>063441005607</v>
      </c>
    </row>
    <row r="3077" spans="1:9" x14ac:dyDescent="0.25">
      <c r="A3077" t="s">
        <v>2766</v>
      </c>
      <c r="B3077" t="s">
        <v>13</v>
      </c>
      <c r="C3077">
        <v>11.18</v>
      </c>
      <c r="D3077">
        <v>13</v>
      </c>
      <c r="E3077" t="s">
        <v>17</v>
      </c>
      <c r="F3077">
        <v>18.16</v>
      </c>
      <c r="G3077">
        <v>13.08</v>
      </c>
      <c r="H3077" t="s">
        <v>17</v>
      </c>
      <c r="I3077" t="str">
        <f>"061005001090"</f>
        <v>061005001090</v>
      </c>
    </row>
    <row r="3078" spans="1:9" x14ac:dyDescent="0.25">
      <c r="A3078" t="s">
        <v>2767</v>
      </c>
      <c r="B3078" t="s">
        <v>13</v>
      </c>
      <c r="C3078">
        <v>18.75</v>
      </c>
      <c r="D3078">
        <v>18.350000000000001</v>
      </c>
      <c r="E3078" t="s">
        <v>17</v>
      </c>
      <c r="F3078">
        <v>24.32</v>
      </c>
      <c r="G3078">
        <v>25.89</v>
      </c>
      <c r="H3078" t="s">
        <v>17</v>
      </c>
      <c r="I3078" t="str">
        <f>"060004507091"</f>
        <v>060004507091</v>
      </c>
    </row>
    <row r="3079" spans="1:9" x14ac:dyDescent="0.25">
      <c r="A3079" t="s">
        <v>2767</v>
      </c>
      <c r="B3079" t="s">
        <v>13</v>
      </c>
      <c r="C3079">
        <v>18.5</v>
      </c>
      <c r="D3079">
        <v>20</v>
      </c>
      <c r="E3079" t="s">
        <v>17</v>
      </c>
      <c r="F3079">
        <v>29.03</v>
      </c>
      <c r="G3079">
        <v>27.2</v>
      </c>
      <c r="H3079" t="s">
        <v>17</v>
      </c>
      <c r="I3079" t="str">
        <f>"061605002004"</f>
        <v>061605002004</v>
      </c>
    </row>
    <row r="3080" spans="1:9" x14ac:dyDescent="0.25">
      <c r="A3080" t="s">
        <v>2767</v>
      </c>
      <c r="B3080" t="s">
        <v>13</v>
      </c>
      <c r="C3080">
        <v>34</v>
      </c>
      <c r="D3080">
        <v>39.5</v>
      </c>
      <c r="E3080" t="s">
        <v>17</v>
      </c>
      <c r="F3080">
        <v>26.56</v>
      </c>
      <c r="G3080">
        <v>22.35</v>
      </c>
      <c r="H3080" t="s">
        <v>17</v>
      </c>
      <c r="I3080" t="str">
        <f>"062513003732"</f>
        <v>062513003732</v>
      </c>
    </row>
    <row r="3081" spans="1:9" x14ac:dyDescent="0.25">
      <c r="A3081" t="s">
        <v>2767</v>
      </c>
      <c r="B3081" t="s">
        <v>13</v>
      </c>
      <c r="C3081">
        <v>27.5</v>
      </c>
      <c r="D3081">
        <v>28</v>
      </c>
      <c r="E3081" t="s">
        <v>17</v>
      </c>
      <c r="F3081">
        <v>21.67</v>
      </c>
      <c r="G3081">
        <v>21.43</v>
      </c>
      <c r="H3081" t="s">
        <v>17</v>
      </c>
      <c r="I3081" t="str">
        <f>"061336001518"</f>
        <v>061336001518</v>
      </c>
    </row>
    <row r="3082" spans="1:9" x14ac:dyDescent="0.25">
      <c r="A3082" t="s">
        <v>2767</v>
      </c>
      <c r="B3082" t="s">
        <v>13</v>
      </c>
      <c r="C3082">
        <v>20.059999999999999</v>
      </c>
      <c r="D3082">
        <v>22.06</v>
      </c>
      <c r="E3082" t="s">
        <v>17</v>
      </c>
      <c r="F3082">
        <v>29.36</v>
      </c>
      <c r="G3082">
        <v>26.25</v>
      </c>
      <c r="H3082" t="s">
        <v>17</v>
      </c>
      <c r="I3082" t="str">
        <f>"064116006791"</f>
        <v>064116006791</v>
      </c>
    </row>
    <row r="3083" spans="1:9" x14ac:dyDescent="0.25">
      <c r="A3083" t="s">
        <v>2767</v>
      </c>
      <c r="B3083" t="s">
        <v>13</v>
      </c>
      <c r="C3083">
        <v>19</v>
      </c>
      <c r="D3083">
        <v>22.08</v>
      </c>
      <c r="E3083" t="s">
        <v>17</v>
      </c>
      <c r="F3083">
        <v>25.89</v>
      </c>
      <c r="G3083">
        <v>21.29</v>
      </c>
      <c r="H3083" t="s">
        <v>17</v>
      </c>
      <c r="I3083" t="str">
        <f>"061674002113"</f>
        <v>061674002113</v>
      </c>
    </row>
    <row r="3084" spans="1:9" x14ac:dyDescent="0.25">
      <c r="A3084" t="s">
        <v>2768</v>
      </c>
      <c r="B3084" t="s">
        <v>13</v>
      </c>
      <c r="C3084">
        <v>26.6</v>
      </c>
      <c r="D3084">
        <v>26.5</v>
      </c>
      <c r="E3084" t="s">
        <v>17</v>
      </c>
      <c r="F3084">
        <v>25.19</v>
      </c>
      <c r="G3084">
        <v>24.3</v>
      </c>
      <c r="H3084" t="s">
        <v>17</v>
      </c>
      <c r="I3084" t="str">
        <f>"060004607184"</f>
        <v>060004607184</v>
      </c>
    </row>
    <row r="3085" spans="1:9" x14ac:dyDescent="0.25">
      <c r="A3085" t="s">
        <v>2769</v>
      </c>
      <c r="B3085" t="s">
        <v>13</v>
      </c>
      <c r="C3085">
        <v>18</v>
      </c>
      <c r="D3085">
        <v>15</v>
      </c>
      <c r="E3085" t="s">
        <v>17</v>
      </c>
      <c r="F3085">
        <v>20.72</v>
      </c>
      <c r="G3085">
        <v>20.8</v>
      </c>
      <c r="H3085" t="s">
        <v>17</v>
      </c>
      <c r="I3085" t="str">
        <f>"063846007433"</f>
        <v>063846007433</v>
      </c>
    </row>
    <row r="3086" spans="1:9" x14ac:dyDescent="0.25">
      <c r="A3086" t="s">
        <v>2770</v>
      </c>
      <c r="B3086" t="s">
        <v>13</v>
      </c>
      <c r="C3086">
        <v>6</v>
      </c>
      <c r="D3086">
        <v>6.03</v>
      </c>
      <c r="E3086" t="s">
        <v>17</v>
      </c>
      <c r="F3086">
        <v>25.5</v>
      </c>
      <c r="G3086">
        <v>22.55</v>
      </c>
      <c r="H3086" t="s">
        <v>17</v>
      </c>
      <c r="I3086" t="str">
        <f>"061674005622"</f>
        <v>061674005622</v>
      </c>
    </row>
    <row r="3087" spans="1:9" x14ac:dyDescent="0.25">
      <c r="A3087" t="s">
        <v>2771</v>
      </c>
      <c r="B3087" t="s">
        <v>13</v>
      </c>
      <c r="C3087">
        <v>1</v>
      </c>
      <c r="D3087">
        <v>1</v>
      </c>
      <c r="E3087" t="s">
        <v>17</v>
      </c>
      <c r="F3087">
        <v>5</v>
      </c>
      <c r="G3087">
        <v>7</v>
      </c>
      <c r="H3087" t="s">
        <v>17</v>
      </c>
      <c r="I3087" t="str">
        <f>"061347008371"</f>
        <v>061347008371</v>
      </c>
    </row>
    <row r="3088" spans="1:9" x14ac:dyDescent="0.25">
      <c r="A3088" t="s">
        <v>2772</v>
      </c>
      <c r="B3088" t="s">
        <v>13</v>
      </c>
      <c r="C3088">
        <v>14</v>
      </c>
      <c r="D3088">
        <v>15</v>
      </c>
      <c r="E3088" t="s">
        <v>17</v>
      </c>
      <c r="F3088">
        <v>20.57</v>
      </c>
      <c r="G3088">
        <v>18.73</v>
      </c>
      <c r="H3088" t="s">
        <v>17</v>
      </c>
      <c r="I3088" t="str">
        <f>"061347001535"</f>
        <v>061347001535</v>
      </c>
    </row>
    <row r="3089" spans="1:9" x14ac:dyDescent="0.25">
      <c r="A3089" t="s">
        <v>2773</v>
      </c>
      <c r="B3089" t="s">
        <v>13</v>
      </c>
      <c r="C3089">
        <v>1</v>
      </c>
      <c r="D3089">
        <v>1</v>
      </c>
      <c r="E3089" t="s">
        <v>17</v>
      </c>
      <c r="F3089">
        <v>2</v>
      </c>
      <c r="G3089">
        <v>2</v>
      </c>
      <c r="H3089" t="s">
        <v>17</v>
      </c>
      <c r="I3089" t="str">
        <f>"061347010418"</f>
        <v>061347010418</v>
      </c>
    </row>
    <row r="3090" spans="1:9" x14ac:dyDescent="0.25">
      <c r="A3090" t="s">
        <v>2774</v>
      </c>
      <c r="B3090" t="s">
        <v>13</v>
      </c>
      <c r="C3090">
        <v>15.24</v>
      </c>
      <c r="D3090">
        <v>15.99</v>
      </c>
      <c r="E3090" t="s">
        <v>17</v>
      </c>
      <c r="F3090">
        <v>15.88</v>
      </c>
      <c r="G3090">
        <v>14.7</v>
      </c>
      <c r="H3090" t="s">
        <v>17</v>
      </c>
      <c r="I3090" t="str">
        <f>"061347001536"</f>
        <v>061347001536</v>
      </c>
    </row>
    <row r="3091" spans="1:9" x14ac:dyDescent="0.25">
      <c r="A3091" t="s">
        <v>2775</v>
      </c>
      <c r="B3091" t="s">
        <v>13</v>
      </c>
      <c r="C3091">
        <v>109.6</v>
      </c>
      <c r="D3091">
        <v>112.6</v>
      </c>
      <c r="E3091" t="s">
        <v>17</v>
      </c>
      <c r="F3091">
        <v>22.77</v>
      </c>
      <c r="G3091">
        <v>23.39</v>
      </c>
      <c r="H3091" t="s">
        <v>17</v>
      </c>
      <c r="I3091" t="str">
        <f>"061353001545"</f>
        <v>061353001545</v>
      </c>
    </row>
    <row r="3092" spans="1:9" x14ac:dyDescent="0.25">
      <c r="A3092" t="s">
        <v>2776</v>
      </c>
      <c r="B3092" t="s">
        <v>13</v>
      </c>
      <c r="C3092">
        <v>27.4</v>
      </c>
      <c r="D3092">
        <v>25</v>
      </c>
      <c r="E3092" t="s">
        <v>17</v>
      </c>
      <c r="F3092">
        <v>25.55</v>
      </c>
      <c r="G3092">
        <v>29.28</v>
      </c>
      <c r="H3092" t="s">
        <v>17</v>
      </c>
      <c r="I3092" t="str">
        <f>"061350001539"</f>
        <v>061350001539</v>
      </c>
    </row>
    <row r="3093" spans="1:9" x14ac:dyDescent="0.25">
      <c r="A3093" t="s">
        <v>2777</v>
      </c>
      <c r="B3093" t="s">
        <v>13</v>
      </c>
      <c r="C3093">
        <v>18.5</v>
      </c>
      <c r="D3093">
        <v>18.5</v>
      </c>
      <c r="E3093" t="s">
        <v>17</v>
      </c>
      <c r="F3093">
        <v>25.19</v>
      </c>
      <c r="G3093">
        <v>27.19</v>
      </c>
      <c r="H3093" t="s">
        <v>17</v>
      </c>
      <c r="I3093" t="str">
        <f>"063680006242"</f>
        <v>063680006242</v>
      </c>
    </row>
    <row r="3094" spans="1:9" x14ac:dyDescent="0.25">
      <c r="A3094" t="s">
        <v>2778</v>
      </c>
      <c r="B3094" t="s">
        <v>13</v>
      </c>
      <c r="C3094">
        <v>2</v>
      </c>
      <c r="D3094">
        <v>2</v>
      </c>
      <c r="E3094" t="s">
        <v>17</v>
      </c>
      <c r="F3094">
        <v>26</v>
      </c>
      <c r="G3094">
        <v>26</v>
      </c>
      <c r="H3094" t="s">
        <v>17</v>
      </c>
      <c r="I3094" t="str">
        <f>"060423000383"</f>
        <v>060423000383</v>
      </c>
    </row>
    <row r="3095" spans="1:9" x14ac:dyDescent="0.25">
      <c r="A3095" t="s">
        <v>2779</v>
      </c>
      <c r="B3095" t="s">
        <v>13</v>
      </c>
      <c r="C3095">
        <v>65.8</v>
      </c>
      <c r="D3095">
        <v>63</v>
      </c>
      <c r="E3095" t="s">
        <v>17</v>
      </c>
      <c r="F3095">
        <v>21.29</v>
      </c>
      <c r="G3095">
        <v>25.29</v>
      </c>
      <c r="H3095" t="s">
        <v>17</v>
      </c>
      <c r="I3095" t="str">
        <f>"069105110546"</f>
        <v>069105110546</v>
      </c>
    </row>
    <row r="3096" spans="1:9" x14ac:dyDescent="0.25">
      <c r="A3096" t="s">
        <v>2780</v>
      </c>
      <c r="B3096" t="s">
        <v>13</v>
      </c>
      <c r="C3096">
        <v>18.649999999999999</v>
      </c>
      <c r="D3096">
        <v>20.58</v>
      </c>
      <c r="E3096" t="s">
        <v>17</v>
      </c>
      <c r="F3096">
        <v>18.77</v>
      </c>
      <c r="G3096">
        <v>16.079999999999998</v>
      </c>
      <c r="H3096" t="s">
        <v>17</v>
      </c>
      <c r="I3096" t="str">
        <f>"060528011789"</f>
        <v>060528011789</v>
      </c>
    </row>
    <row r="3097" spans="1:9" x14ac:dyDescent="0.25">
      <c r="A3097" t="s">
        <v>2781</v>
      </c>
      <c r="B3097" t="s">
        <v>13</v>
      </c>
      <c r="C3097">
        <v>4</v>
      </c>
      <c r="D3097">
        <v>3.1</v>
      </c>
      <c r="E3097" t="s">
        <v>17</v>
      </c>
      <c r="F3097">
        <v>27.75</v>
      </c>
      <c r="G3097">
        <v>25.16</v>
      </c>
      <c r="H3097" t="s">
        <v>17</v>
      </c>
      <c r="I3097" t="str">
        <f>"061692011022"</f>
        <v>061692011022</v>
      </c>
    </row>
    <row r="3098" spans="1:9" x14ac:dyDescent="0.25">
      <c r="A3098" t="s">
        <v>2782</v>
      </c>
      <c r="B3098" t="s">
        <v>13</v>
      </c>
      <c r="C3098">
        <v>21.5</v>
      </c>
      <c r="D3098">
        <v>21.5</v>
      </c>
      <c r="E3098" t="s">
        <v>17</v>
      </c>
      <c r="F3098">
        <v>25.21</v>
      </c>
      <c r="G3098">
        <v>23.3</v>
      </c>
      <c r="H3098" t="s">
        <v>17</v>
      </c>
      <c r="I3098" t="str">
        <f>"060714000652"</f>
        <v>060714000652</v>
      </c>
    </row>
    <row r="3099" spans="1:9" x14ac:dyDescent="0.25">
      <c r="A3099" t="s">
        <v>2783</v>
      </c>
      <c r="B3099" t="s">
        <v>13</v>
      </c>
      <c r="C3099">
        <v>24</v>
      </c>
      <c r="D3099">
        <v>24</v>
      </c>
      <c r="E3099" t="s">
        <v>17</v>
      </c>
      <c r="F3099">
        <v>29.04</v>
      </c>
      <c r="G3099">
        <v>28.21</v>
      </c>
      <c r="H3099" t="s">
        <v>17</v>
      </c>
      <c r="I3099" t="str">
        <f>"060903009530"</f>
        <v>060903009530</v>
      </c>
    </row>
    <row r="3100" spans="1:9" x14ac:dyDescent="0.25">
      <c r="A3100" t="s">
        <v>2784</v>
      </c>
      <c r="B3100" t="s">
        <v>13</v>
      </c>
      <c r="C3100">
        <v>15.8</v>
      </c>
      <c r="D3100">
        <v>16.8</v>
      </c>
      <c r="E3100" t="s">
        <v>17</v>
      </c>
      <c r="F3100">
        <v>6.14</v>
      </c>
      <c r="G3100">
        <v>5.89</v>
      </c>
      <c r="H3100" t="s">
        <v>17</v>
      </c>
      <c r="I3100" t="str">
        <f>"069100510748"</f>
        <v>069100510748</v>
      </c>
    </row>
    <row r="3101" spans="1:9" x14ac:dyDescent="0.25">
      <c r="A3101" t="s">
        <v>2785</v>
      </c>
      <c r="B3101" t="s">
        <v>13</v>
      </c>
      <c r="C3101" t="s">
        <v>14</v>
      </c>
      <c r="D3101">
        <v>10.1</v>
      </c>
      <c r="E3101" t="s">
        <v>17</v>
      </c>
      <c r="F3101" t="s">
        <v>17</v>
      </c>
      <c r="G3101">
        <v>15.54</v>
      </c>
      <c r="H3101" t="s">
        <v>17</v>
      </c>
      <c r="I3101" t="str">
        <f>"062805011560"</f>
        <v>062805011560</v>
      </c>
    </row>
    <row r="3102" spans="1:9" x14ac:dyDescent="0.25">
      <c r="A3102" t="s">
        <v>2786</v>
      </c>
      <c r="B3102" t="s">
        <v>13</v>
      </c>
      <c r="C3102">
        <v>14.5</v>
      </c>
      <c r="D3102">
        <v>15</v>
      </c>
      <c r="E3102" t="s">
        <v>17</v>
      </c>
      <c r="F3102">
        <v>26.07</v>
      </c>
      <c r="G3102">
        <v>26.47</v>
      </c>
      <c r="H3102" t="s">
        <v>17</v>
      </c>
      <c r="I3102" t="str">
        <f>"060678000598"</f>
        <v>060678000598</v>
      </c>
    </row>
    <row r="3103" spans="1:9" x14ac:dyDescent="0.25">
      <c r="A3103" t="s">
        <v>2787</v>
      </c>
      <c r="B3103" t="s">
        <v>13</v>
      </c>
      <c r="C3103">
        <v>25</v>
      </c>
      <c r="D3103">
        <v>28.8</v>
      </c>
      <c r="E3103" t="s">
        <v>17</v>
      </c>
      <c r="F3103">
        <v>22.16</v>
      </c>
      <c r="G3103">
        <v>20.56</v>
      </c>
      <c r="H3103" t="s">
        <v>17</v>
      </c>
      <c r="I3103" t="str">
        <f>"063432005456"</f>
        <v>063432005456</v>
      </c>
    </row>
    <row r="3104" spans="1:9" x14ac:dyDescent="0.25">
      <c r="A3104" t="s">
        <v>2788</v>
      </c>
      <c r="B3104" t="s">
        <v>13</v>
      </c>
      <c r="C3104" t="s">
        <v>17</v>
      </c>
      <c r="D3104" t="s">
        <v>14</v>
      </c>
      <c r="E3104" t="s">
        <v>14</v>
      </c>
      <c r="F3104" t="s">
        <v>17</v>
      </c>
      <c r="G3104" t="s">
        <v>14</v>
      </c>
      <c r="H3104" t="s">
        <v>14</v>
      </c>
      <c r="I3104" t="str">
        <f>"063375013361"</f>
        <v>063375013361</v>
      </c>
    </row>
    <row r="3105" spans="1:9" x14ac:dyDescent="0.25">
      <c r="A3105" t="s">
        <v>2789</v>
      </c>
      <c r="B3105" t="s">
        <v>13</v>
      </c>
      <c r="C3105">
        <v>41.5</v>
      </c>
      <c r="D3105">
        <v>41</v>
      </c>
      <c r="E3105" t="s">
        <v>17</v>
      </c>
      <c r="F3105">
        <v>21.45</v>
      </c>
      <c r="G3105">
        <v>21.27</v>
      </c>
      <c r="H3105" t="s">
        <v>17</v>
      </c>
      <c r="I3105" t="str">
        <f>"064188012082"</f>
        <v>064188012082</v>
      </c>
    </row>
    <row r="3106" spans="1:9" x14ac:dyDescent="0.25">
      <c r="A3106" t="s">
        <v>2789</v>
      </c>
      <c r="B3106" t="s">
        <v>13</v>
      </c>
      <c r="C3106">
        <v>26.5</v>
      </c>
      <c r="D3106">
        <v>28</v>
      </c>
      <c r="E3106" t="s">
        <v>17</v>
      </c>
      <c r="F3106">
        <v>18.260000000000002</v>
      </c>
      <c r="G3106">
        <v>18.5</v>
      </c>
      <c r="H3106" t="s">
        <v>17</v>
      </c>
      <c r="I3106" t="str">
        <f>"062271002999"</f>
        <v>062271002999</v>
      </c>
    </row>
    <row r="3107" spans="1:9" x14ac:dyDescent="0.25">
      <c r="A3107" t="s">
        <v>2790</v>
      </c>
      <c r="B3107" t="s">
        <v>13</v>
      </c>
      <c r="C3107">
        <v>30.13</v>
      </c>
      <c r="D3107">
        <v>28.93</v>
      </c>
      <c r="E3107" t="s">
        <v>17</v>
      </c>
      <c r="F3107">
        <v>24.46</v>
      </c>
      <c r="G3107">
        <v>23.09</v>
      </c>
      <c r="H3107" t="s">
        <v>17</v>
      </c>
      <c r="I3107" t="str">
        <f>"060003507903"</f>
        <v>060003507903</v>
      </c>
    </row>
    <row r="3108" spans="1:9" x14ac:dyDescent="0.25">
      <c r="A3108" t="s">
        <v>2791</v>
      </c>
      <c r="B3108" t="s">
        <v>13</v>
      </c>
      <c r="C3108">
        <v>21.15</v>
      </c>
      <c r="D3108">
        <v>30</v>
      </c>
      <c r="E3108" t="s">
        <v>17</v>
      </c>
      <c r="F3108">
        <v>19.239999999999998</v>
      </c>
      <c r="G3108">
        <v>20.399999999999999</v>
      </c>
      <c r="H3108" t="s">
        <v>17</v>
      </c>
      <c r="I3108" t="str">
        <f>"060003501547"</f>
        <v>060003501547</v>
      </c>
    </row>
    <row r="3109" spans="1:9" x14ac:dyDescent="0.25">
      <c r="A3109" t="s">
        <v>2792</v>
      </c>
      <c r="B3109" t="s">
        <v>13</v>
      </c>
      <c r="C3109">
        <v>5</v>
      </c>
      <c r="D3109">
        <v>7</v>
      </c>
      <c r="E3109" t="s">
        <v>17</v>
      </c>
      <c r="F3109">
        <v>21</v>
      </c>
      <c r="G3109">
        <v>16.57</v>
      </c>
      <c r="H3109" t="s">
        <v>17</v>
      </c>
      <c r="I3109" t="str">
        <f>"061284001449"</f>
        <v>061284001449</v>
      </c>
    </row>
    <row r="3110" spans="1:9" x14ac:dyDescent="0.25">
      <c r="A3110" t="s">
        <v>2793</v>
      </c>
      <c r="B3110" t="s">
        <v>13</v>
      </c>
      <c r="C3110">
        <v>22</v>
      </c>
      <c r="D3110">
        <v>24.5</v>
      </c>
      <c r="E3110" t="s">
        <v>17</v>
      </c>
      <c r="F3110">
        <v>24.27</v>
      </c>
      <c r="G3110">
        <v>22.12</v>
      </c>
      <c r="H3110" t="s">
        <v>17</v>
      </c>
      <c r="I3110" t="str">
        <f>"060714000653"</f>
        <v>060714000653</v>
      </c>
    </row>
    <row r="3111" spans="1:9" x14ac:dyDescent="0.25">
      <c r="A3111" t="s">
        <v>2794</v>
      </c>
      <c r="B3111" t="s">
        <v>13</v>
      </c>
      <c r="C3111">
        <v>29</v>
      </c>
      <c r="D3111">
        <v>30</v>
      </c>
      <c r="E3111" t="s">
        <v>17</v>
      </c>
      <c r="F3111">
        <v>24.72</v>
      </c>
      <c r="G3111">
        <v>24.63</v>
      </c>
      <c r="H3111" t="s">
        <v>17</v>
      </c>
      <c r="I3111" t="str">
        <f>"061288011129"</f>
        <v>061288011129</v>
      </c>
    </row>
    <row r="3112" spans="1:9" x14ac:dyDescent="0.25">
      <c r="A3112" t="s">
        <v>2795</v>
      </c>
      <c r="B3112" t="s">
        <v>13</v>
      </c>
      <c r="C3112">
        <v>23</v>
      </c>
      <c r="D3112">
        <v>23</v>
      </c>
      <c r="E3112" t="s">
        <v>17</v>
      </c>
      <c r="F3112">
        <v>24.35</v>
      </c>
      <c r="G3112">
        <v>23.96</v>
      </c>
      <c r="H3112" t="s">
        <v>17</v>
      </c>
      <c r="I3112" t="str">
        <f>"061026001119"</f>
        <v>061026001119</v>
      </c>
    </row>
    <row r="3113" spans="1:9" x14ac:dyDescent="0.25">
      <c r="A3113" t="s">
        <v>2796</v>
      </c>
      <c r="B3113" t="s">
        <v>13</v>
      </c>
      <c r="C3113">
        <v>12</v>
      </c>
      <c r="D3113">
        <v>11.7</v>
      </c>
      <c r="E3113" t="s">
        <v>17</v>
      </c>
      <c r="F3113">
        <v>26.08</v>
      </c>
      <c r="G3113">
        <v>26.15</v>
      </c>
      <c r="H3113" t="s">
        <v>17</v>
      </c>
      <c r="I3113" t="str">
        <f>"063384001089"</f>
        <v>063384001089</v>
      </c>
    </row>
    <row r="3114" spans="1:9" x14ac:dyDescent="0.25">
      <c r="A3114" t="s">
        <v>2797</v>
      </c>
      <c r="B3114" t="s">
        <v>13</v>
      </c>
      <c r="C3114">
        <v>1</v>
      </c>
      <c r="D3114">
        <v>4.6500000000000004</v>
      </c>
      <c r="E3114" t="s">
        <v>14</v>
      </c>
      <c r="F3114">
        <v>88</v>
      </c>
      <c r="G3114">
        <v>15.48</v>
      </c>
      <c r="H3114" t="s">
        <v>14</v>
      </c>
      <c r="I3114" t="str">
        <f>"062955012889"</f>
        <v>062955012889</v>
      </c>
    </row>
    <row r="3115" spans="1:9" x14ac:dyDescent="0.25">
      <c r="A3115" t="s">
        <v>2798</v>
      </c>
      <c r="B3115" t="s">
        <v>13</v>
      </c>
      <c r="C3115">
        <v>33.5</v>
      </c>
      <c r="D3115">
        <v>35</v>
      </c>
      <c r="E3115" t="s">
        <v>17</v>
      </c>
      <c r="F3115">
        <v>21.4</v>
      </c>
      <c r="G3115">
        <v>20.14</v>
      </c>
      <c r="H3115" t="s">
        <v>17</v>
      </c>
      <c r="I3115" t="str">
        <f>"063432005484"</f>
        <v>063432005484</v>
      </c>
    </row>
    <row r="3116" spans="1:9" x14ac:dyDescent="0.25">
      <c r="A3116" t="s">
        <v>2799</v>
      </c>
      <c r="B3116" t="s">
        <v>13</v>
      </c>
      <c r="C3116">
        <v>24.3</v>
      </c>
      <c r="D3116">
        <v>25</v>
      </c>
      <c r="E3116" t="s">
        <v>17</v>
      </c>
      <c r="F3116">
        <v>26.5</v>
      </c>
      <c r="G3116">
        <v>25.96</v>
      </c>
      <c r="H3116" t="s">
        <v>17</v>
      </c>
      <c r="I3116" t="str">
        <f>"061488001842"</f>
        <v>061488001842</v>
      </c>
    </row>
    <row r="3117" spans="1:9" x14ac:dyDescent="0.25">
      <c r="A3117" t="s">
        <v>2800</v>
      </c>
      <c r="B3117" t="s">
        <v>13</v>
      </c>
      <c r="C3117">
        <v>58</v>
      </c>
      <c r="D3117">
        <v>54</v>
      </c>
      <c r="E3117" t="s">
        <v>17</v>
      </c>
      <c r="F3117">
        <v>18</v>
      </c>
      <c r="G3117">
        <v>19.87</v>
      </c>
      <c r="H3117" t="s">
        <v>17</v>
      </c>
      <c r="I3117" t="str">
        <f>"060861000858"</f>
        <v>060861000858</v>
      </c>
    </row>
    <row r="3118" spans="1:9" x14ac:dyDescent="0.25">
      <c r="A3118" t="s">
        <v>2801</v>
      </c>
      <c r="B3118" t="s">
        <v>13</v>
      </c>
      <c r="C3118">
        <v>1</v>
      </c>
      <c r="D3118">
        <v>1.8</v>
      </c>
      <c r="E3118" t="s">
        <v>17</v>
      </c>
      <c r="F3118">
        <v>14</v>
      </c>
      <c r="G3118">
        <v>8.33</v>
      </c>
      <c r="H3118" t="s">
        <v>17</v>
      </c>
      <c r="I3118" t="str">
        <f>"061371001552"</f>
        <v>061371001552</v>
      </c>
    </row>
    <row r="3119" spans="1:9" x14ac:dyDescent="0.25">
      <c r="A3119" t="s">
        <v>2802</v>
      </c>
      <c r="B3119" t="s">
        <v>13</v>
      </c>
      <c r="C3119">
        <v>8.1</v>
      </c>
      <c r="D3119">
        <v>7.4</v>
      </c>
      <c r="E3119" t="s">
        <v>17</v>
      </c>
      <c r="F3119">
        <v>14.2</v>
      </c>
      <c r="G3119">
        <v>18.38</v>
      </c>
      <c r="H3119" t="s">
        <v>17</v>
      </c>
      <c r="I3119" t="str">
        <f>"069104211997"</f>
        <v>069104211997</v>
      </c>
    </row>
    <row r="3120" spans="1:9" x14ac:dyDescent="0.25">
      <c r="A3120" t="s">
        <v>2803</v>
      </c>
      <c r="B3120" t="s">
        <v>13</v>
      </c>
      <c r="C3120">
        <v>24.1</v>
      </c>
      <c r="D3120">
        <v>25.5</v>
      </c>
      <c r="E3120" t="s">
        <v>17</v>
      </c>
      <c r="F3120">
        <v>18.3</v>
      </c>
      <c r="G3120">
        <v>17.61</v>
      </c>
      <c r="H3120" t="s">
        <v>17</v>
      </c>
      <c r="I3120" t="str">
        <f>"060162000020"</f>
        <v>060162000020</v>
      </c>
    </row>
    <row r="3121" spans="1:9" x14ac:dyDescent="0.25">
      <c r="A3121" t="s">
        <v>2804</v>
      </c>
      <c r="B3121" t="s">
        <v>13</v>
      </c>
      <c r="C3121">
        <v>14.2</v>
      </c>
      <c r="D3121">
        <v>17.7</v>
      </c>
      <c r="E3121" t="s">
        <v>17</v>
      </c>
      <c r="F3121">
        <v>28.45</v>
      </c>
      <c r="G3121">
        <v>23.5</v>
      </c>
      <c r="H3121" t="s">
        <v>17</v>
      </c>
      <c r="I3121" t="str">
        <f>"064074006725"</f>
        <v>064074006725</v>
      </c>
    </row>
    <row r="3122" spans="1:9" x14ac:dyDescent="0.25">
      <c r="A3122" t="s">
        <v>2805</v>
      </c>
      <c r="B3122" t="s">
        <v>13</v>
      </c>
      <c r="C3122">
        <v>24</v>
      </c>
      <c r="D3122">
        <v>24</v>
      </c>
      <c r="E3122" t="s">
        <v>17</v>
      </c>
      <c r="F3122">
        <v>21.54</v>
      </c>
      <c r="G3122">
        <v>20.170000000000002</v>
      </c>
      <c r="H3122" t="s">
        <v>17</v>
      </c>
      <c r="I3122" t="str">
        <f>"063441011772"</f>
        <v>063441011772</v>
      </c>
    </row>
    <row r="3123" spans="1:9" x14ac:dyDescent="0.25">
      <c r="A3123" t="s">
        <v>2806</v>
      </c>
      <c r="B3123" t="s">
        <v>13</v>
      </c>
      <c r="C3123">
        <v>30</v>
      </c>
      <c r="D3123">
        <v>29</v>
      </c>
      <c r="E3123" t="s">
        <v>17</v>
      </c>
      <c r="F3123">
        <v>24.43</v>
      </c>
      <c r="G3123">
        <v>23.03</v>
      </c>
      <c r="H3123" t="s">
        <v>17</v>
      </c>
      <c r="I3123" t="str">
        <f>"061288001454"</f>
        <v>061288001454</v>
      </c>
    </row>
    <row r="3124" spans="1:9" x14ac:dyDescent="0.25">
      <c r="A3124" t="s">
        <v>2807</v>
      </c>
      <c r="B3124" t="s">
        <v>13</v>
      </c>
      <c r="C3124">
        <v>23.33</v>
      </c>
      <c r="D3124">
        <v>19.62</v>
      </c>
      <c r="E3124" t="s">
        <v>17</v>
      </c>
      <c r="F3124">
        <v>14.92</v>
      </c>
      <c r="G3124">
        <v>18.3</v>
      </c>
      <c r="H3124" t="s">
        <v>17</v>
      </c>
      <c r="I3124" t="str">
        <f>"062271012438"</f>
        <v>062271012438</v>
      </c>
    </row>
    <row r="3125" spans="1:9" x14ac:dyDescent="0.25">
      <c r="A3125" t="s">
        <v>2808</v>
      </c>
      <c r="B3125" t="s">
        <v>13</v>
      </c>
      <c r="C3125">
        <v>27</v>
      </c>
      <c r="D3125">
        <v>27</v>
      </c>
      <c r="E3125" t="s">
        <v>17</v>
      </c>
      <c r="F3125">
        <v>21.15</v>
      </c>
      <c r="G3125">
        <v>19.670000000000002</v>
      </c>
      <c r="H3125" t="s">
        <v>17</v>
      </c>
      <c r="I3125" t="str">
        <f>"062964004599"</f>
        <v>062964004599</v>
      </c>
    </row>
    <row r="3126" spans="1:9" x14ac:dyDescent="0.25">
      <c r="A3126" t="s">
        <v>2809</v>
      </c>
      <c r="B3126" t="s">
        <v>13</v>
      </c>
      <c r="C3126">
        <v>29.2</v>
      </c>
      <c r="D3126">
        <v>28.27</v>
      </c>
      <c r="E3126" t="s">
        <v>17</v>
      </c>
      <c r="F3126">
        <v>19.350000000000001</v>
      </c>
      <c r="G3126">
        <v>20.59</v>
      </c>
      <c r="H3126" t="s">
        <v>17</v>
      </c>
      <c r="I3126" t="str">
        <f>"062142002564"</f>
        <v>062142002564</v>
      </c>
    </row>
    <row r="3127" spans="1:9" x14ac:dyDescent="0.25">
      <c r="A3127" t="s">
        <v>2810</v>
      </c>
      <c r="B3127" t="s">
        <v>13</v>
      </c>
      <c r="C3127">
        <v>30</v>
      </c>
      <c r="D3127">
        <v>51</v>
      </c>
      <c r="E3127" t="s">
        <v>17</v>
      </c>
      <c r="F3127">
        <v>21.77</v>
      </c>
      <c r="G3127">
        <v>18.84</v>
      </c>
      <c r="H3127" t="s">
        <v>17</v>
      </c>
      <c r="I3127" t="str">
        <f>"062271003000"</f>
        <v>062271003000</v>
      </c>
    </row>
    <row r="3128" spans="1:9" x14ac:dyDescent="0.25">
      <c r="A3128" t="s">
        <v>2811</v>
      </c>
      <c r="B3128" t="s">
        <v>13</v>
      </c>
      <c r="C3128">
        <v>38</v>
      </c>
      <c r="D3128">
        <v>26</v>
      </c>
      <c r="E3128" t="s">
        <v>17</v>
      </c>
      <c r="F3128">
        <v>19.05</v>
      </c>
      <c r="G3128">
        <v>20.190000000000001</v>
      </c>
      <c r="H3128" t="s">
        <v>17</v>
      </c>
      <c r="I3128" t="str">
        <f>"062271012019"</f>
        <v>062271012019</v>
      </c>
    </row>
    <row r="3129" spans="1:9" x14ac:dyDescent="0.25">
      <c r="A3129" t="s">
        <v>2812</v>
      </c>
      <c r="B3129" t="s">
        <v>13</v>
      </c>
      <c r="C3129">
        <v>22.39</v>
      </c>
      <c r="D3129">
        <v>17.98</v>
      </c>
      <c r="E3129" t="s">
        <v>17</v>
      </c>
      <c r="F3129">
        <v>32.43</v>
      </c>
      <c r="G3129">
        <v>37.26</v>
      </c>
      <c r="H3129" t="s">
        <v>17</v>
      </c>
      <c r="I3129" t="str">
        <f>"063384005241"</f>
        <v>063384005241</v>
      </c>
    </row>
    <row r="3130" spans="1:9" x14ac:dyDescent="0.25">
      <c r="A3130" t="s">
        <v>2813</v>
      </c>
      <c r="B3130" t="s">
        <v>13</v>
      </c>
      <c r="C3130">
        <v>19</v>
      </c>
      <c r="D3130">
        <v>19</v>
      </c>
      <c r="E3130" t="s">
        <v>17</v>
      </c>
      <c r="F3130">
        <v>30.79</v>
      </c>
      <c r="G3130">
        <v>29.58</v>
      </c>
      <c r="H3130" t="s">
        <v>17</v>
      </c>
      <c r="I3130" t="str">
        <f>"061473001792"</f>
        <v>061473001792</v>
      </c>
    </row>
    <row r="3131" spans="1:9" x14ac:dyDescent="0.25">
      <c r="A3131" t="s">
        <v>2814</v>
      </c>
      <c r="B3131" t="s">
        <v>13</v>
      </c>
      <c r="C3131">
        <v>19.2</v>
      </c>
      <c r="D3131">
        <v>19.5</v>
      </c>
      <c r="E3131" t="s">
        <v>17</v>
      </c>
      <c r="F3131">
        <v>26.2</v>
      </c>
      <c r="G3131">
        <v>25.54</v>
      </c>
      <c r="H3131" t="s">
        <v>17</v>
      </c>
      <c r="I3131" t="str">
        <f>"063942006558"</f>
        <v>063942006558</v>
      </c>
    </row>
    <row r="3132" spans="1:9" x14ac:dyDescent="0.25">
      <c r="A3132" t="s">
        <v>2815</v>
      </c>
      <c r="B3132" t="s">
        <v>13</v>
      </c>
      <c r="C3132" t="s">
        <v>14</v>
      </c>
      <c r="D3132" t="s">
        <v>14</v>
      </c>
      <c r="E3132" t="s">
        <v>17</v>
      </c>
      <c r="F3132" t="s">
        <v>14</v>
      </c>
      <c r="G3132" t="s">
        <v>14</v>
      </c>
      <c r="H3132" t="s">
        <v>17</v>
      </c>
      <c r="I3132" t="str">
        <f>"062271012037"</f>
        <v>062271012037</v>
      </c>
    </row>
    <row r="3133" spans="1:9" x14ac:dyDescent="0.25">
      <c r="A3133" t="s">
        <v>2816</v>
      </c>
      <c r="B3133" t="s">
        <v>13</v>
      </c>
      <c r="C3133">
        <v>18.62</v>
      </c>
      <c r="D3133">
        <v>17.34</v>
      </c>
      <c r="E3133" t="s">
        <v>17</v>
      </c>
      <c r="F3133">
        <v>22.18</v>
      </c>
      <c r="G3133">
        <v>23.47</v>
      </c>
      <c r="H3133" t="s">
        <v>17</v>
      </c>
      <c r="I3133" t="str">
        <f>"061212001367"</f>
        <v>061212001367</v>
      </c>
    </row>
    <row r="3134" spans="1:9" x14ac:dyDescent="0.25">
      <c r="A3134" t="s">
        <v>2817</v>
      </c>
      <c r="B3134" t="s">
        <v>13</v>
      </c>
      <c r="C3134">
        <v>19</v>
      </c>
      <c r="D3134">
        <v>19.329999999999998</v>
      </c>
      <c r="E3134" t="s">
        <v>17</v>
      </c>
      <c r="F3134">
        <v>24</v>
      </c>
      <c r="G3134">
        <v>24.62</v>
      </c>
      <c r="H3134" t="s">
        <v>17</v>
      </c>
      <c r="I3134" t="str">
        <f>"061887002283"</f>
        <v>061887002283</v>
      </c>
    </row>
    <row r="3135" spans="1:9" x14ac:dyDescent="0.25">
      <c r="A3135" t="s">
        <v>2818</v>
      </c>
      <c r="B3135" t="s">
        <v>13</v>
      </c>
      <c r="C3135">
        <v>37</v>
      </c>
      <c r="D3135">
        <v>36</v>
      </c>
      <c r="E3135" t="s">
        <v>17</v>
      </c>
      <c r="F3135">
        <v>19.89</v>
      </c>
      <c r="G3135">
        <v>20.47</v>
      </c>
      <c r="H3135" t="s">
        <v>17</v>
      </c>
      <c r="I3135" t="str">
        <f>"062271003001"</f>
        <v>062271003001</v>
      </c>
    </row>
    <row r="3136" spans="1:9" x14ac:dyDescent="0.25">
      <c r="A3136" t="s">
        <v>2819</v>
      </c>
      <c r="B3136" t="s">
        <v>13</v>
      </c>
      <c r="C3136">
        <v>14</v>
      </c>
      <c r="D3136">
        <v>16</v>
      </c>
      <c r="E3136" t="s">
        <v>17</v>
      </c>
      <c r="F3136">
        <v>26</v>
      </c>
      <c r="G3136">
        <v>21.63</v>
      </c>
      <c r="H3136" t="s">
        <v>17</v>
      </c>
      <c r="I3136" t="str">
        <f>"060003701550"</f>
        <v>060003701550</v>
      </c>
    </row>
    <row r="3137" spans="1:9" x14ac:dyDescent="0.25">
      <c r="A3137" t="s">
        <v>2820</v>
      </c>
      <c r="B3137" t="s">
        <v>13</v>
      </c>
      <c r="C3137">
        <v>10.210000000000001</v>
      </c>
      <c r="D3137">
        <v>10.51</v>
      </c>
      <c r="E3137" t="s">
        <v>17</v>
      </c>
      <c r="F3137">
        <v>14.79</v>
      </c>
      <c r="G3137">
        <v>13.13</v>
      </c>
      <c r="H3137" t="s">
        <v>17</v>
      </c>
      <c r="I3137" t="str">
        <f>"060003701551"</f>
        <v>060003701551</v>
      </c>
    </row>
    <row r="3138" spans="1:9" x14ac:dyDescent="0.25">
      <c r="A3138" t="s">
        <v>2821</v>
      </c>
      <c r="B3138" t="s">
        <v>13</v>
      </c>
      <c r="C3138">
        <v>18</v>
      </c>
      <c r="D3138">
        <v>20</v>
      </c>
      <c r="E3138" t="s">
        <v>17</v>
      </c>
      <c r="F3138">
        <v>25.28</v>
      </c>
      <c r="G3138">
        <v>22</v>
      </c>
      <c r="H3138" t="s">
        <v>17</v>
      </c>
      <c r="I3138" t="str">
        <f>"063360010034"</f>
        <v>063360010034</v>
      </c>
    </row>
    <row r="3139" spans="1:9" x14ac:dyDescent="0.25">
      <c r="A3139" t="s">
        <v>2822</v>
      </c>
      <c r="B3139" t="s">
        <v>13</v>
      </c>
      <c r="C3139">
        <v>40.25</v>
      </c>
      <c r="D3139">
        <v>37.5</v>
      </c>
      <c r="E3139" t="s">
        <v>17</v>
      </c>
      <c r="F3139">
        <v>21.66</v>
      </c>
      <c r="G3139">
        <v>21.65</v>
      </c>
      <c r="H3139" t="s">
        <v>17</v>
      </c>
      <c r="I3139" t="str">
        <f>"060558009317"</f>
        <v>060558009317</v>
      </c>
    </row>
    <row r="3140" spans="1:9" x14ac:dyDescent="0.25">
      <c r="A3140" t="s">
        <v>2823</v>
      </c>
      <c r="B3140" t="s">
        <v>13</v>
      </c>
      <c r="C3140" t="s">
        <v>17</v>
      </c>
      <c r="D3140" t="s">
        <v>14</v>
      </c>
      <c r="E3140" t="s">
        <v>14</v>
      </c>
      <c r="F3140" t="s">
        <v>17</v>
      </c>
      <c r="G3140" t="s">
        <v>14</v>
      </c>
      <c r="H3140" t="s">
        <v>14</v>
      </c>
      <c r="I3140" t="str">
        <f>"063360013287"</f>
        <v>063360013287</v>
      </c>
    </row>
    <row r="3141" spans="1:9" x14ac:dyDescent="0.25">
      <c r="A3141" t="s">
        <v>2824</v>
      </c>
      <c r="B3141" t="s">
        <v>13</v>
      </c>
      <c r="C3141">
        <v>20</v>
      </c>
      <c r="D3141">
        <v>18</v>
      </c>
      <c r="E3141" t="s">
        <v>17</v>
      </c>
      <c r="F3141">
        <v>25.7</v>
      </c>
      <c r="G3141">
        <v>24.67</v>
      </c>
      <c r="H3141" t="s">
        <v>17</v>
      </c>
      <c r="I3141" t="str">
        <f>"062994004668"</f>
        <v>062994004668</v>
      </c>
    </row>
    <row r="3142" spans="1:9" x14ac:dyDescent="0.25">
      <c r="A3142" t="s">
        <v>2825</v>
      </c>
      <c r="B3142" t="s">
        <v>13</v>
      </c>
      <c r="C3142">
        <v>16.5</v>
      </c>
      <c r="D3142">
        <v>15.5</v>
      </c>
      <c r="E3142" t="s">
        <v>17</v>
      </c>
      <c r="F3142">
        <v>16.48</v>
      </c>
      <c r="G3142">
        <v>19.48</v>
      </c>
      <c r="H3142" t="s">
        <v>17</v>
      </c>
      <c r="I3142" t="str">
        <f>"063432005458"</f>
        <v>063432005458</v>
      </c>
    </row>
    <row r="3143" spans="1:9" x14ac:dyDescent="0.25">
      <c r="A3143" t="s">
        <v>2826</v>
      </c>
      <c r="B3143" t="s">
        <v>13</v>
      </c>
      <c r="C3143">
        <v>8</v>
      </c>
      <c r="D3143">
        <v>7</v>
      </c>
      <c r="E3143" t="s">
        <v>17</v>
      </c>
      <c r="F3143">
        <v>17.38</v>
      </c>
      <c r="G3143">
        <v>18.29</v>
      </c>
      <c r="H3143" t="s">
        <v>17</v>
      </c>
      <c r="I3143" t="str">
        <f>"061374001553"</f>
        <v>061374001553</v>
      </c>
    </row>
    <row r="3144" spans="1:9" x14ac:dyDescent="0.25">
      <c r="A3144" t="s">
        <v>2827</v>
      </c>
      <c r="B3144" t="s">
        <v>13</v>
      </c>
      <c r="C3144">
        <v>22.8</v>
      </c>
      <c r="D3144">
        <v>20</v>
      </c>
      <c r="E3144" t="s">
        <v>17</v>
      </c>
      <c r="F3144">
        <v>21.58</v>
      </c>
      <c r="G3144">
        <v>24.3</v>
      </c>
      <c r="H3144" t="s">
        <v>17</v>
      </c>
      <c r="I3144" t="str">
        <f>"063492002791"</f>
        <v>063492002791</v>
      </c>
    </row>
    <row r="3145" spans="1:9" x14ac:dyDescent="0.25">
      <c r="A3145" t="s">
        <v>2828</v>
      </c>
      <c r="B3145" t="s">
        <v>13</v>
      </c>
      <c r="C3145">
        <v>26</v>
      </c>
      <c r="D3145">
        <v>27</v>
      </c>
      <c r="E3145" t="s">
        <v>17</v>
      </c>
      <c r="F3145">
        <v>22.54</v>
      </c>
      <c r="G3145">
        <v>23.04</v>
      </c>
      <c r="H3145" t="s">
        <v>17</v>
      </c>
      <c r="I3145" t="str">
        <f>"062271003002"</f>
        <v>062271003002</v>
      </c>
    </row>
    <row r="3146" spans="1:9" x14ac:dyDescent="0.25">
      <c r="A3146" t="s">
        <v>2829</v>
      </c>
      <c r="B3146" t="s">
        <v>13</v>
      </c>
      <c r="C3146">
        <v>16</v>
      </c>
      <c r="D3146">
        <v>16</v>
      </c>
      <c r="E3146" t="s">
        <v>17</v>
      </c>
      <c r="F3146">
        <v>22</v>
      </c>
      <c r="G3146">
        <v>23.19</v>
      </c>
      <c r="H3146" t="s">
        <v>17</v>
      </c>
      <c r="I3146" t="str">
        <f>"062271003003"</f>
        <v>062271003003</v>
      </c>
    </row>
    <row r="3147" spans="1:9" x14ac:dyDescent="0.25">
      <c r="A3147" t="s">
        <v>2830</v>
      </c>
      <c r="B3147" t="s">
        <v>13</v>
      </c>
      <c r="C3147">
        <v>16</v>
      </c>
      <c r="D3147">
        <v>16</v>
      </c>
      <c r="E3147" t="s">
        <v>17</v>
      </c>
      <c r="F3147">
        <v>24.38</v>
      </c>
      <c r="G3147">
        <v>23.88</v>
      </c>
      <c r="H3147" t="s">
        <v>17</v>
      </c>
      <c r="I3147" t="str">
        <f>"062271003004"</f>
        <v>062271003004</v>
      </c>
    </row>
    <row r="3148" spans="1:9" x14ac:dyDescent="0.25">
      <c r="A3148" t="s">
        <v>2831</v>
      </c>
      <c r="B3148" t="s">
        <v>13</v>
      </c>
      <c r="C3148">
        <v>35.5</v>
      </c>
      <c r="D3148">
        <v>34.01</v>
      </c>
      <c r="E3148" t="s">
        <v>17</v>
      </c>
      <c r="F3148">
        <v>22.25</v>
      </c>
      <c r="G3148">
        <v>24.08</v>
      </c>
      <c r="H3148" t="s">
        <v>17</v>
      </c>
      <c r="I3148" t="str">
        <f>"062271003005"</f>
        <v>062271003005</v>
      </c>
    </row>
    <row r="3149" spans="1:9" x14ac:dyDescent="0.25">
      <c r="A3149" t="s">
        <v>2832</v>
      </c>
      <c r="B3149" t="s">
        <v>13</v>
      </c>
      <c r="C3149">
        <v>26</v>
      </c>
      <c r="D3149">
        <v>24.7</v>
      </c>
      <c r="E3149" t="s">
        <v>17</v>
      </c>
      <c r="F3149">
        <v>25.77</v>
      </c>
      <c r="G3149">
        <v>28.14</v>
      </c>
      <c r="H3149" t="s">
        <v>17</v>
      </c>
      <c r="I3149" t="str">
        <f>"061455008842"</f>
        <v>061455008842</v>
      </c>
    </row>
    <row r="3150" spans="1:9" x14ac:dyDescent="0.25">
      <c r="A3150" t="s">
        <v>2833</v>
      </c>
      <c r="B3150" t="s">
        <v>13</v>
      </c>
      <c r="C3150">
        <v>19</v>
      </c>
      <c r="D3150">
        <v>18</v>
      </c>
      <c r="E3150" t="s">
        <v>17</v>
      </c>
      <c r="F3150">
        <v>24.95</v>
      </c>
      <c r="G3150">
        <v>24.61</v>
      </c>
      <c r="H3150" t="s">
        <v>17</v>
      </c>
      <c r="I3150" t="str">
        <f>"062271003006"</f>
        <v>062271003006</v>
      </c>
    </row>
    <row r="3151" spans="1:9" x14ac:dyDescent="0.25">
      <c r="A3151" t="s">
        <v>2834</v>
      </c>
      <c r="B3151" t="s">
        <v>13</v>
      </c>
      <c r="C3151">
        <v>29.59</v>
      </c>
      <c r="D3151">
        <v>34.58</v>
      </c>
      <c r="E3151" t="s">
        <v>17</v>
      </c>
      <c r="F3151">
        <v>29.54</v>
      </c>
      <c r="G3151">
        <v>26</v>
      </c>
      <c r="H3151" t="s">
        <v>17</v>
      </c>
      <c r="I3151" t="str">
        <f>"063801006406"</f>
        <v>063801006406</v>
      </c>
    </row>
    <row r="3152" spans="1:9" x14ac:dyDescent="0.25">
      <c r="A3152" t="s">
        <v>2835</v>
      </c>
      <c r="B3152" t="s">
        <v>13</v>
      </c>
      <c r="C3152">
        <v>35.4</v>
      </c>
      <c r="D3152">
        <v>33</v>
      </c>
      <c r="E3152" t="s">
        <v>17</v>
      </c>
      <c r="F3152">
        <v>24.58</v>
      </c>
      <c r="G3152">
        <v>25</v>
      </c>
      <c r="H3152" t="s">
        <v>17</v>
      </c>
      <c r="I3152" t="str">
        <f>"061380001554"</f>
        <v>061380001554</v>
      </c>
    </row>
    <row r="3153" spans="1:9" x14ac:dyDescent="0.25">
      <c r="A3153" t="s">
        <v>2836</v>
      </c>
      <c r="B3153" t="s">
        <v>13</v>
      </c>
      <c r="C3153">
        <v>44.01</v>
      </c>
      <c r="D3153">
        <v>43.89</v>
      </c>
      <c r="E3153" t="s">
        <v>17</v>
      </c>
      <c r="F3153">
        <v>23.49</v>
      </c>
      <c r="G3153">
        <v>23.22</v>
      </c>
      <c r="H3153" t="s">
        <v>17</v>
      </c>
      <c r="I3153" t="str">
        <f>"061380001555"</f>
        <v>061380001555</v>
      </c>
    </row>
    <row r="3154" spans="1:9" x14ac:dyDescent="0.25">
      <c r="A3154" t="s">
        <v>2837</v>
      </c>
      <c r="B3154" t="s">
        <v>13</v>
      </c>
      <c r="C3154" t="s">
        <v>14</v>
      </c>
      <c r="D3154" t="s">
        <v>14</v>
      </c>
      <c r="E3154" t="s">
        <v>17</v>
      </c>
      <c r="F3154" t="s">
        <v>14</v>
      </c>
      <c r="G3154" t="s">
        <v>14</v>
      </c>
      <c r="H3154" t="s">
        <v>17</v>
      </c>
      <c r="I3154" t="str">
        <f>"062271011638"</f>
        <v>062271011638</v>
      </c>
    </row>
    <row r="3155" spans="1:9" x14ac:dyDescent="0.25">
      <c r="A3155" t="s">
        <v>2838</v>
      </c>
      <c r="B3155" t="s">
        <v>13</v>
      </c>
      <c r="C3155">
        <v>9.59</v>
      </c>
      <c r="D3155">
        <v>10.31</v>
      </c>
      <c r="E3155" t="s">
        <v>17</v>
      </c>
      <c r="F3155">
        <v>25.34</v>
      </c>
      <c r="G3155">
        <v>22.31</v>
      </c>
      <c r="H3155" t="s">
        <v>17</v>
      </c>
      <c r="I3155" t="str">
        <f>"060330008624"</f>
        <v>060330008624</v>
      </c>
    </row>
    <row r="3156" spans="1:9" x14ac:dyDescent="0.25">
      <c r="A3156" t="s">
        <v>2839</v>
      </c>
      <c r="B3156" t="s">
        <v>13</v>
      </c>
      <c r="C3156">
        <v>19.5</v>
      </c>
      <c r="D3156">
        <v>17</v>
      </c>
      <c r="E3156" t="s">
        <v>17</v>
      </c>
      <c r="F3156">
        <v>22.46</v>
      </c>
      <c r="G3156">
        <v>24.71</v>
      </c>
      <c r="H3156" t="s">
        <v>17</v>
      </c>
      <c r="I3156" t="str">
        <f>"064215010266"</f>
        <v>064215010266</v>
      </c>
    </row>
    <row r="3157" spans="1:9" x14ac:dyDescent="0.25">
      <c r="A3157" t="s">
        <v>2840</v>
      </c>
      <c r="B3157" t="s">
        <v>13</v>
      </c>
      <c r="C3157">
        <v>23</v>
      </c>
      <c r="D3157">
        <v>22.5</v>
      </c>
      <c r="E3157" t="s">
        <v>17</v>
      </c>
      <c r="F3157">
        <v>17.91</v>
      </c>
      <c r="G3157">
        <v>19.420000000000002</v>
      </c>
      <c r="H3157" t="s">
        <v>17</v>
      </c>
      <c r="I3157" t="str">
        <f>"060861000859"</f>
        <v>060861000859</v>
      </c>
    </row>
    <row r="3158" spans="1:9" x14ac:dyDescent="0.25">
      <c r="A3158" t="s">
        <v>2841</v>
      </c>
      <c r="B3158" t="s">
        <v>13</v>
      </c>
      <c r="C3158">
        <v>23</v>
      </c>
      <c r="D3158">
        <v>23</v>
      </c>
      <c r="E3158" t="s">
        <v>17</v>
      </c>
      <c r="F3158">
        <v>21.83</v>
      </c>
      <c r="G3158">
        <v>21.09</v>
      </c>
      <c r="H3158" t="s">
        <v>17</v>
      </c>
      <c r="I3158" t="str">
        <f>"060004005119"</f>
        <v>060004005119</v>
      </c>
    </row>
    <row r="3159" spans="1:9" x14ac:dyDescent="0.25">
      <c r="A3159" t="s">
        <v>2842</v>
      </c>
      <c r="B3159" t="s">
        <v>13</v>
      </c>
      <c r="C3159" t="str">
        <f>"0.57"</f>
        <v>0.57</v>
      </c>
      <c r="D3159" t="str">
        <f>"0.14"</f>
        <v>0.14</v>
      </c>
      <c r="E3159" t="s">
        <v>14</v>
      </c>
      <c r="F3159">
        <v>3.51</v>
      </c>
      <c r="G3159">
        <v>21.43</v>
      </c>
      <c r="H3159" t="s">
        <v>14</v>
      </c>
      <c r="I3159" t="str">
        <f>"061384012917"</f>
        <v>061384012917</v>
      </c>
    </row>
    <row r="3160" spans="1:9" x14ac:dyDescent="0.25">
      <c r="A3160" t="s">
        <v>2843</v>
      </c>
      <c r="B3160" t="s">
        <v>13</v>
      </c>
      <c r="C3160">
        <v>29.99</v>
      </c>
      <c r="D3160">
        <v>31.24</v>
      </c>
      <c r="E3160" t="s">
        <v>17</v>
      </c>
      <c r="F3160">
        <v>22.71</v>
      </c>
      <c r="G3160">
        <v>20.93</v>
      </c>
      <c r="H3160" t="s">
        <v>17</v>
      </c>
      <c r="I3160" t="str">
        <f>"061384001561"</f>
        <v>061384001561</v>
      </c>
    </row>
    <row r="3161" spans="1:9" x14ac:dyDescent="0.25">
      <c r="A3161" t="s">
        <v>2844</v>
      </c>
      <c r="B3161" t="s">
        <v>13</v>
      </c>
      <c r="C3161">
        <v>21.13</v>
      </c>
      <c r="D3161">
        <v>19.57</v>
      </c>
      <c r="E3161" t="s">
        <v>17</v>
      </c>
      <c r="F3161">
        <v>24.51</v>
      </c>
      <c r="G3161">
        <v>26.37</v>
      </c>
      <c r="H3161" t="s">
        <v>17</v>
      </c>
      <c r="I3161" t="str">
        <f>"061384001562"</f>
        <v>061384001562</v>
      </c>
    </row>
    <row r="3162" spans="1:9" x14ac:dyDescent="0.25">
      <c r="A3162" t="s">
        <v>2845</v>
      </c>
      <c r="B3162" t="s">
        <v>13</v>
      </c>
      <c r="C3162">
        <v>31.73</v>
      </c>
      <c r="D3162">
        <v>31.43</v>
      </c>
      <c r="E3162" t="s">
        <v>17</v>
      </c>
      <c r="F3162">
        <v>24.87</v>
      </c>
      <c r="G3162">
        <v>25.42</v>
      </c>
      <c r="H3162" t="s">
        <v>17</v>
      </c>
      <c r="I3162" t="str">
        <f>"060297000228"</f>
        <v>060297000228</v>
      </c>
    </row>
    <row r="3163" spans="1:9" x14ac:dyDescent="0.25">
      <c r="A3163" t="s">
        <v>2846</v>
      </c>
      <c r="B3163" t="s">
        <v>13</v>
      </c>
      <c r="C3163">
        <v>18.5</v>
      </c>
      <c r="D3163">
        <v>22</v>
      </c>
      <c r="E3163" t="s">
        <v>17</v>
      </c>
      <c r="F3163">
        <v>25.14</v>
      </c>
      <c r="G3163">
        <v>20.86</v>
      </c>
      <c r="H3163" t="s">
        <v>17</v>
      </c>
      <c r="I3163" t="str">
        <f>"064214008552"</f>
        <v>064214008552</v>
      </c>
    </row>
    <row r="3164" spans="1:9" x14ac:dyDescent="0.25">
      <c r="A3164" t="s">
        <v>2847</v>
      </c>
      <c r="B3164" t="s">
        <v>13</v>
      </c>
      <c r="C3164">
        <v>33</v>
      </c>
      <c r="D3164">
        <v>33</v>
      </c>
      <c r="E3164" t="s">
        <v>17</v>
      </c>
      <c r="F3164">
        <v>24.64</v>
      </c>
      <c r="G3164">
        <v>25.15</v>
      </c>
      <c r="H3164" t="s">
        <v>17</v>
      </c>
      <c r="I3164" t="str">
        <f>"062271003009"</f>
        <v>062271003009</v>
      </c>
    </row>
    <row r="3165" spans="1:9" x14ac:dyDescent="0.25">
      <c r="A3165" t="s">
        <v>2848</v>
      </c>
      <c r="B3165" t="s">
        <v>13</v>
      </c>
      <c r="C3165">
        <v>28</v>
      </c>
      <c r="D3165">
        <v>28</v>
      </c>
      <c r="E3165" t="s">
        <v>17</v>
      </c>
      <c r="F3165">
        <v>23.04</v>
      </c>
      <c r="G3165">
        <v>23.36</v>
      </c>
      <c r="H3165" t="s">
        <v>17</v>
      </c>
      <c r="I3165" t="str">
        <f>"062271007755"</f>
        <v>062271007755</v>
      </c>
    </row>
    <row r="3166" spans="1:9" x14ac:dyDescent="0.25">
      <c r="A3166" t="s">
        <v>2849</v>
      </c>
      <c r="B3166" t="s">
        <v>13</v>
      </c>
      <c r="C3166">
        <v>2.15</v>
      </c>
      <c r="D3166">
        <v>2.5</v>
      </c>
      <c r="E3166" t="s">
        <v>17</v>
      </c>
      <c r="F3166">
        <v>62.33</v>
      </c>
      <c r="G3166">
        <v>38</v>
      </c>
      <c r="H3166" t="s">
        <v>17</v>
      </c>
      <c r="I3166" t="str">
        <f>"063441012373"</f>
        <v>063441012373</v>
      </c>
    </row>
    <row r="3167" spans="1:9" x14ac:dyDescent="0.25">
      <c r="A3167" t="s">
        <v>2850</v>
      </c>
      <c r="B3167" t="s">
        <v>13</v>
      </c>
      <c r="C3167">
        <v>15.3</v>
      </c>
      <c r="D3167">
        <v>10.1</v>
      </c>
      <c r="E3167" t="s">
        <v>17</v>
      </c>
      <c r="F3167">
        <v>32.090000000000003</v>
      </c>
      <c r="G3167">
        <v>28.71</v>
      </c>
      <c r="H3167" t="s">
        <v>17</v>
      </c>
      <c r="I3167" t="str">
        <f>"063441011407"</f>
        <v>063441011407</v>
      </c>
    </row>
    <row r="3168" spans="1:9" x14ac:dyDescent="0.25">
      <c r="A3168" t="s">
        <v>2851</v>
      </c>
      <c r="B3168" t="s">
        <v>13</v>
      </c>
      <c r="C3168">
        <v>12.16</v>
      </c>
      <c r="D3168">
        <v>11.81</v>
      </c>
      <c r="E3168" t="s">
        <v>17</v>
      </c>
      <c r="F3168">
        <v>35.61</v>
      </c>
      <c r="G3168">
        <v>26.5</v>
      </c>
      <c r="H3168" t="s">
        <v>17</v>
      </c>
      <c r="I3168" t="str">
        <f>"063441012256"</f>
        <v>063441012256</v>
      </c>
    </row>
    <row r="3169" spans="1:9" x14ac:dyDescent="0.25">
      <c r="A3169" t="s">
        <v>2852</v>
      </c>
      <c r="B3169" t="s">
        <v>13</v>
      </c>
      <c r="C3169">
        <v>19</v>
      </c>
      <c r="D3169">
        <v>20</v>
      </c>
      <c r="E3169" t="s">
        <v>17</v>
      </c>
      <c r="F3169">
        <v>22.68</v>
      </c>
      <c r="G3169">
        <v>24.75</v>
      </c>
      <c r="H3169" t="s">
        <v>17</v>
      </c>
      <c r="I3169" t="str">
        <f>"062271003012"</f>
        <v>062271003012</v>
      </c>
    </row>
    <row r="3170" spans="1:9" x14ac:dyDescent="0.25">
      <c r="A3170" t="s">
        <v>2853</v>
      </c>
      <c r="B3170" t="s">
        <v>13</v>
      </c>
      <c r="C3170">
        <v>13.33</v>
      </c>
      <c r="D3170">
        <v>13.93</v>
      </c>
      <c r="E3170" t="s">
        <v>17</v>
      </c>
      <c r="F3170">
        <v>24.46</v>
      </c>
      <c r="G3170">
        <v>24.26</v>
      </c>
      <c r="H3170" t="s">
        <v>17</v>
      </c>
      <c r="I3170" t="str">
        <f>"062865004429"</f>
        <v>062865004429</v>
      </c>
    </row>
    <row r="3171" spans="1:9" x14ac:dyDescent="0.25">
      <c r="A3171" t="s">
        <v>2853</v>
      </c>
      <c r="B3171" t="s">
        <v>13</v>
      </c>
      <c r="C3171">
        <v>14</v>
      </c>
      <c r="D3171">
        <v>14.7</v>
      </c>
      <c r="E3171" t="s">
        <v>17</v>
      </c>
      <c r="F3171">
        <v>18.29</v>
      </c>
      <c r="G3171">
        <v>18.5</v>
      </c>
      <c r="H3171" t="s">
        <v>17</v>
      </c>
      <c r="I3171" t="str">
        <f>"063432005459"</f>
        <v>063432005459</v>
      </c>
    </row>
    <row r="3172" spans="1:9" x14ac:dyDescent="0.25">
      <c r="A3172" t="s">
        <v>2854</v>
      </c>
      <c r="B3172" t="s">
        <v>13</v>
      </c>
      <c r="C3172">
        <v>22.13</v>
      </c>
      <c r="D3172">
        <v>21</v>
      </c>
      <c r="E3172" t="s">
        <v>17</v>
      </c>
      <c r="F3172">
        <v>30.09</v>
      </c>
      <c r="G3172">
        <v>30.48</v>
      </c>
      <c r="H3172" t="s">
        <v>17</v>
      </c>
      <c r="I3172" t="str">
        <f>"062025002428"</f>
        <v>062025002428</v>
      </c>
    </row>
    <row r="3173" spans="1:9" x14ac:dyDescent="0.25">
      <c r="A3173" t="s">
        <v>2855</v>
      </c>
      <c r="B3173" t="s">
        <v>13</v>
      </c>
      <c r="C3173">
        <v>8</v>
      </c>
      <c r="D3173">
        <v>7</v>
      </c>
      <c r="E3173" t="s">
        <v>17</v>
      </c>
      <c r="F3173">
        <v>16.75</v>
      </c>
      <c r="G3173">
        <v>19.14</v>
      </c>
      <c r="H3173" t="s">
        <v>17</v>
      </c>
      <c r="I3173" t="str">
        <f>"064230006922"</f>
        <v>064230006922</v>
      </c>
    </row>
    <row r="3174" spans="1:9" x14ac:dyDescent="0.25">
      <c r="A3174" t="s">
        <v>2856</v>
      </c>
      <c r="B3174" t="s">
        <v>13</v>
      </c>
      <c r="C3174">
        <v>22.2</v>
      </c>
      <c r="D3174">
        <v>22.6</v>
      </c>
      <c r="E3174" t="s">
        <v>17</v>
      </c>
      <c r="F3174">
        <v>21.85</v>
      </c>
      <c r="G3174">
        <v>20.62</v>
      </c>
      <c r="H3174" t="s">
        <v>17</v>
      </c>
      <c r="I3174" t="str">
        <f>"061275001435"</f>
        <v>061275001435</v>
      </c>
    </row>
    <row r="3175" spans="1:9" x14ac:dyDescent="0.25">
      <c r="A3175" t="s">
        <v>2857</v>
      </c>
      <c r="B3175" t="s">
        <v>13</v>
      </c>
      <c r="C3175">
        <v>33</v>
      </c>
      <c r="D3175">
        <v>36</v>
      </c>
      <c r="E3175" t="s">
        <v>17</v>
      </c>
      <c r="F3175">
        <v>24.33</v>
      </c>
      <c r="G3175">
        <v>23.5</v>
      </c>
      <c r="H3175" t="s">
        <v>17</v>
      </c>
      <c r="I3175" t="str">
        <f>"062271003013"</f>
        <v>062271003013</v>
      </c>
    </row>
    <row r="3176" spans="1:9" x14ac:dyDescent="0.25">
      <c r="A3176" t="s">
        <v>2858</v>
      </c>
      <c r="B3176" t="s">
        <v>13</v>
      </c>
      <c r="C3176">
        <v>8</v>
      </c>
      <c r="D3176">
        <v>8</v>
      </c>
      <c r="E3176" t="s">
        <v>17</v>
      </c>
      <c r="F3176">
        <v>8.25</v>
      </c>
      <c r="G3176">
        <v>7.88</v>
      </c>
      <c r="H3176" t="s">
        <v>17</v>
      </c>
      <c r="I3176" t="str">
        <f>"061455007964"</f>
        <v>061455007964</v>
      </c>
    </row>
    <row r="3177" spans="1:9" x14ac:dyDescent="0.25">
      <c r="A3177" t="s">
        <v>2859</v>
      </c>
      <c r="B3177" t="s">
        <v>13</v>
      </c>
      <c r="C3177">
        <v>18</v>
      </c>
      <c r="D3177">
        <v>20.25</v>
      </c>
      <c r="E3177" t="s">
        <v>17</v>
      </c>
      <c r="F3177">
        <v>16.89</v>
      </c>
      <c r="G3177">
        <v>15.6</v>
      </c>
      <c r="H3177" t="s">
        <v>17</v>
      </c>
      <c r="I3177" t="str">
        <f>"063432005460"</f>
        <v>063432005460</v>
      </c>
    </row>
    <row r="3178" spans="1:9" x14ac:dyDescent="0.25">
      <c r="A3178" t="s">
        <v>2860</v>
      </c>
      <c r="B3178" t="s">
        <v>13</v>
      </c>
      <c r="C3178">
        <v>32</v>
      </c>
      <c r="D3178">
        <v>33</v>
      </c>
      <c r="E3178" t="s">
        <v>17</v>
      </c>
      <c r="F3178">
        <v>22.03</v>
      </c>
      <c r="G3178">
        <v>24.42</v>
      </c>
      <c r="H3178" t="s">
        <v>17</v>
      </c>
      <c r="I3178" t="str">
        <f>"062271003244"</f>
        <v>062271003244</v>
      </c>
    </row>
    <row r="3179" spans="1:9" x14ac:dyDescent="0.25">
      <c r="A3179" t="s">
        <v>2861</v>
      </c>
      <c r="B3179" t="s">
        <v>13</v>
      </c>
      <c r="C3179">
        <v>29</v>
      </c>
      <c r="D3179">
        <v>29.2</v>
      </c>
      <c r="E3179" t="s">
        <v>17</v>
      </c>
      <c r="F3179">
        <v>24.38</v>
      </c>
      <c r="G3179">
        <v>24.11</v>
      </c>
      <c r="H3179" t="s">
        <v>17</v>
      </c>
      <c r="I3179" t="str">
        <f>"061233001406"</f>
        <v>061233001406</v>
      </c>
    </row>
    <row r="3180" spans="1:9" x14ac:dyDescent="0.25">
      <c r="A3180" t="s">
        <v>2862</v>
      </c>
      <c r="B3180" t="s">
        <v>13</v>
      </c>
      <c r="C3180">
        <v>49.83</v>
      </c>
      <c r="D3180">
        <v>60.02</v>
      </c>
      <c r="E3180" t="s">
        <v>17</v>
      </c>
      <c r="F3180">
        <v>19.02</v>
      </c>
      <c r="G3180">
        <v>17.71</v>
      </c>
      <c r="H3180" t="s">
        <v>17</v>
      </c>
      <c r="I3180" t="str">
        <f>"062271003215"</f>
        <v>062271003215</v>
      </c>
    </row>
    <row r="3181" spans="1:9" x14ac:dyDescent="0.25">
      <c r="A3181" t="s">
        <v>2863</v>
      </c>
      <c r="B3181" t="s">
        <v>13</v>
      </c>
      <c r="C3181">
        <v>25.9</v>
      </c>
      <c r="D3181">
        <v>24</v>
      </c>
      <c r="E3181" t="s">
        <v>17</v>
      </c>
      <c r="F3181">
        <v>25.1</v>
      </c>
      <c r="G3181">
        <v>25.92</v>
      </c>
      <c r="H3181" t="s">
        <v>17</v>
      </c>
      <c r="I3181" t="str">
        <f>"061233001399"</f>
        <v>061233001399</v>
      </c>
    </row>
    <row r="3182" spans="1:9" x14ac:dyDescent="0.25">
      <c r="A3182" t="s">
        <v>2864</v>
      </c>
      <c r="B3182" t="s">
        <v>13</v>
      </c>
      <c r="C3182">
        <v>59.07</v>
      </c>
      <c r="D3182">
        <v>58.9</v>
      </c>
      <c r="E3182" t="s">
        <v>17</v>
      </c>
      <c r="F3182">
        <v>26.56</v>
      </c>
      <c r="G3182">
        <v>26.67</v>
      </c>
      <c r="H3182" t="s">
        <v>17</v>
      </c>
      <c r="I3182" t="str">
        <f>"061233009534"</f>
        <v>061233009534</v>
      </c>
    </row>
    <row r="3183" spans="1:9" x14ac:dyDescent="0.25">
      <c r="A3183" t="s">
        <v>2865</v>
      </c>
      <c r="B3183" t="s">
        <v>13</v>
      </c>
      <c r="C3183">
        <v>18.100000000000001</v>
      </c>
      <c r="D3183">
        <v>19.600000000000001</v>
      </c>
      <c r="E3183" t="s">
        <v>17</v>
      </c>
      <c r="F3183">
        <v>26.69</v>
      </c>
      <c r="G3183">
        <v>24.64</v>
      </c>
      <c r="H3183" t="s">
        <v>17</v>
      </c>
      <c r="I3183" t="str">
        <f>"062569007783"</f>
        <v>062569007783</v>
      </c>
    </row>
    <row r="3184" spans="1:9" x14ac:dyDescent="0.25">
      <c r="A3184" t="s">
        <v>2866</v>
      </c>
      <c r="B3184" t="s">
        <v>13</v>
      </c>
      <c r="C3184">
        <v>2</v>
      </c>
      <c r="D3184">
        <v>2</v>
      </c>
      <c r="E3184" t="s">
        <v>17</v>
      </c>
      <c r="F3184">
        <v>16.5</v>
      </c>
      <c r="G3184">
        <v>17</v>
      </c>
      <c r="H3184" t="s">
        <v>17</v>
      </c>
      <c r="I3184" t="str">
        <f>"061386001564"</f>
        <v>061386001564</v>
      </c>
    </row>
    <row r="3185" spans="1:9" x14ac:dyDescent="0.25">
      <c r="A3185" t="s">
        <v>2867</v>
      </c>
      <c r="B3185" t="s">
        <v>13</v>
      </c>
      <c r="C3185">
        <v>14</v>
      </c>
      <c r="D3185">
        <v>17.36</v>
      </c>
      <c r="E3185" t="s">
        <v>17</v>
      </c>
      <c r="F3185">
        <v>24.07</v>
      </c>
      <c r="G3185">
        <v>19.53</v>
      </c>
      <c r="H3185" t="s">
        <v>17</v>
      </c>
      <c r="I3185" t="str">
        <f>"063720006301"</f>
        <v>063720006301</v>
      </c>
    </row>
    <row r="3186" spans="1:9" x14ac:dyDescent="0.25">
      <c r="A3186" t="s">
        <v>2868</v>
      </c>
      <c r="B3186" t="s">
        <v>13</v>
      </c>
      <c r="C3186">
        <v>6.5</v>
      </c>
      <c r="D3186">
        <v>5</v>
      </c>
      <c r="E3186" t="s">
        <v>17</v>
      </c>
      <c r="F3186">
        <v>8.31</v>
      </c>
      <c r="G3186">
        <v>9</v>
      </c>
      <c r="H3186" t="s">
        <v>17</v>
      </c>
      <c r="I3186" t="str">
        <f>"069102011944"</f>
        <v>069102011944</v>
      </c>
    </row>
    <row r="3187" spans="1:9" x14ac:dyDescent="0.25">
      <c r="A3187" t="s">
        <v>2869</v>
      </c>
      <c r="B3187" t="s">
        <v>13</v>
      </c>
      <c r="C3187">
        <v>17.8</v>
      </c>
      <c r="D3187">
        <v>18.8</v>
      </c>
      <c r="E3187" t="s">
        <v>17</v>
      </c>
      <c r="F3187">
        <v>6.97</v>
      </c>
      <c r="G3187">
        <v>7.23</v>
      </c>
      <c r="H3187" t="s">
        <v>17</v>
      </c>
      <c r="I3187" t="str">
        <f>"069100509217"</f>
        <v>069100509217</v>
      </c>
    </row>
    <row r="3188" spans="1:9" x14ac:dyDescent="0.25">
      <c r="A3188" t="s">
        <v>2870</v>
      </c>
      <c r="B3188" t="s">
        <v>13</v>
      </c>
      <c r="C3188">
        <v>25</v>
      </c>
      <c r="D3188">
        <v>29</v>
      </c>
      <c r="E3188" t="s">
        <v>17</v>
      </c>
      <c r="F3188">
        <v>29.32</v>
      </c>
      <c r="G3188">
        <v>26.45</v>
      </c>
      <c r="H3188" t="s">
        <v>17</v>
      </c>
      <c r="I3188" t="str">
        <f>"060216000097"</f>
        <v>060216000097</v>
      </c>
    </row>
    <row r="3189" spans="1:9" x14ac:dyDescent="0.25">
      <c r="A3189" t="s">
        <v>2871</v>
      </c>
      <c r="B3189" t="s">
        <v>13</v>
      </c>
      <c r="C3189">
        <v>22</v>
      </c>
      <c r="D3189">
        <v>20</v>
      </c>
      <c r="E3189" t="s">
        <v>17</v>
      </c>
      <c r="F3189">
        <v>24.36</v>
      </c>
      <c r="G3189">
        <v>25.15</v>
      </c>
      <c r="H3189" t="s">
        <v>17</v>
      </c>
      <c r="I3189" t="str">
        <f>"060681000613"</f>
        <v>060681000613</v>
      </c>
    </row>
    <row r="3190" spans="1:9" x14ac:dyDescent="0.25">
      <c r="A3190" t="s">
        <v>2872</v>
      </c>
      <c r="B3190" t="s">
        <v>13</v>
      </c>
      <c r="C3190">
        <v>24.5</v>
      </c>
      <c r="D3190">
        <v>25.6</v>
      </c>
      <c r="E3190" t="s">
        <v>17</v>
      </c>
      <c r="F3190">
        <v>19.22</v>
      </c>
      <c r="G3190">
        <v>18.670000000000002</v>
      </c>
      <c r="H3190" t="s">
        <v>17</v>
      </c>
      <c r="I3190" t="str">
        <f>"063441005640"</f>
        <v>063441005640</v>
      </c>
    </row>
    <row r="3191" spans="1:9" x14ac:dyDescent="0.25">
      <c r="A3191" t="s">
        <v>2873</v>
      </c>
      <c r="B3191" t="s">
        <v>13</v>
      </c>
      <c r="C3191" t="s">
        <v>17</v>
      </c>
      <c r="D3191" t="s">
        <v>17</v>
      </c>
      <c r="E3191" t="s">
        <v>17</v>
      </c>
      <c r="F3191" t="s">
        <v>17</v>
      </c>
      <c r="G3191" t="s">
        <v>17</v>
      </c>
      <c r="H3191" t="s">
        <v>17</v>
      </c>
      <c r="I3191" t="str">
        <f>"062250011303"</f>
        <v>062250011303</v>
      </c>
    </row>
    <row r="3192" spans="1:9" x14ac:dyDescent="0.25">
      <c r="A3192" t="s">
        <v>2874</v>
      </c>
      <c r="B3192" t="s">
        <v>13</v>
      </c>
      <c r="C3192">
        <v>4.9000000000000004</v>
      </c>
      <c r="D3192">
        <v>5.3</v>
      </c>
      <c r="E3192" t="s">
        <v>17</v>
      </c>
      <c r="F3192">
        <v>23.47</v>
      </c>
      <c r="G3192">
        <v>23.4</v>
      </c>
      <c r="H3192" t="s">
        <v>17</v>
      </c>
      <c r="I3192" t="str">
        <f>"061389011068"</f>
        <v>061389011068</v>
      </c>
    </row>
    <row r="3193" spans="1:9" x14ac:dyDescent="0.25">
      <c r="A3193" t="s">
        <v>2875</v>
      </c>
      <c r="B3193" t="s">
        <v>13</v>
      </c>
      <c r="C3193">
        <v>76.010000000000005</v>
      </c>
      <c r="D3193">
        <v>72.05</v>
      </c>
      <c r="E3193" t="s">
        <v>17</v>
      </c>
      <c r="F3193">
        <v>26.23</v>
      </c>
      <c r="G3193">
        <v>27.47</v>
      </c>
      <c r="H3193" t="s">
        <v>17</v>
      </c>
      <c r="I3193" t="str">
        <f>"061389001570"</f>
        <v>061389001570</v>
      </c>
    </row>
    <row r="3194" spans="1:9" x14ac:dyDescent="0.25">
      <c r="A3194" t="s">
        <v>2876</v>
      </c>
      <c r="B3194" t="s">
        <v>13</v>
      </c>
      <c r="C3194">
        <v>20.9</v>
      </c>
      <c r="D3194">
        <v>19.8</v>
      </c>
      <c r="E3194" t="s">
        <v>17</v>
      </c>
      <c r="F3194">
        <v>27.32</v>
      </c>
      <c r="G3194">
        <v>27.68</v>
      </c>
      <c r="H3194" t="s">
        <v>17</v>
      </c>
      <c r="I3194" t="str">
        <f>"061389010294"</f>
        <v>061389010294</v>
      </c>
    </row>
    <row r="3195" spans="1:9" x14ac:dyDescent="0.25">
      <c r="A3195" t="s">
        <v>2877</v>
      </c>
      <c r="B3195" t="s">
        <v>13</v>
      </c>
      <c r="C3195">
        <v>7.4</v>
      </c>
      <c r="D3195">
        <v>4.8</v>
      </c>
      <c r="E3195" t="s">
        <v>17</v>
      </c>
      <c r="F3195">
        <v>15.54</v>
      </c>
      <c r="G3195">
        <v>22.08</v>
      </c>
      <c r="H3195" t="s">
        <v>17</v>
      </c>
      <c r="I3195" t="str">
        <f>"061389008280"</f>
        <v>061389008280</v>
      </c>
    </row>
    <row r="3196" spans="1:9" x14ac:dyDescent="0.25">
      <c r="A3196" t="s">
        <v>2878</v>
      </c>
      <c r="B3196" t="s">
        <v>13</v>
      </c>
      <c r="C3196">
        <v>46.31</v>
      </c>
      <c r="D3196">
        <v>45.7</v>
      </c>
      <c r="E3196" t="s">
        <v>17</v>
      </c>
      <c r="F3196">
        <v>26.8</v>
      </c>
      <c r="G3196">
        <v>26.67</v>
      </c>
      <c r="H3196" t="s">
        <v>17</v>
      </c>
      <c r="I3196" t="str">
        <f>"061389001571"</f>
        <v>061389001571</v>
      </c>
    </row>
    <row r="3197" spans="1:9" x14ac:dyDescent="0.25">
      <c r="A3197" t="s">
        <v>2879</v>
      </c>
      <c r="B3197" t="s">
        <v>13</v>
      </c>
      <c r="C3197">
        <v>116.26</v>
      </c>
      <c r="D3197">
        <v>118.81</v>
      </c>
      <c r="E3197" t="s">
        <v>17</v>
      </c>
      <c r="F3197">
        <v>22.16</v>
      </c>
      <c r="G3197">
        <v>22.57</v>
      </c>
      <c r="H3197" t="s">
        <v>17</v>
      </c>
      <c r="I3197" t="str">
        <f>"061392010301"</f>
        <v>061392010301</v>
      </c>
    </row>
    <row r="3198" spans="1:9" x14ac:dyDescent="0.25">
      <c r="A3198" t="s">
        <v>2880</v>
      </c>
      <c r="B3198" t="s">
        <v>13</v>
      </c>
      <c r="C3198" t="s">
        <v>14</v>
      </c>
      <c r="D3198" t="s">
        <v>14</v>
      </c>
      <c r="E3198" t="s">
        <v>17</v>
      </c>
      <c r="F3198" t="s">
        <v>14</v>
      </c>
      <c r="G3198" t="s">
        <v>14</v>
      </c>
      <c r="H3198" t="s">
        <v>17</v>
      </c>
      <c r="I3198" t="str">
        <f>"061392012250"</f>
        <v>061392012250</v>
      </c>
    </row>
    <row r="3199" spans="1:9" x14ac:dyDescent="0.25">
      <c r="A3199" t="s">
        <v>2881</v>
      </c>
      <c r="B3199" t="s">
        <v>13</v>
      </c>
      <c r="C3199">
        <v>118.03</v>
      </c>
      <c r="D3199">
        <v>137.16</v>
      </c>
      <c r="E3199" t="s">
        <v>17</v>
      </c>
      <c r="F3199">
        <v>22.97</v>
      </c>
      <c r="G3199">
        <v>21.79</v>
      </c>
      <c r="H3199" t="s">
        <v>17</v>
      </c>
      <c r="I3199" t="str">
        <f>"061392001589"</f>
        <v>061392001589</v>
      </c>
    </row>
    <row r="3200" spans="1:9" x14ac:dyDescent="0.25">
      <c r="A3200" t="s">
        <v>2882</v>
      </c>
      <c r="B3200" t="s">
        <v>13</v>
      </c>
      <c r="C3200">
        <v>55.21</v>
      </c>
      <c r="D3200">
        <v>58.2</v>
      </c>
      <c r="E3200" t="s">
        <v>17</v>
      </c>
      <c r="F3200">
        <v>18.489999999999998</v>
      </c>
      <c r="G3200">
        <v>18.059999999999999</v>
      </c>
      <c r="H3200" t="s">
        <v>17</v>
      </c>
      <c r="I3200" t="str">
        <f>"061392001590"</f>
        <v>061392001590</v>
      </c>
    </row>
    <row r="3201" spans="1:9" x14ac:dyDescent="0.25">
      <c r="A3201" t="s">
        <v>2883</v>
      </c>
      <c r="B3201" t="s">
        <v>13</v>
      </c>
      <c r="C3201" t="s">
        <v>14</v>
      </c>
      <c r="D3201" t="s">
        <v>14</v>
      </c>
      <c r="E3201" t="s">
        <v>17</v>
      </c>
      <c r="F3201" t="s">
        <v>14</v>
      </c>
      <c r="G3201" t="s">
        <v>14</v>
      </c>
      <c r="H3201" t="s">
        <v>17</v>
      </c>
      <c r="I3201" t="str">
        <f>"061392012213"</f>
        <v>061392012213</v>
      </c>
    </row>
    <row r="3202" spans="1:9" x14ac:dyDescent="0.25">
      <c r="A3202" t="s">
        <v>2884</v>
      </c>
      <c r="B3202" t="s">
        <v>13</v>
      </c>
      <c r="C3202" t="str">
        <f>"0.60"</f>
        <v>0.60</v>
      </c>
      <c r="D3202" t="str">
        <f>"0.60"</f>
        <v>0.60</v>
      </c>
      <c r="E3202" t="s">
        <v>17</v>
      </c>
      <c r="F3202">
        <v>40</v>
      </c>
      <c r="G3202">
        <v>16.670000000000002</v>
      </c>
      <c r="H3202" t="s">
        <v>17</v>
      </c>
      <c r="I3202" t="str">
        <f>"060756006574"</f>
        <v>060756006574</v>
      </c>
    </row>
    <row r="3203" spans="1:9" x14ac:dyDescent="0.25">
      <c r="A3203" t="s">
        <v>2885</v>
      </c>
      <c r="B3203" t="s">
        <v>13</v>
      </c>
      <c r="C3203">
        <v>1</v>
      </c>
      <c r="D3203">
        <v>1</v>
      </c>
      <c r="E3203" t="s">
        <v>17</v>
      </c>
      <c r="F3203">
        <v>11</v>
      </c>
      <c r="G3203">
        <v>11</v>
      </c>
      <c r="H3203" t="s">
        <v>17</v>
      </c>
      <c r="I3203" t="str">
        <f>"062720011332"</f>
        <v>062720011332</v>
      </c>
    </row>
    <row r="3204" spans="1:9" x14ac:dyDescent="0.25">
      <c r="A3204" t="s">
        <v>2886</v>
      </c>
      <c r="B3204" t="s">
        <v>13</v>
      </c>
      <c r="C3204">
        <v>23</v>
      </c>
      <c r="D3204">
        <v>24</v>
      </c>
      <c r="E3204" t="s">
        <v>17</v>
      </c>
      <c r="F3204">
        <v>26.83</v>
      </c>
      <c r="G3204">
        <v>27.08</v>
      </c>
      <c r="H3204" t="s">
        <v>17</v>
      </c>
      <c r="I3204" t="str">
        <f>"060243000132"</f>
        <v>060243000132</v>
      </c>
    </row>
    <row r="3205" spans="1:9" x14ac:dyDescent="0.25">
      <c r="A3205" t="s">
        <v>2886</v>
      </c>
      <c r="B3205" t="s">
        <v>13</v>
      </c>
      <c r="C3205">
        <v>19</v>
      </c>
      <c r="D3205">
        <v>20.5</v>
      </c>
      <c r="E3205" t="s">
        <v>17</v>
      </c>
      <c r="F3205">
        <v>22.53</v>
      </c>
      <c r="G3205">
        <v>21.56</v>
      </c>
      <c r="H3205" t="s">
        <v>17</v>
      </c>
      <c r="I3205" t="str">
        <f>"061551001970"</f>
        <v>061551001970</v>
      </c>
    </row>
    <row r="3206" spans="1:9" x14ac:dyDescent="0.25">
      <c r="A3206" t="s">
        <v>2886</v>
      </c>
      <c r="B3206" t="s">
        <v>13</v>
      </c>
      <c r="C3206">
        <v>22</v>
      </c>
      <c r="D3206">
        <v>22</v>
      </c>
      <c r="E3206" t="s">
        <v>17</v>
      </c>
      <c r="F3206">
        <v>18.5</v>
      </c>
      <c r="G3206">
        <v>17.73</v>
      </c>
      <c r="H3206" t="s">
        <v>17</v>
      </c>
      <c r="I3206" t="str">
        <f>"063591006149"</f>
        <v>063591006149</v>
      </c>
    </row>
    <row r="3207" spans="1:9" x14ac:dyDescent="0.25">
      <c r="A3207" t="s">
        <v>2886</v>
      </c>
      <c r="B3207" t="s">
        <v>13</v>
      </c>
      <c r="C3207">
        <v>27</v>
      </c>
      <c r="D3207">
        <v>29</v>
      </c>
      <c r="E3207" t="s">
        <v>17</v>
      </c>
      <c r="F3207">
        <v>17.48</v>
      </c>
      <c r="G3207">
        <v>17.59</v>
      </c>
      <c r="H3207" t="s">
        <v>17</v>
      </c>
      <c r="I3207" t="str">
        <f>"063060004746"</f>
        <v>063060004746</v>
      </c>
    </row>
    <row r="3208" spans="1:9" x14ac:dyDescent="0.25">
      <c r="A3208" t="s">
        <v>2886</v>
      </c>
      <c r="B3208" t="s">
        <v>13</v>
      </c>
      <c r="C3208">
        <v>38</v>
      </c>
      <c r="D3208">
        <v>38</v>
      </c>
      <c r="E3208" t="s">
        <v>17</v>
      </c>
      <c r="F3208">
        <v>26.37</v>
      </c>
      <c r="G3208">
        <v>25.84</v>
      </c>
      <c r="H3208" t="s">
        <v>17</v>
      </c>
      <c r="I3208" t="str">
        <f>"060985009354"</f>
        <v>060985009354</v>
      </c>
    </row>
    <row r="3209" spans="1:9" x14ac:dyDescent="0.25">
      <c r="A3209" t="s">
        <v>2886</v>
      </c>
      <c r="B3209" t="s">
        <v>13</v>
      </c>
      <c r="C3209">
        <v>13.5</v>
      </c>
      <c r="D3209">
        <v>15</v>
      </c>
      <c r="E3209" t="s">
        <v>17</v>
      </c>
      <c r="F3209">
        <v>28.59</v>
      </c>
      <c r="G3209">
        <v>27.47</v>
      </c>
      <c r="H3209" t="s">
        <v>17</v>
      </c>
      <c r="I3209" t="str">
        <f>"062553003825"</f>
        <v>062553003825</v>
      </c>
    </row>
    <row r="3210" spans="1:9" x14ac:dyDescent="0.25">
      <c r="A3210" t="s">
        <v>2886</v>
      </c>
      <c r="B3210" t="s">
        <v>13</v>
      </c>
      <c r="C3210">
        <v>28.63</v>
      </c>
      <c r="D3210">
        <v>30</v>
      </c>
      <c r="E3210" t="s">
        <v>14</v>
      </c>
      <c r="F3210">
        <v>21.48</v>
      </c>
      <c r="G3210">
        <v>20.87</v>
      </c>
      <c r="H3210" t="s">
        <v>14</v>
      </c>
      <c r="I3210" t="str">
        <f>"063680512884"</f>
        <v>063680512884</v>
      </c>
    </row>
    <row r="3211" spans="1:9" x14ac:dyDescent="0.25">
      <c r="A3211" t="s">
        <v>2887</v>
      </c>
      <c r="B3211" t="s">
        <v>13</v>
      </c>
      <c r="C3211">
        <v>87.2</v>
      </c>
      <c r="D3211">
        <v>87</v>
      </c>
      <c r="E3211" t="s">
        <v>17</v>
      </c>
      <c r="F3211">
        <v>25.13</v>
      </c>
      <c r="G3211">
        <v>25.46</v>
      </c>
      <c r="H3211" t="s">
        <v>17</v>
      </c>
      <c r="I3211" t="str">
        <f>"060002009279"</f>
        <v>060002009279</v>
      </c>
    </row>
    <row r="3212" spans="1:9" x14ac:dyDescent="0.25">
      <c r="A3212" t="s">
        <v>2887</v>
      </c>
      <c r="B3212" t="s">
        <v>13</v>
      </c>
      <c r="C3212">
        <v>18.27</v>
      </c>
      <c r="D3212">
        <v>19.670000000000002</v>
      </c>
      <c r="E3212" t="s">
        <v>17</v>
      </c>
      <c r="F3212">
        <v>19.59</v>
      </c>
      <c r="G3212">
        <v>18.149999999999999</v>
      </c>
      <c r="H3212" t="s">
        <v>17</v>
      </c>
      <c r="I3212" t="str">
        <f>"061182001300"</f>
        <v>061182001300</v>
      </c>
    </row>
    <row r="3213" spans="1:9" x14ac:dyDescent="0.25">
      <c r="A3213" t="s">
        <v>2887</v>
      </c>
      <c r="B3213" t="s">
        <v>13</v>
      </c>
      <c r="C3213">
        <v>55.83</v>
      </c>
      <c r="D3213">
        <v>60.5</v>
      </c>
      <c r="E3213" t="s">
        <v>17</v>
      </c>
      <c r="F3213">
        <v>20.63</v>
      </c>
      <c r="G3213">
        <v>19.8</v>
      </c>
      <c r="H3213" t="s">
        <v>17</v>
      </c>
      <c r="I3213" t="str">
        <f>"060133201985"</f>
        <v>060133201985</v>
      </c>
    </row>
    <row r="3214" spans="1:9" x14ac:dyDescent="0.25">
      <c r="A3214" t="s">
        <v>2887</v>
      </c>
      <c r="B3214" t="s">
        <v>13</v>
      </c>
      <c r="C3214">
        <v>55.18</v>
      </c>
      <c r="D3214">
        <v>55.1</v>
      </c>
      <c r="E3214" t="s">
        <v>17</v>
      </c>
      <c r="F3214">
        <v>23.67</v>
      </c>
      <c r="G3214">
        <v>24.25</v>
      </c>
      <c r="H3214" t="s">
        <v>17</v>
      </c>
      <c r="I3214" t="str">
        <f>"063660010326"</f>
        <v>063660010326</v>
      </c>
    </row>
    <row r="3215" spans="1:9" x14ac:dyDescent="0.25">
      <c r="A3215" t="s">
        <v>2887</v>
      </c>
      <c r="B3215" t="s">
        <v>13</v>
      </c>
      <c r="C3215">
        <v>87.1</v>
      </c>
      <c r="D3215">
        <v>83.17</v>
      </c>
      <c r="E3215" t="s">
        <v>17</v>
      </c>
      <c r="F3215">
        <v>28.63</v>
      </c>
      <c r="G3215">
        <v>28.84</v>
      </c>
      <c r="H3215" t="s">
        <v>17</v>
      </c>
      <c r="I3215" t="str">
        <f>"064015006638"</f>
        <v>064015006638</v>
      </c>
    </row>
    <row r="3216" spans="1:9" x14ac:dyDescent="0.25">
      <c r="A3216" t="s">
        <v>2887</v>
      </c>
      <c r="B3216" t="s">
        <v>13</v>
      </c>
      <c r="C3216">
        <v>83.21</v>
      </c>
      <c r="D3216">
        <v>78.25</v>
      </c>
      <c r="E3216" t="s">
        <v>17</v>
      </c>
      <c r="F3216">
        <v>23.87</v>
      </c>
      <c r="G3216">
        <v>25.23</v>
      </c>
      <c r="H3216" t="s">
        <v>17</v>
      </c>
      <c r="I3216" t="str">
        <f>"061954002344"</f>
        <v>061954002344</v>
      </c>
    </row>
    <row r="3217" spans="1:9" x14ac:dyDescent="0.25">
      <c r="A3217" t="s">
        <v>2888</v>
      </c>
      <c r="B3217" t="s">
        <v>13</v>
      </c>
      <c r="C3217">
        <v>1.5</v>
      </c>
      <c r="D3217">
        <v>2</v>
      </c>
      <c r="E3217" t="s">
        <v>17</v>
      </c>
      <c r="F3217">
        <v>7.33</v>
      </c>
      <c r="G3217">
        <v>6.5</v>
      </c>
      <c r="H3217" t="s">
        <v>17</v>
      </c>
      <c r="I3217" t="str">
        <f>"060016009660"</f>
        <v>060016009660</v>
      </c>
    </row>
    <row r="3218" spans="1:9" x14ac:dyDescent="0.25">
      <c r="A3218" t="s">
        <v>2889</v>
      </c>
      <c r="B3218" t="s">
        <v>13</v>
      </c>
      <c r="C3218">
        <v>10.3</v>
      </c>
      <c r="D3218">
        <v>10.6</v>
      </c>
      <c r="E3218" t="s">
        <v>17</v>
      </c>
      <c r="F3218">
        <v>20.100000000000001</v>
      </c>
      <c r="G3218">
        <v>22.74</v>
      </c>
      <c r="H3218" t="s">
        <v>17</v>
      </c>
      <c r="I3218" t="str">
        <f>"062409003627"</f>
        <v>062409003627</v>
      </c>
    </row>
    <row r="3219" spans="1:9" x14ac:dyDescent="0.25">
      <c r="A3219" t="s">
        <v>2890</v>
      </c>
      <c r="B3219" t="s">
        <v>13</v>
      </c>
      <c r="C3219">
        <v>16.399999999999999</v>
      </c>
      <c r="D3219">
        <v>18.600000000000001</v>
      </c>
      <c r="E3219" t="s">
        <v>17</v>
      </c>
      <c r="F3219">
        <v>27.62</v>
      </c>
      <c r="G3219">
        <v>22.74</v>
      </c>
      <c r="H3219" t="s">
        <v>17</v>
      </c>
      <c r="I3219" t="str">
        <f>"060001609090"</f>
        <v>060001609090</v>
      </c>
    </row>
    <row r="3220" spans="1:9" x14ac:dyDescent="0.25">
      <c r="A3220" t="s">
        <v>2891</v>
      </c>
      <c r="B3220" t="s">
        <v>13</v>
      </c>
      <c r="C3220">
        <v>40.520000000000003</v>
      </c>
      <c r="D3220">
        <v>37.17</v>
      </c>
      <c r="E3220" t="s">
        <v>17</v>
      </c>
      <c r="F3220">
        <v>25.59</v>
      </c>
      <c r="G3220">
        <v>26.9</v>
      </c>
      <c r="H3220" t="s">
        <v>17</v>
      </c>
      <c r="I3220" t="str">
        <f>"062637003947"</f>
        <v>062637003947</v>
      </c>
    </row>
    <row r="3221" spans="1:9" x14ac:dyDescent="0.25">
      <c r="A3221" t="s">
        <v>2891</v>
      </c>
      <c r="B3221" t="s">
        <v>13</v>
      </c>
      <c r="C3221" t="s">
        <v>14</v>
      </c>
      <c r="D3221" t="s">
        <v>14</v>
      </c>
      <c r="E3221" t="s">
        <v>17</v>
      </c>
      <c r="F3221" t="s">
        <v>14</v>
      </c>
      <c r="G3221" t="s">
        <v>14</v>
      </c>
      <c r="H3221" t="s">
        <v>17</v>
      </c>
      <c r="I3221" t="str">
        <f>"063680501990"</f>
        <v>063680501990</v>
      </c>
    </row>
    <row r="3222" spans="1:9" x14ac:dyDescent="0.25">
      <c r="A3222" t="s">
        <v>2891</v>
      </c>
      <c r="B3222" t="s">
        <v>13</v>
      </c>
      <c r="C3222">
        <v>33.67</v>
      </c>
      <c r="D3222">
        <v>33.700000000000003</v>
      </c>
      <c r="E3222" t="s">
        <v>17</v>
      </c>
      <c r="F3222">
        <v>20.11</v>
      </c>
      <c r="G3222">
        <v>21.69</v>
      </c>
      <c r="H3222" t="s">
        <v>17</v>
      </c>
      <c r="I3222" t="str">
        <f>"060360000272"</f>
        <v>060360000272</v>
      </c>
    </row>
    <row r="3223" spans="1:9" x14ac:dyDescent="0.25">
      <c r="A3223" t="s">
        <v>2892</v>
      </c>
      <c r="B3223" t="s">
        <v>13</v>
      </c>
      <c r="C3223">
        <v>25</v>
      </c>
      <c r="D3223">
        <v>24.5</v>
      </c>
      <c r="E3223" t="s">
        <v>17</v>
      </c>
      <c r="F3223">
        <v>26.72</v>
      </c>
      <c r="G3223">
        <v>26</v>
      </c>
      <c r="H3223" t="s">
        <v>17</v>
      </c>
      <c r="I3223" t="str">
        <f>"064119011400"</f>
        <v>064119011400</v>
      </c>
    </row>
    <row r="3224" spans="1:9" x14ac:dyDescent="0.25">
      <c r="A3224" t="s">
        <v>2893</v>
      </c>
      <c r="B3224" t="s">
        <v>13</v>
      </c>
      <c r="C3224">
        <v>22</v>
      </c>
      <c r="D3224">
        <v>22</v>
      </c>
      <c r="E3224" t="s">
        <v>17</v>
      </c>
      <c r="F3224">
        <v>23.68</v>
      </c>
      <c r="G3224">
        <v>24.64</v>
      </c>
      <c r="H3224" t="s">
        <v>17</v>
      </c>
      <c r="I3224" t="str">
        <f>"060133203711"</f>
        <v>060133203711</v>
      </c>
    </row>
    <row r="3225" spans="1:9" x14ac:dyDescent="0.25">
      <c r="A3225" t="s">
        <v>2894</v>
      </c>
      <c r="B3225" t="s">
        <v>13</v>
      </c>
      <c r="C3225">
        <v>2</v>
      </c>
      <c r="D3225">
        <v>2</v>
      </c>
      <c r="E3225" t="s">
        <v>17</v>
      </c>
      <c r="F3225">
        <v>24</v>
      </c>
      <c r="G3225">
        <v>24</v>
      </c>
      <c r="H3225" t="s">
        <v>17</v>
      </c>
      <c r="I3225" t="str">
        <f>"063660012164"</f>
        <v>063660012164</v>
      </c>
    </row>
    <row r="3226" spans="1:9" x14ac:dyDescent="0.25">
      <c r="A3226" t="s">
        <v>2895</v>
      </c>
      <c r="B3226" t="s">
        <v>13</v>
      </c>
      <c r="C3226">
        <v>40</v>
      </c>
      <c r="D3226">
        <v>40.4</v>
      </c>
      <c r="E3226" t="s">
        <v>17</v>
      </c>
      <c r="F3226">
        <v>28.8</v>
      </c>
      <c r="G3226">
        <v>28.04</v>
      </c>
      <c r="H3226" t="s">
        <v>17</v>
      </c>
      <c r="I3226" t="str">
        <f>"063386003468"</f>
        <v>063386003468</v>
      </c>
    </row>
    <row r="3227" spans="1:9" x14ac:dyDescent="0.25">
      <c r="A3227" t="s">
        <v>2896</v>
      </c>
      <c r="B3227" t="s">
        <v>13</v>
      </c>
      <c r="C3227">
        <v>34.4</v>
      </c>
      <c r="D3227">
        <v>34.4</v>
      </c>
      <c r="E3227" t="s">
        <v>17</v>
      </c>
      <c r="F3227">
        <v>19.39</v>
      </c>
      <c r="G3227">
        <v>19.739999999999998</v>
      </c>
      <c r="H3227" t="s">
        <v>17</v>
      </c>
      <c r="I3227" t="str">
        <f>"060133201984"</f>
        <v>060133201984</v>
      </c>
    </row>
    <row r="3228" spans="1:9" x14ac:dyDescent="0.25">
      <c r="A3228" t="s">
        <v>2897</v>
      </c>
      <c r="B3228" t="s">
        <v>13</v>
      </c>
      <c r="C3228">
        <v>33.92</v>
      </c>
      <c r="D3228">
        <v>34.18</v>
      </c>
      <c r="E3228" t="s">
        <v>17</v>
      </c>
      <c r="F3228">
        <v>29.42</v>
      </c>
      <c r="G3228">
        <v>29.37</v>
      </c>
      <c r="H3228" t="s">
        <v>17</v>
      </c>
      <c r="I3228" t="str">
        <f>"064098008668"</f>
        <v>064098008668</v>
      </c>
    </row>
    <row r="3229" spans="1:9" x14ac:dyDescent="0.25">
      <c r="A3229" t="s">
        <v>2898</v>
      </c>
      <c r="B3229" t="s">
        <v>13</v>
      </c>
      <c r="C3229">
        <v>5.47</v>
      </c>
      <c r="D3229">
        <v>4.4800000000000004</v>
      </c>
      <c r="E3229" t="s">
        <v>17</v>
      </c>
      <c r="F3229">
        <v>21.94</v>
      </c>
      <c r="G3229">
        <v>25.22</v>
      </c>
      <c r="H3229" t="s">
        <v>17</v>
      </c>
      <c r="I3229" t="str">
        <f>"063488009629"</f>
        <v>063488009629</v>
      </c>
    </row>
    <row r="3230" spans="1:9" x14ac:dyDescent="0.25">
      <c r="A3230" t="s">
        <v>2899</v>
      </c>
      <c r="B3230" t="s">
        <v>13</v>
      </c>
      <c r="C3230">
        <v>28.21</v>
      </c>
      <c r="D3230">
        <v>31.06</v>
      </c>
      <c r="E3230" t="s">
        <v>17</v>
      </c>
      <c r="F3230">
        <v>27.08</v>
      </c>
      <c r="G3230">
        <v>24.15</v>
      </c>
      <c r="H3230" t="s">
        <v>17</v>
      </c>
      <c r="I3230" t="str">
        <f>"060297000229"</f>
        <v>060297000229</v>
      </c>
    </row>
    <row r="3231" spans="1:9" x14ac:dyDescent="0.25">
      <c r="A3231" t="s">
        <v>2900</v>
      </c>
      <c r="B3231" t="s">
        <v>13</v>
      </c>
      <c r="C3231">
        <v>51</v>
      </c>
      <c r="D3231">
        <v>51.5</v>
      </c>
      <c r="E3231" t="s">
        <v>17</v>
      </c>
      <c r="F3231">
        <v>24.1</v>
      </c>
      <c r="G3231">
        <v>24.14</v>
      </c>
      <c r="H3231" t="s">
        <v>17</v>
      </c>
      <c r="I3231" t="str">
        <f>"062271003014"</f>
        <v>062271003014</v>
      </c>
    </row>
    <row r="3232" spans="1:9" x14ac:dyDescent="0.25">
      <c r="A3232" t="s">
        <v>2901</v>
      </c>
      <c r="B3232" t="s">
        <v>13</v>
      </c>
      <c r="C3232">
        <v>18</v>
      </c>
      <c r="D3232">
        <v>17</v>
      </c>
      <c r="E3232" t="s">
        <v>17</v>
      </c>
      <c r="F3232">
        <v>27.44</v>
      </c>
      <c r="G3232">
        <v>23.12</v>
      </c>
      <c r="H3232" t="s">
        <v>17</v>
      </c>
      <c r="I3232" t="str">
        <f>"063255005030"</f>
        <v>063255005030</v>
      </c>
    </row>
    <row r="3233" spans="1:9" x14ac:dyDescent="0.25">
      <c r="A3233" t="s">
        <v>2902</v>
      </c>
      <c r="B3233" t="s">
        <v>13</v>
      </c>
      <c r="C3233">
        <v>33</v>
      </c>
      <c r="D3233">
        <v>37.47</v>
      </c>
      <c r="E3233" t="s">
        <v>17</v>
      </c>
      <c r="F3233">
        <v>20.48</v>
      </c>
      <c r="G3233">
        <v>17.88</v>
      </c>
      <c r="H3233" t="s">
        <v>17</v>
      </c>
      <c r="I3233" t="str">
        <f>"069102311839"</f>
        <v>069102311839</v>
      </c>
    </row>
    <row r="3234" spans="1:9" x14ac:dyDescent="0.25">
      <c r="A3234" t="s">
        <v>2903</v>
      </c>
      <c r="B3234" t="s">
        <v>13</v>
      </c>
      <c r="C3234">
        <v>24.7</v>
      </c>
      <c r="D3234">
        <v>23.7</v>
      </c>
      <c r="E3234" t="s">
        <v>17</v>
      </c>
      <c r="F3234">
        <v>19.55</v>
      </c>
      <c r="G3234">
        <v>19.7</v>
      </c>
      <c r="H3234" t="s">
        <v>17</v>
      </c>
      <c r="I3234" t="str">
        <f>"062937004528"</f>
        <v>062937004528</v>
      </c>
    </row>
    <row r="3235" spans="1:9" x14ac:dyDescent="0.25">
      <c r="A3235" t="s">
        <v>2904</v>
      </c>
      <c r="B3235" t="s">
        <v>13</v>
      </c>
      <c r="C3235">
        <v>26.1</v>
      </c>
      <c r="D3235">
        <v>27.6</v>
      </c>
      <c r="E3235" t="s">
        <v>17</v>
      </c>
      <c r="F3235">
        <v>22.22</v>
      </c>
      <c r="G3235">
        <v>21.49</v>
      </c>
      <c r="H3235" t="s">
        <v>17</v>
      </c>
      <c r="I3235" t="str">
        <f>"060720000667"</f>
        <v>060720000667</v>
      </c>
    </row>
    <row r="3236" spans="1:9" x14ac:dyDescent="0.25">
      <c r="A3236" t="s">
        <v>2905</v>
      </c>
      <c r="B3236" t="s">
        <v>13</v>
      </c>
      <c r="C3236">
        <v>38.299999999999997</v>
      </c>
      <c r="D3236">
        <v>35.5</v>
      </c>
      <c r="E3236" t="s">
        <v>17</v>
      </c>
      <c r="F3236">
        <v>24.88</v>
      </c>
      <c r="G3236">
        <v>26.25</v>
      </c>
      <c r="H3236" t="s">
        <v>17</v>
      </c>
      <c r="I3236" t="str">
        <f>"061440000488"</f>
        <v>061440000488</v>
      </c>
    </row>
    <row r="3237" spans="1:9" x14ac:dyDescent="0.25">
      <c r="A3237" t="s">
        <v>2906</v>
      </c>
      <c r="B3237" t="s">
        <v>13</v>
      </c>
      <c r="C3237">
        <v>7</v>
      </c>
      <c r="D3237">
        <v>5</v>
      </c>
      <c r="E3237" t="s">
        <v>17</v>
      </c>
      <c r="F3237">
        <v>16.71</v>
      </c>
      <c r="G3237">
        <v>22</v>
      </c>
      <c r="H3237" t="s">
        <v>17</v>
      </c>
      <c r="I3237" t="str">
        <f>"060837012233"</f>
        <v>060837012233</v>
      </c>
    </row>
    <row r="3238" spans="1:9" x14ac:dyDescent="0.25">
      <c r="A3238" t="s">
        <v>2907</v>
      </c>
      <c r="B3238" t="s">
        <v>13</v>
      </c>
      <c r="C3238">
        <v>8</v>
      </c>
      <c r="D3238">
        <v>9.25</v>
      </c>
      <c r="E3238" t="s">
        <v>17</v>
      </c>
      <c r="F3238">
        <v>26.13</v>
      </c>
      <c r="G3238">
        <v>24</v>
      </c>
      <c r="H3238" t="s">
        <v>17</v>
      </c>
      <c r="I3238" t="str">
        <f>"061398001605"</f>
        <v>061398001605</v>
      </c>
    </row>
    <row r="3239" spans="1:9" x14ac:dyDescent="0.25">
      <c r="A3239" t="s">
        <v>2908</v>
      </c>
      <c r="B3239" t="s">
        <v>13</v>
      </c>
      <c r="C3239">
        <v>9.15</v>
      </c>
      <c r="D3239">
        <v>9.25</v>
      </c>
      <c r="E3239" t="s">
        <v>17</v>
      </c>
      <c r="F3239">
        <v>21.09</v>
      </c>
      <c r="G3239">
        <v>20.65</v>
      </c>
      <c r="H3239" t="s">
        <v>17</v>
      </c>
      <c r="I3239" t="str">
        <f>"061398009368"</f>
        <v>061398009368</v>
      </c>
    </row>
    <row r="3240" spans="1:9" x14ac:dyDescent="0.25">
      <c r="A3240" t="s">
        <v>2909</v>
      </c>
      <c r="B3240" t="s">
        <v>13</v>
      </c>
      <c r="C3240">
        <v>10.49</v>
      </c>
      <c r="D3240">
        <v>11.34</v>
      </c>
      <c r="E3240" t="s">
        <v>17</v>
      </c>
      <c r="F3240">
        <v>19.829999999999998</v>
      </c>
      <c r="G3240">
        <v>21.16</v>
      </c>
      <c r="H3240" t="s">
        <v>17</v>
      </c>
      <c r="I3240" t="str">
        <f>"063075011002"</f>
        <v>063075011002</v>
      </c>
    </row>
    <row r="3241" spans="1:9" x14ac:dyDescent="0.25">
      <c r="A3241" t="s">
        <v>2910</v>
      </c>
      <c r="B3241" t="s">
        <v>13</v>
      </c>
      <c r="C3241">
        <v>18.309999999999999</v>
      </c>
      <c r="D3241">
        <v>18.309999999999999</v>
      </c>
      <c r="E3241" t="s">
        <v>17</v>
      </c>
      <c r="F3241">
        <v>15.78</v>
      </c>
      <c r="G3241">
        <v>16.71</v>
      </c>
      <c r="H3241" t="s">
        <v>17</v>
      </c>
      <c r="I3241" t="str">
        <f>"061401012023"</f>
        <v>061401012023</v>
      </c>
    </row>
    <row r="3242" spans="1:9" x14ac:dyDescent="0.25">
      <c r="A3242" t="s">
        <v>2911</v>
      </c>
      <c r="B3242" t="s">
        <v>13</v>
      </c>
      <c r="C3242">
        <v>5.5</v>
      </c>
      <c r="D3242">
        <v>4.5</v>
      </c>
      <c r="E3242" t="s">
        <v>17</v>
      </c>
      <c r="F3242">
        <v>12</v>
      </c>
      <c r="G3242">
        <v>15.33</v>
      </c>
      <c r="H3242" t="s">
        <v>17</v>
      </c>
      <c r="I3242" t="str">
        <f>"061401001606"</f>
        <v>061401001606</v>
      </c>
    </row>
    <row r="3243" spans="1:9" x14ac:dyDescent="0.25">
      <c r="A3243" t="s">
        <v>2912</v>
      </c>
      <c r="B3243" t="s">
        <v>13</v>
      </c>
      <c r="C3243">
        <v>20</v>
      </c>
      <c r="D3243">
        <v>18</v>
      </c>
      <c r="E3243" t="s">
        <v>17</v>
      </c>
      <c r="F3243">
        <v>26.9</v>
      </c>
      <c r="G3243">
        <v>24.72</v>
      </c>
      <c r="H3243" t="s">
        <v>17</v>
      </c>
      <c r="I3243" t="str">
        <f>"061455007286"</f>
        <v>061455007286</v>
      </c>
    </row>
    <row r="3244" spans="1:9" x14ac:dyDescent="0.25">
      <c r="A3244" t="s">
        <v>2913</v>
      </c>
      <c r="B3244" t="s">
        <v>13</v>
      </c>
      <c r="C3244">
        <v>1</v>
      </c>
      <c r="D3244">
        <v>1</v>
      </c>
      <c r="E3244" t="s">
        <v>17</v>
      </c>
      <c r="F3244">
        <v>11</v>
      </c>
      <c r="G3244">
        <v>8</v>
      </c>
      <c r="H3244" t="s">
        <v>17</v>
      </c>
      <c r="I3244" t="str">
        <f>"061404001607"</f>
        <v>061404001607</v>
      </c>
    </row>
    <row r="3245" spans="1:9" x14ac:dyDescent="0.25">
      <c r="A3245" t="s">
        <v>2914</v>
      </c>
      <c r="B3245" t="s">
        <v>13</v>
      </c>
      <c r="C3245">
        <v>33.18</v>
      </c>
      <c r="D3245">
        <v>32.17</v>
      </c>
      <c r="E3245" t="s">
        <v>17</v>
      </c>
      <c r="F3245">
        <v>15.46</v>
      </c>
      <c r="G3245">
        <v>16.04</v>
      </c>
      <c r="H3245" t="s">
        <v>17</v>
      </c>
      <c r="I3245" t="str">
        <f>"061407001610"</f>
        <v>061407001610</v>
      </c>
    </row>
    <row r="3246" spans="1:9" x14ac:dyDescent="0.25">
      <c r="A3246" t="s">
        <v>2915</v>
      </c>
      <c r="B3246" t="s">
        <v>13</v>
      </c>
      <c r="C3246">
        <v>25.22</v>
      </c>
      <c r="D3246">
        <v>24.96</v>
      </c>
      <c r="E3246" t="s">
        <v>17</v>
      </c>
      <c r="F3246">
        <v>16.489999999999998</v>
      </c>
      <c r="G3246">
        <v>17.55</v>
      </c>
      <c r="H3246" t="s">
        <v>17</v>
      </c>
      <c r="I3246" t="str">
        <f>"061407001609"</f>
        <v>061407001609</v>
      </c>
    </row>
    <row r="3247" spans="1:9" x14ac:dyDescent="0.25">
      <c r="A3247" t="s">
        <v>2916</v>
      </c>
      <c r="B3247" t="s">
        <v>13</v>
      </c>
      <c r="C3247">
        <v>17.5</v>
      </c>
      <c r="D3247">
        <v>18</v>
      </c>
      <c r="E3247" t="s">
        <v>17</v>
      </c>
      <c r="F3247">
        <v>20.34</v>
      </c>
      <c r="G3247">
        <v>20.89</v>
      </c>
      <c r="H3247" t="s">
        <v>17</v>
      </c>
      <c r="I3247" t="str">
        <f>"063682008198"</f>
        <v>063682008198</v>
      </c>
    </row>
    <row r="3248" spans="1:9" x14ac:dyDescent="0.25">
      <c r="A3248" t="s">
        <v>2917</v>
      </c>
      <c r="B3248" t="s">
        <v>13</v>
      </c>
      <c r="C3248" t="s">
        <v>17</v>
      </c>
      <c r="D3248" t="s">
        <v>17</v>
      </c>
      <c r="E3248" t="s">
        <v>17</v>
      </c>
      <c r="F3248" t="s">
        <v>17</v>
      </c>
      <c r="G3248" t="s">
        <v>17</v>
      </c>
      <c r="H3248" t="s">
        <v>17</v>
      </c>
      <c r="I3248" t="str">
        <f>"060015908395"</f>
        <v>060015908395</v>
      </c>
    </row>
    <row r="3249" spans="1:9" x14ac:dyDescent="0.25">
      <c r="A3249" t="s">
        <v>2918</v>
      </c>
      <c r="B3249" t="s">
        <v>13</v>
      </c>
      <c r="C3249">
        <v>7.55</v>
      </c>
      <c r="D3249">
        <v>8</v>
      </c>
      <c r="E3249" t="s">
        <v>17</v>
      </c>
      <c r="F3249">
        <v>19.47</v>
      </c>
      <c r="G3249">
        <v>19.38</v>
      </c>
      <c r="H3249" t="s">
        <v>17</v>
      </c>
      <c r="I3249" t="str">
        <f>"060015901615"</f>
        <v>060015901615</v>
      </c>
    </row>
    <row r="3250" spans="1:9" x14ac:dyDescent="0.25">
      <c r="A3250" t="s">
        <v>2919</v>
      </c>
      <c r="B3250" t="s">
        <v>13</v>
      </c>
      <c r="C3250">
        <v>39.51</v>
      </c>
      <c r="D3250">
        <v>39.5</v>
      </c>
      <c r="E3250" t="s">
        <v>17</v>
      </c>
      <c r="F3250">
        <v>21.51</v>
      </c>
      <c r="G3250">
        <v>21.82</v>
      </c>
      <c r="H3250" t="s">
        <v>17</v>
      </c>
      <c r="I3250" t="str">
        <f>"061455001731"</f>
        <v>061455001731</v>
      </c>
    </row>
    <row r="3251" spans="1:9" x14ac:dyDescent="0.25">
      <c r="A3251" t="s">
        <v>2920</v>
      </c>
      <c r="B3251" t="s">
        <v>13</v>
      </c>
      <c r="C3251">
        <v>2.4</v>
      </c>
      <c r="D3251">
        <v>2.4</v>
      </c>
      <c r="E3251" t="s">
        <v>17</v>
      </c>
      <c r="F3251">
        <v>12.08</v>
      </c>
      <c r="G3251">
        <v>12.5</v>
      </c>
      <c r="H3251" t="s">
        <v>17</v>
      </c>
      <c r="I3251" t="str">
        <f>"061413001616"</f>
        <v>061413001616</v>
      </c>
    </row>
    <row r="3252" spans="1:9" x14ac:dyDescent="0.25">
      <c r="A3252" t="s">
        <v>2921</v>
      </c>
      <c r="B3252" t="s">
        <v>13</v>
      </c>
      <c r="C3252" t="s">
        <v>17</v>
      </c>
      <c r="D3252" t="s">
        <v>17</v>
      </c>
      <c r="E3252" t="s">
        <v>17</v>
      </c>
      <c r="F3252" t="s">
        <v>17</v>
      </c>
      <c r="G3252" t="s">
        <v>17</v>
      </c>
      <c r="H3252" t="s">
        <v>17</v>
      </c>
      <c r="I3252" t="str">
        <f>"060001111292"</f>
        <v>060001111292</v>
      </c>
    </row>
    <row r="3253" spans="1:9" x14ac:dyDescent="0.25">
      <c r="A3253" t="s">
        <v>2922</v>
      </c>
      <c r="B3253" t="s">
        <v>13</v>
      </c>
      <c r="C3253">
        <v>1.1499999999999999</v>
      </c>
      <c r="D3253">
        <v>1.6</v>
      </c>
      <c r="E3253" t="s">
        <v>17</v>
      </c>
      <c r="F3253">
        <v>24.35</v>
      </c>
      <c r="G3253">
        <v>15.63</v>
      </c>
      <c r="H3253" t="s">
        <v>17</v>
      </c>
      <c r="I3253" t="str">
        <f>"060001109066"</f>
        <v>060001109066</v>
      </c>
    </row>
    <row r="3254" spans="1:9" x14ac:dyDescent="0.25">
      <c r="A3254" t="s">
        <v>2923</v>
      </c>
      <c r="B3254" t="s">
        <v>13</v>
      </c>
      <c r="C3254">
        <v>20</v>
      </c>
      <c r="D3254">
        <v>21</v>
      </c>
      <c r="E3254" t="s">
        <v>17</v>
      </c>
      <c r="F3254">
        <v>30</v>
      </c>
      <c r="G3254">
        <v>27.9</v>
      </c>
      <c r="H3254" t="s">
        <v>17</v>
      </c>
      <c r="I3254" t="str">
        <f>"060903000909"</f>
        <v>060903000909</v>
      </c>
    </row>
    <row r="3255" spans="1:9" x14ac:dyDescent="0.25">
      <c r="A3255" t="s">
        <v>2924</v>
      </c>
      <c r="B3255" t="s">
        <v>13</v>
      </c>
      <c r="C3255" t="s">
        <v>14</v>
      </c>
      <c r="D3255">
        <v>12.75</v>
      </c>
      <c r="E3255" t="s">
        <v>17</v>
      </c>
      <c r="F3255" t="s">
        <v>14</v>
      </c>
      <c r="G3255">
        <v>16.39</v>
      </c>
      <c r="H3255" t="s">
        <v>17</v>
      </c>
      <c r="I3255" t="str">
        <f>"061416001617"</f>
        <v>061416001617</v>
      </c>
    </row>
    <row r="3256" spans="1:9" x14ac:dyDescent="0.25">
      <c r="A3256" t="s">
        <v>2924</v>
      </c>
      <c r="B3256" t="s">
        <v>13</v>
      </c>
      <c r="C3256" t="s">
        <v>17</v>
      </c>
      <c r="D3256" t="s">
        <v>14</v>
      </c>
      <c r="E3256" t="s">
        <v>14</v>
      </c>
      <c r="F3256" t="s">
        <v>17</v>
      </c>
      <c r="G3256" t="s">
        <v>14</v>
      </c>
      <c r="H3256" t="s">
        <v>14</v>
      </c>
      <c r="I3256" t="str">
        <f>"060142001617"</f>
        <v>060142001617</v>
      </c>
    </row>
    <row r="3257" spans="1:9" x14ac:dyDescent="0.25">
      <c r="A3257" t="s">
        <v>2925</v>
      </c>
      <c r="B3257" t="s">
        <v>13</v>
      </c>
      <c r="C3257">
        <v>38</v>
      </c>
      <c r="D3257">
        <v>36.799999999999997</v>
      </c>
      <c r="E3257" t="s">
        <v>17</v>
      </c>
      <c r="F3257">
        <v>21.63</v>
      </c>
      <c r="G3257">
        <v>22.72</v>
      </c>
      <c r="H3257" t="s">
        <v>17</v>
      </c>
      <c r="I3257" t="str">
        <f>"061419001620"</f>
        <v>061419001620</v>
      </c>
    </row>
    <row r="3258" spans="1:9" x14ac:dyDescent="0.25">
      <c r="A3258" t="s">
        <v>2926</v>
      </c>
      <c r="B3258" t="s">
        <v>13</v>
      </c>
      <c r="C3258">
        <v>19</v>
      </c>
      <c r="D3258">
        <v>7</v>
      </c>
      <c r="E3258" t="s">
        <v>14</v>
      </c>
      <c r="F3258">
        <v>23.11</v>
      </c>
      <c r="G3258">
        <v>24.43</v>
      </c>
      <c r="H3258" t="s">
        <v>14</v>
      </c>
      <c r="I3258" t="str">
        <f>"069102712959"</f>
        <v>069102712959</v>
      </c>
    </row>
    <row r="3259" spans="1:9" x14ac:dyDescent="0.25">
      <c r="A3259" t="s">
        <v>2927</v>
      </c>
      <c r="B3259" t="s">
        <v>13</v>
      </c>
      <c r="C3259" t="s">
        <v>17</v>
      </c>
      <c r="D3259" t="s">
        <v>17</v>
      </c>
      <c r="E3259" t="s">
        <v>17</v>
      </c>
      <c r="F3259" t="s">
        <v>17</v>
      </c>
      <c r="G3259" t="s">
        <v>17</v>
      </c>
      <c r="H3259" t="s">
        <v>17</v>
      </c>
      <c r="I3259" t="str">
        <f>"060008211008"</f>
        <v>060008211008</v>
      </c>
    </row>
    <row r="3260" spans="1:9" x14ac:dyDescent="0.25">
      <c r="A3260" t="s">
        <v>2928</v>
      </c>
      <c r="B3260" t="s">
        <v>13</v>
      </c>
      <c r="C3260">
        <v>36</v>
      </c>
      <c r="D3260">
        <v>39</v>
      </c>
      <c r="E3260" t="s">
        <v>17</v>
      </c>
      <c r="F3260">
        <v>23.97</v>
      </c>
      <c r="G3260">
        <v>24.92</v>
      </c>
      <c r="H3260" t="s">
        <v>17</v>
      </c>
      <c r="I3260" t="str">
        <f>"062271003015"</f>
        <v>062271003015</v>
      </c>
    </row>
    <row r="3261" spans="1:9" x14ac:dyDescent="0.25">
      <c r="A3261" t="s">
        <v>2929</v>
      </c>
      <c r="B3261" t="s">
        <v>13</v>
      </c>
      <c r="C3261">
        <v>13</v>
      </c>
      <c r="D3261">
        <v>14</v>
      </c>
      <c r="E3261" t="s">
        <v>17</v>
      </c>
      <c r="F3261">
        <v>22.38</v>
      </c>
      <c r="G3261">
        <v>22.86</v>
      </c>
      <c r="H3261" t="s">
        <v>17</v>
      </c>
      <c r="I3261" t="str">
        <f>"062271003016"</f>
        <v>062271003016</v>
      </c>
    </row>
    <row r="3262" spans="1:9" x14ac:dyDescent="0.25">
      <c r="A3262" t="s">
        <v>2930</v>
      </c>
      <c r="B3262" t="s">
        <v>13</v>
      </c>
      <c r="C3262">
        <v>73.25</v>
      </c>
      <c r="D3262">
        <v>79.03</v>
      </c>
      <c r="E3262" t="s">
        <v>17</v>
      </c>
      <c r="F3262">
        <v>27.74</v>
      </c>
      <c r="G3262">
        <v>25.81</v>
      </c>
      <c r="H3262" t="s">
        <v>17</v>
      </c>
      <c r="I3262" t="str">
        <f>"062271003017"</f>
        <v>062271003017</v>
      </c>
    </row>
    <row r="3263" spans="1:9" x14ac:dyDescent="0.25">
      <c r="A3263" t="s">
        <v>2931</v>
      </c>
      <c r="B3263" t="s">
        <v>13</v>
      </c>
      <c r="C3263">
        <v>25</v>
      </c>
      <c r="D3263">
        <v>27.5</v>
      </c>
      <c r="E3263" t="s">
        <v>17</v>
      </c>
      <c r="F3263">
        <v>21.92</v>
      </c>
      <c r="G3263">
        <v>20.149999999999999</v>
      </c>
      <c r="H3263" t="s">
        <v>17</v>
      </c>
      <c r="I3263" t="str">
        <f>"064214011007"</f>
        <v>064214011007</v>
      </c>
    </row>
    <row r="3264" spans="1:9" x14ac:dyDescent="0.25">
      <c r="A3264" t="s">
        <v>2932</v>
      </c>
      <c r="B3264" t="s">
        <v>13</v>
      </c>
      <c r="C3264">
        <v>34</v>
      </c>
      <c r="D3264">
        <v>30.5</v>
      </c>
      <c r="E3264" t="s">
        <v>17</v>
      </c>
      <c r="F3264">
        <v>25.21</v>
      </c>
      <c r="G3264">
        <v>26.23</v>
      </c>
      <c r="H3264" t="s">
        <v>17</v>
      </c>
      <c r="I3264" t="str">
        <f>"063492005905"</f>
        <v>063492005905</v>
      </c>
    </row>
    <row r="3265" spans="1:9" x14ac:dyDescent="0.25">
      <c r="A3265" t="s">
        <v>2933</v>
      </c>
      <c r="B3265" t="s">
        <v>13</v>
      </c>
      <c r="C3265">
        <v>20</v>
      </c>
      <c r="D3265">
        <v>20</v>
      </c>
      <c r="E3265" t="s">
        <v>17</v>
      </c>
      <c r="F3265">
        <v>18.8</v>
      </c>
      <c r="G3265">
        <v>20.55</v>
      </c>
      <c r="H3265" t="s">
        <v>17</v>
      </c>
      <c r="I3265" t="str">
        <f>"063432005462"</f>
        <v>063432005462</v>
      </c>
    </row>
    <row r="3266" spans="1:9" x14ac:dyDescent="0.25">
      <c r="A3266" t="s">
        <v>2933</v>
      </c>
      <c r="B3266" t="s">
        <v>13</v>
      </c>
      <c r="C3266">
        <v>29</v>
      </c>
      <c r="D3266">
        <v>30.5</v>
      </c>
      <c r="E3266" t="s">
        <v>17</v>
      </c>
      <c r="F3266">
        <v>24.69</v>
      </c>
      <c r="G3266">
        <v>23.38</v>
      </c>
      <c r="H3266" t="s">
        <v>17</v>
      </c>
      <c r="I3266" t="str">
        <f>"060369000330"</f>
        <v>060369000330</v>
      </c>
    </row>
    <row r="3267" spans="1:9" x14ac:dyDescent="0.25">
      <c r="A3267" t="s">
        <v>2933</v>
      </c>
      <c r="B3267" t="s">
        <v>13</v>
      </c>
      <c r="C3267">
        <v>27</v>
      </c>
      <c r="D3267">
        <v>27</v>
      </c>
      <c r="E3267" t="s">
        <v>17</v>
      </c>
      <c r="F3267">
        <v>30.56</v>
      </c>
      <c r="G3267">
        <v>28.26</v>
      </c>
      <c r="H3267" t="s">
        <v>17</v>
      </c>
      <c r="I3267" t="str">
        <f>"060962000982"</f>
        <v>060962000982</v>
      </c>
    </row>
    <row r="3268" spans="1:9" x14ac:dyDescent="0.25">
      <c r="A3268" t="s">
        <v>2934</v>
      </c>
      <c r="B3268" t="s">
        <v>13</v>
      </c>
      <c r="C3268">
        <v>15</v>
      </c>
      <c r="D3268">
        <v>14</v>
      </c>
      <c r="E3268" t="s">
        <v>17</v>
      </c>
      <c r="F3268">
        <v>24.2</v>
      </c>
      <c r="G3268">
        <v>22.93</v>
      </c>
      <c r="H3268" t="s">
        <v>17</v>
      </c>
      <c r="I3268" t="str">
        <f>"062769004165"</f>
        <v>062769004165</v>
      </c>
    </row>
    <row r="3269" spans="1:9" x14ac:dyDescent="0.25">
      <c r="A3269" t="s">
        <v>2935</v>
      </c>
      <c r="B3269" t="s">
        <v>13</v>
      </c>
      <c r="C3269">
        <v>36</v>
      </c>
      <c r="D3269">
        <v>35</v>
      </c>
      <c r="E3269" t="s">
        <v>17</v>
      </c>
      <c r="F3269">
        <v>25.17</v>
      </c>
      <c r="G3269">
        <v>26.43</v>
      </c>
      <c r="H3269" t="s">
        <v>17</v>
      </c>
      <c r="I3269" t="str">
        <f>"061233009361"</f>
        <v>061233009361</v>
      </c>
    </row>
    <row r="3270" spans="1:9" x14ac:dyDescent="0.25">
      <c r="A3270" t="s">
        <v>2936</v>
      </c>
      <c r="B3270" t="s">
        <v>13</v>
      </c>
      <c r="C3270">
        <v>124.32</v>
      </c>
      <c r="D3270">
        <v>121.42</v>
      </c>
      <c r="E3270" t="s">
        <v>17</v>
      </c>
      <c r="F3270">
        <v>28.7</v>
      </c>
      <c r="G3270">
        <v>28.72</v>
      </c>
      <c r="H3270" t="s">
        <v>17</v>
      </c>
      <c r="I3270" t="str">
        <f>"061806002228"</f>
        <v>061806002228</v>
      </c>
    </row>
    <row r="3271" spans="1:9" x14ac:dyDescent="0.25">
      <c r="A3271" t="s">
        <v>2937</v>
      </c>
      <c r="B3271" t="s">
        <v>13</v>
      </c>
      <c r="C3271">
        <v>25</v>
      </c>
      <c r="D3271">
        <v>24</v>
      </c>
      <c r="E3271" t="s">
        <v>17</v>
      </c>
      <c r="F3271">
        <v>29.8</v>
      </c>
      <c r="G3271">
        <v>29.46</v>
      </c>
      <c r="H3271" t="s">
        <v>17</v>
      </c>
      <c r="I3271" t="str">
        <f>"064116011530"</f>
        <v>064116011530</v>
      </c>
    </row>
    <row r="3272" spans="1:9" x14ac:dyDescent="0.25">
      <c r="A3272" t="s">
        <v>2938</v>
      </c>
      <c r="B3272" t="s">
        <v>13</v>
      </c>
      <c r="C3272">
        <v>45</v>
      </c>
      <c r="D3272">
        <v>45</v>
      </c>
      <c r="E3272" t="s">
        <v>17</v>
      </c>
      <c r="F3272">
        <v>23.02</v>
      </c>
      <c r="G3272">
        <v>22.42</v>
      </c>
      <c r="H3272" t="s">
        <v>17</v>
      </c>
      <c r="I3272" t="str">
        <f>"062271003018"</f>
        <v>062271003018</v>
      </c>
    </row>
    <row r="3273" spans="1:9" x14ac:dyDescent="0.25">
      <c r="A3273" t="s">
        <v>2939</v>
      </c>
      <c r="B3273" t="s">
        <v>13</v>
      </c>
      <c r="C3273">
        <v>1</v>
      </c>
      <c r="D3273" t="s">
        <v>14</v>
      </c>
      <c r="E3273" t="s">
        <v>14</v>
      </c>
      <c r="F3273">
        <v>3</v>
      </c>
      <c r="G3273" t="s">
        <v>14</v>
      </c>
      <c r="H3273" t="s">
        <v>14</v>
      </c>
      <c r="I3273" t="str">
        <f>"061425013163"</f>
        <v>061425013163</v>
      </c>
    </row>
    <row r="3274" spans="1:9" x14ac:dyDescent="0.25">
      <c r="A3274" t="s">
        <v>2940</v>
      </c>
      <c r="B3274" t="s">
        <v>13</v>
      </c>
      <c r="C3274">
        <v>1</v>
      </c>
      <c r="D3274" t="str">
        <f>"0.98"</f>
        <v>0.98</v>
      </c>
      <c r="E3274" t="s">
        <v>17</v>
      </c>
      <c r="F3274">
        <v>4</v>
      </c>
      <c r="G3274">
        <v>6.12</v>
      </c>
      <c r="H3274" t="s">
        <v>17</v>
      </c>
      <c r="I3274" t="str">
        <f>"061425010773"</f>
        <v>061425010773</v>
      </c>
    </row>
    <row r="3275" spans="1:9" x14ac:dyDescent="0.25">
      <c r="A3275" t="s">
        <v>2941</v>
      </c>
      <c r="B3275" t="s">
        <v>13</v>
      </c>
      <c r="C3275">
        <v>1</v>
      </c>
      <c r="D3275">
        <v>1.2</v>
      </c>
      <c r="E3275" t="s">
        <v>17</v>
      </c>
      <c r="F3275">
        <v>13</v>
      </c>
      <c r="G3275">
        <v>16.670000000000002</v>
      </c>
      <c r="H3275" t="s">
        <v>17</v>
      </c>
      <c r="I3275" t="str">
        <f>"061425001637"</f>
        <v>061425001637</v>
      </c>
    </row>
    <row r="3276" spans="1:9" x14ac:dyDescent="0.25">
      <c r="A3276" t="s">
        <v>2942</v>
      </c>
      <c r="B3276" t="s">
        <v>13</v>
      </c>
      <c r="C3276">
        <v>1.8</v>
      </c>
      <c r="D3276">
        <v>1.75</v>
      </c>
      <c r="E3276" t="s">
        <v>17</v>
      </c>
      <c r="F3276">
        <v>9.44</v>
      </c>
      <c r="G3276">
        <v>14.29</v>
      </c>
      <c r="H3276" t="s">
        <v>17</v>
      </c>
      <c r="I3276" t="str">
        <f>"061425012543"</f>
        <v>061425012543</v>
      </c>
    </row>
    <row r="3277" spans="1:9" x14ac:dyDescent="0.25">
      <c r="A3277" t="s">
        <v>2943</v>
      </c>
      <c r="B3277" t="s">
        <v>13</v>
      </c>
      <c r="C3277">
        <v>29.2</v>
      </c>
      <c r="D3277">
        <v>31.2</v>
      </c>
      <c r="E3277" t="s">
        <v>17</v>
      </c>
      <c r="F3277">
        <v>22.91</v>
      </c>
      <c r="G3277">
        <v>21.35</v>
      </c>
      <c r="H3277" t="s">
        <v>17</v>
      </c>
      <c r="I3277" t="str">
        <f>"061425001638"</f>
        <v>061425001638</v>
      </c>
    </row>
    <row r="3278" spans="1:9" x14ac:dyDescent="0.25">
      <c r="A3278" t="s">
        <v>2944</v>
      </c>
      <c r="B3278" t="s">
        <v>13</v>
      </c>
      <c r="C3278">
        <v>18.93</v>
      </c>
      <c r="D3278">
        <v>19.329999999999998</v>
      </c>
      <c r="E3278" t="s">
        <v>17</v>
      </c>
      <c r="F3278">
        <v>23.4</v>
      </c>
      <c r="G3278">
        <v>21.88</v>
      </c>
      <c r="H3278" t="s">
        <v>17</v>
      </c>
      <c r="I3278" t="str">
        <f>"060453000416"</f>
        <v>060453000416</v>
      </c>
    </row>
    <row r="3279" spans="1:9" x14ac:dyDescent="0.25">
      <c r="A3279" t="s">
        <v>2945</v>
      </c>
      <c r="B3279" t="s">
        <v>13</v>
      </c>
      <c r="C3279">
        <v>12.3</v>
      </c>
      <c r="D3279">
        <v>12.5</v>
      </c>
      <c r="E3279" t="s">
        <v>17</v>
      </c>
      <c r="F3279">
        <v>24.88</v>
      </c>
      <c r="G3279">
        <v>24.32</v>
      </c>
      <c r="H3279" t="s">
        <v>17</v>
      </c>
      <c r="I3279" t="str">
        <f>"060006011342"</f>
        <v>060006011342</v>
      </c>
    </row>
    <row r="3280" spans="1:9" x14ac:dyDescent="0.25">
      <c r="A3280" t="s">
        <v>2946</v>
      </c>
      <c r="B3280" t="s">
        <v>13</v>
      </c>
      <c r="C3280">
        <v>27.9</v>
      </c>
      <c r="D3280">
        <v>27.5</v>
      </c>
      <c r="E3280" t="s">
        <v>17</v>
      </c>
      <c r="F3280">
        <v>25.52</v>
      </c>
      <c r="G3280">
        <v>26.07</v>
      </c>
      <c r="H3280" t="s">
        <v>17</v>
      </c>
      <c r="I3280" t="str">
        <f>"063963002845"</f>
        <v>063963002845</v>
      </c>
    </row>
    <row r="3281" spans="1:9" x14ac:dyDescent="0.25">
      <c r="A3281" t="s">
        <v>2947</v>
      </c>
      <c r="B3281" t="s">
        <v>13</v>
      </c>
      <c r="C3281">
        <v>8</v>
      </c>
      <c r="D3281">
        <v>9</v>
      </c>
      <c r="E3281" t="s">
        <v>17</v>
      </c>
      <c r="F3281">
        <v>7</v>
      </c>
      <c r="G3281">
        <v>6.11</v>
      </c>
      <c r="H3281" t="s">
        <v>17</v>
      </c>
      <c r="I3281" t="str">
        <f>"062271007752"</f>
        <v>062271007752</v>
      </c>
    </row>
    <row r="3282" spans="1:9" x14ac:dyDescent="0.25">
      <c r="A3282" t="s">
        <v>2948</v>
      </c>
      <c r="B3282" t="s">
        <v>13</v>
      </c>
      <c r="C3282">
        <v>32.5</v>
      </c>
      <c r="D3282">
        <v>35.1</v>
      </c>
      <c r="E3282" t="s">
        <v>17</v>
      </c>
      <c r="F3282">
        <v>20.28</v>
      </c>
      <c r="G3282">
        <v>20.77</v>
      </c>
      <c r="H3282" t="s">
        <v>17</v>
      </c>
      <c r="I3282" t="str">
        <f>"061062011541"</f>
        <v>061062011541</v>
      </c>
    </row>
    <row r="3283" spans="1:9" x14ac:dyDescent="0.25">
      <c r="A3283" t="s">
        <v>2949</v>
      </c>
      <c r="B3283" t="s">
        <v>13</v>
      </c>
      <c r="C3283" t="s">
        <v>14</v>
      </c>
      <c r="D3283" t="s">
        <v>14</v>
      </c>
      <c r="E3283" t="s">
        <v>17</v>
      </c>
      <c r="F3283" t="s">
        <v>14</v>
      </c>
      <c r="G3283" t="s">
        <v>14</v>
      </c>
      <c r="H3283" t="s">
        <v>17</v>
      </c>
      <c r="I3283" t="str">
        <f>"060962007154"</f>
        <v>060962007154</v>
      </c>
    </row>
    <row r="3284" spans="1:9" x14ac:dyDescent="0.25">
      <c r="A3284" t="s">
        <v>2950</v>
      </c>
      <c r="B3284" t="s">
        <v>13</v>
      </c>
      <c r="C3284">
        <v>26.9</v>
      </c>
      <c r="D3284">
        <v>26.5</v>
      </c>
      <c r="E3284" t="s">
        <v>17</v>
      </c>
      <c r="F3284">
        <v>26.25</v>
      </c>
      <c r="G3284">
        <v>26</v>
      </c>
      <c r="H3284" t="s">
        <v>17</v>
      </c>
      <c r="I3284" t="str">
        <f>"062259007301"</f>
        <v>062259007301</v>
      </c>
    </row>
    <row r="3285" spans="1:9" x14ac:dyDescent="0.25">
      <c r="A3285" t="s">
        <v>2951</v>
      </c>
      <c r="B3285" t="s">
        <v>13</v>
      </c>
      <c r="C3285" t="s">
        <v>14</v>
      </c>
      <c r="D3285">
        <v>29</v>
      </c>
      <c r="E3285" t="s">
        <v>17</v>
      </c>
      <c r="F3285" t="s">
        <v>14</v>
      </c>
      <c r="G3285">
        <v>18.309999999999999</v>
      </c>
      <c r="H3285" t="s">
        <v>17</v>
      </c>
      <c r="I3285" t="str">
        <f>"064302006994"</f>
        <v>064302006994</v>
      </c>
    </row>
    <row r="3286" spans="1:9" x14ac:dyDescent="0.25">
      <c r="A3286" t="s">
        <v>2951</v>
      </c>
      <c r="B3286" t="s">
        <v>13</v>
      </c>
      <c r="C3286" t="s">
        <v>17</v>
      </c>
      <c r="D3286" t="s">
        <v>14</v>
      </c>
      <c r="E3286" t="s">
        <v>14</v>
      </c>
      <c r="F3286" t="s">
        <v>17</v>
      </c>
      <c r="G3286" t="s">
        <v>14</v>
      </c>
      <c r="H3286" t="s">
        <v>14</v>
      </c>
      <c r="I3286" t="str">
        <f>"060141806994"</f>
        <v>060141806994</v>
      </c>
    </row>
    <row r="3287" spans="1:9" x14ac:dyDescent="0.25">
      <c r="A3287" t="s">
        <v>2952</v>
      </c>
      <c r="B3287" t="s">
        <v>13</v>
      </c>
      <c r="C3287">
        <v>68</v>
      </c>
      <c r="D3287">
        <v>70.88</v>
      </c>
      <c r="E3287" t="s">
        <v>17</v>
      </c>
      <c r="F3287">
        <v>27.34</v>
      </c>
      <c r="G3287">
        <v>26.26</v>
      </c>
      <c r="H3287" t="s">
        <v>17</v>
      </c>
      <c r="I3287" t="str">
        <f>"062271010240"</f>
        <v>062271010240</v>
      </c>
    </row>
    <row r="3288" spans="1:9" x14ac:dyDescent="0.25">
      <c r="A3288" t="s">
        <v>2953</v>
      </c>
      <c r="B3288" t="s">
        <v>13</v>
      </c>
      <c r="C3288">
        <v>27.8</v>
      </c>
      <c r="D3288">
        <v>29.7</v>
      </c>
      <c r="E3288" t="s">
        <v>17</v>
      </c>
      <c r="F3288">
        <v>19.71</v>
      </c>
      <c r="G3288">
        <v>19.7</v>
      </c>
      <c r="H3288" t="s">
        <v>17</v>
      </c>
      <c r="I3288" t="str">
        <f>"063441005610"</f>
        <v>063441005610</v>
      </c>
    </row>
    <row r="3289" spans="1:9" x14ac:dyDescent="0.25">
      <c r="A3289" t="s">
        <v>2954</v>
      </c>
      <c r="B3289" t="s">
        <v>13</v>
      </c>
      <c r="C3289">
        <v>76.33</v>
      </c>
      <c r="D3289">
        <v>86.51</v>
      </c>
      <c r="E3289" t="s">
        <v>17</v>
      </c>
      <c r="F3289">
        <v>21.33</v>
      </c>
      <c r="G3289">
        <v>18.809999999999999</v>
      </c>
      <c r="H3289" t="s">
        <v>17</v>
      </c>
      <c r="I3289" t="str">
        <f>"062271003340"</f>
        <v>062271003340</v>
      </c>
    </row>
    <row r="3290" spans="1:9" x14ac:dyDescent="0.25">
      <c r="A3290" t="s">
        <v>2955</v>
      </c>
      <c r="B3290" t="s">
        <v>13</v>
      </c>
      <c r="C3290">
        <v>37.6</v>
      </c>
      <c r="D3290">
        <v>38.200000000000003</v>
      </c>
      <c r="E3290" t="s">
        <v>17</v>
      </c>
      <c r="F3290">
        <v>25.69</v>
      </c>
      <c r="G3290">
        <v>24.35</v>
      </c>
      <c r="H3290" t="s">
        <v>17</v>
      </c>
      <c r="I3290" t="str">
        <f>"063315012406"</f>
        <v>063315012406</v>
      </c>
    </row>
    <row r="3291" spans="1:9" x14ac:dyDescent="0.25">
      <c r="A3291" t="s">
        <v>2956</v>
      </c>
      <c r="B3291" t="s">
        <v>13</v>
      </c>
      <c r="C3291">
        <v>36</v>
      </c>
      <c r="D3291">
        <v>33</v>
      </c>
      <c r="E3291" t="s">
        <v>17</v>
      </c>
      <c r="F3291">
        <v>24.33</v>
      </c>
      <c r="G3291">
        <v>26.21</v>
      </c>
      <c r="H3291" t="s">
        <v>17</v>
      </c>
      <c r="I3291" t="str">
        <f>"062271011645"</f>
        <v>062271011645</v>
      </c>
    </row>
    <row r="3292" spans="1:9" x14ac:dyDescent="0.25">
      <c r="A3292" t="s">
        <v>2957</v>
      </c>
      <c r="B3292" t="s">
        <v>13</v>
      </c>
      <c r="C3292">
        <v>23</v>
      </c>
      <c r="D3292">
        <v>23</v>
      </c>
      <c r="E3292" t="s">
        <v>17</v>
      </c>
      <c r="F3292">
        <v>30.96</v>
      </c>
      <c r="G3292">
        <v>30.09</v>
      </c>
      <c r="H3292" t="s">
        <v>17</v>
      </c>
      <c r="I3292" t="str">
        <f>"060444008118"</f>
        <v>060444008118</v>
      </c>
    </row>
    <row r="3293" spans="1:9" x14ac:dyDescent="0.25">
      <c r="A3293" t="s">
        <v>2958</v>
      </c>
      <c r="B3293" t="s">
        <v>13</v>
      </c>
      <c r="C3293">
        <v>39.340000000000003</v>
      </c>
      <c r="D3293">
        <v>43</v>
      </c>
      <c r="E3293" t="s">
        <v>17</v>
      </c>
      <c r="F3293">
        <v>23.69</v>
      </c>
      <c r="G3293">
        <v>21.74</v>
      </c>
      <c r="H3293" t="s">
        <v>17</v>
      </c>
      <c r="I3293" t="str">
        <f>"062985007134"</f>
        <v>062985007134</v>
      </c>
    </row>
    <row r="3294" spans="1:9" x14ac:dyDescent="0.25">
      <c r="A3294" t="s">
        <v>2959</v>
      </c>
      <c r="B3294" t="s">
        <v>13</v>
      </c>
      <c r="C3294">
        <v>34</v>
      </c>
      <c r="D3294">
        <v>34</v>
      </c>
      <c r="E3294" t="s">
        <v>17</v>
      </c>
      <c r="F3294">
        <v>22.47</v>
      </c>
      <c r="G3294">
        <v>22.47</v>
      </c>
      <c r="H3294" t="s">
        <v>17</v>
      </c>
      <c r="I3294" t="str">
        <f>"063987006613"</f>
        <v>063987006613</v>
      </c>
    </row>
    <row r="3295" spans="1:9" x14ac:dyDescent="0.25">
      <c r="A3295" t="s">
        <v>2960</v>
      </c>
      <c r="B3295" t="s">
        <v>13</v>
      </c>
      <c r="C3295">
        <v>27.45</v>
      </c>
      <c r="D3295">
        <v>23.7</v>
      </c>
      <c r="E3295" t="s">
        <v>17</v>
      </c>
      <c r="F3295">
        <v>20.77</v>
      </c>
      <c r="G3295">
        <v>24.14</v>
      </c>
      <c r="H3295" t="s">
        <v>17</v>
      </c>
      <c r="I3295" t="str">
        <f>"062628007791"</f>
        <v>062628007791</v>
      </c>
    </row>
    <row r="3296" spans="1:9" x14ac:dyDescent="0.25">
      <c r="A3296" t="s">
        <v>2961</v>
      </c>
      <c r="B3296" t="s">
        <v>13</v>
      </c>
      <c r="C3296">
        <v>22.66</v>
      </c>
      <c r="D3296">
        <v>20.03</v>
      </c>
      <c r="E3296" t="s">
        <v>17</v>
      </c>
      <c r="F3296">
        <v>10.11</v>
      </c>
      <c r="G3296">
        <v>11.13</v>
      </c>
      <c r="H3296" t="s">
        <v>17</v>
      </c>
      <c r="I3296" t="str">
        <f>"062271002112"</f>
        <v>062271002112</v>
      </c>
    </row>
    <row r="3297" spans="1:9" x14ac:dyDescent="0.25">
      <c r="A3297" t="s">
        <v>2962</v>
      </c>
      <c r="B3297" t="s">
        <v>13</v>
      </c>
      <c r="C3297">
        <v>21.6</v>
      </c>
      <c r="D3297">
        <v>27</v>
      </c>
      <c r="E3297" t="s">
        <v>17</v>
      </c>
      <c r="F3297">
        <v>29.72</v>
      </c>
      <c r="G3297">
        <v>24.74</v>
      </c>
      <c r="H3297" t="s">
        <v>17</v>
      </c>
      <c r="I3297" t="str">
        <f>"063705010974"</f>
        <v>063705010974</v>
      </c>
    </row>
    <row r="3298" spans="1:9" x14ac:dyDescent="0.25">
      <c r="A3298" t="s">
        <v>2963</v>
      </c>
      <c r="B3298" t="s">
        <v>13</v>
      </c>
      <c r="C3298">
        <v>37</v>
      </c>
      <c r="D3298">
        <v>37.700000000000003</v>
      </c>
      <c r="E3298" t="s">
        <v>17</v>
      </c>
      <c r="F3298">
        <v>24.59</v>
      </c>
      <c r="G3298">
        <v>25.04</v>
      </c>
      <c r="H3298" t="s">
        <v>17</v>
      </c>
      <c r="I3298" t="str">
        <f>"061821002241"</f>
        <v>061821002241</v>
      </c>
    </row>
    <row r="3299" spans="1:9" x14ac:dyDescent="0.25">
      <c r="A3299" t="s">
        <v>2964</v>
      </c>
      <c r="B3299" t="s">
        <v>13</v>
      </c>
      <c r="C3299">
        <v>24.1</v>
      </c>
      <c r="D3299">
        <v>22.5</v>
      </c>
      <c r="E3299" t="s">
        <v>17</v>
      </c>
      <c r="F3299">
        <v>22.28</v>
      </c>
      <c r="G3299">
        <v>22.36</v>
      </c>
      <c r="H3299" t="s">
        <v>17</v>
      </c>
      <c r="I3299" t="str">
        <f>"060177000054"</f>
        <v>060177000054</v>
      </c>
    </row>
    <row r="3300" spans="1:9" x14ac:dyDescent="0.25">
      <c r="A3300" t="s">
        <v>2965</v>
      </c>
      <c r="B3300" t="s">
        <v>13</v>
      </c>
      <c r="C3300">
        <v>28</v>
      </c>
      <c r="D3300">
        <v>28</v>
      </c>
      <c r="E3300" t="s">
        <v>17</v>
      </c>
      <c r="F3300">
        <v>29.75</v>
      </c>
      <c r="G3300">
        <v>29.64</v>
      </c>
      <c r="H3300" t="s">
        <v>17</v>
      </c>
      <c r="I3300" t="str">
        <f>"060195007639"</f>
        <v>060195007639</v>
      </c>
    </row>
    <row r="3301" spans="1:9" x14ac:dyDescent="0.25">
      <c r="A3301" t="s">
        <v>2966</v>
      </c>
      <c r="B3301" t="s">
        <v>13</v>
      </c>
      <c r="C3301">
        <v>17</v>
      </c>
      <c r="D3301">
        <v>17</v>
      </c>
      <c r="E3301" t="s">
        <v>17</v>
      </c>
      <c r="F3301">
        <v>24</v>
      </c>
      <c r="G3301">
        <v>22.76</v>
      </c>
      <c r="H3301" t="s">
        <v>17</v>
      </c>
      <c r="I3301" t="str">
        <f>"064296006988"</f>
        <v>064296006988</v>
      </c>
    </row>
    <row r="3302" spans="1:9" x14ac:dyDescent="0.25">
      <c r="A3302" t="s">
        <v>2967</v>
      </c>
      <c r="B3302" t="s">
        <v>13</v>
      </c>
      <c r="C3302">
        <v>26.36</v>
      </c>
      <c r="D3302">
        <v>25.98</v>
      </c>
      <c r="E3302" t="s">
        <v>17</v>
      </c>
      <c r="F3302">
        <v>24.85</v>
      </c>
      <c r="G3302">
        <v>25.56</v>
      </c>
      <c r="H3302" t="s">
        <v>17</v>
      </c>
      <c r="I3302" t="str">
        <f>"061044001174"</f>
        <v>061044001174</v>
      </c>
    </row>
    <row r="3303" spans="1:9" x14ac:dyDescent="0.25">
      <c r="A3303" t="s">
        <v>2968</v>
      </c>
      <c r="B3303" t="s">
        <v>13</v>
      </c>
      <c r="C3303">
        <v>32.4</v>
      </c>
      <c r="D3303">
        <v>30.85</v>
      </c>
      <c r="E3303" t="s">
        <v>17</v>
      </c>
      <c r="F3303">
        <v>20.77</v>
      </c>
      <c r="G3303">
        <v>21.46</v>
      </c>
      <c r="H3303" t="s">
        <v>17</v>
      </c>
      <c r="I3303" t="str">
        <f>"060363000298"</f>
        <v>060363000298</v>
      </c>
    </row>
    <row r="3304" spans="1:9" x14ac:dyDescent="0.25">
      <c r="A3304" t="s">
        <v>2969</v>
      </c>
      <c r="B3304" t="s">
        <v>13</v>
      </c>
      <c r="C3304">
        <v>18.2</v>
      </c>
      <c r="D3304">
        <v>16.399999999999999</v>
      </c>
      <c r="E3304" t="s">
        <v>17</v>
      </c>
      <c r="F3304">
        <v>23.63</v>
      </c>
      <c r="G3304">
        <v>26.52</v>
      </c>
      <c r="H3304" t="s">
        <v>17</v>
      </c>
      <c r="I3304" t="str">
        <f>"064030006656"</f>
        <v>064030006656</v>
      </c>
    </row>
    <row r="3305" spans="1:9" x14ac:dyDescent="0.25">
      <c r="A3305" t="s">
        <v>2970</v>
      </c>
      <c r="B3305" t="s">
        <v>13</v>
      </c>
      <c r="C3305">
        <v>32.56</v>
      </c>
      <c r="D3305">
        <v>30.22</v>
      </c>
      <c r="E3305" t="s">
        <v>17</v>
      </c>
      <c r="F3305">
        <v>26.54</v>
      </c>
      <c r="G3305">
        <v>27.63</v>
      </c>
      <c r="H3305" t="s">
        <v>17</v>
      </c>
      <c r="I3305" t="str">
        <f>"060261000150"</f>
        <v>060261000150</v>
      </c>
    </row>
    <row r="3306" spans="1:9" x14ac:dyDescent="0.25">
      <c r="A3306" t="s">
        <v>2971</v>
      </c>
      <c r="B3306" t="s">
        <v>13</v>
      </c>
      <c r="C3306">
        <v>20</v>
      </c>
      <c r="D3306">
        <v>19</v>
      </c>
      <c r="E3306" t="s">
        <v>17</v>
      </c>
      <c r="F3306">
        <v>25.4</v>
      </c>
      <c r="G3306">
        <v>25.26</v>
      </c>
      <c r="H3306" t="s">
        <v>17</v>
      </c>
      <c r="I3306" t="str">
        <f>"062271003022"</f>
        <v>062271003022</v>
      </c>
    </row>
    <row r="3307" spans="1:9" x14ac:dyDescent="0.25">
      <c r="A3307" t="s">
        <v>2972</v>
      </c>
      <c r="B3307" t="s">
        <v>13</v>
      </c>
      <c r="C3307">
        <v>36.799999999999997</v>
      </c>
      <c r="D3307">
        <v>34.81</v>
      </c>
      <c r="E3307" t="s">
        <v>17</v>
      </c>
      <c r="F3307">
        <v>28.23</v>
      </c>
      <c r="G3307">
        <v>27.49</v>
      </c>
      <c r="H3307" t="s">
        <v>17</v>
      </c>
      <c r="I3307" t="str">
        <f>"062250002713"</f>
        <v>062250002713</v>
      </c>
    </row>
    <row r="3308" spans="1:9" x14ac:dyDescent="0.25">
      <c r="A3308" t="s">
        <v>2973</v>
      </c>
      <c r="B3308" t="s">
        <v>13</v>
      </c>
      <c r="C3308">
        <v>14.5</v>
      </c>
      <c r="D3308">
        <v>16</v>
      </c>
      <c r="E3308" t="s">
        <v>17</v>
      </c>
      <c r="F3308">
        <v>20.55</v>
      </c>
      <c r="G3308">
        <v>19.63</v>
      </c>
      <c r="H3308" t="s">
        <v>17</v>
      </c>
      <c r="I3308" t="str">
        <f>"061887002284"</f>
        <v>061887002284</v>
      </c>
    </row>
    <row r="3309" spans="1:9" x14ac:dyDescent="0.25">
      <c r="A3309" t="s">
        <v>2974</v>
      </c>
      <c r="B3309" t="s">
        <v>13</v>
      </c>
      <c r="C3309">
        <v>27.25</v>
      </c>
      <c r="D3309">
        <v>27.43</v>
      </c>
      <c r="E3309" t="s">
        <v>17</v>
      </c>
      <c r="F3309">
        <v>21.17</v>
      </c>
      <c r="G3309">
        <v>20.67</v>
      </c>
      <c r="H3309" t="s">
        <v>17</v>
      </c>
      <c r="I3309" t="str">
        <f>"060648000582"</f>
        <v>060648000582</v>
      </c>
    </row>
    <row r="3310" spans="1:9" x14ac:dyDescent="0.25">
      <c r="A3310" t="s">
        <v>2974</v>
      </c>
      <c r="B3310" t="s">
        <v>13</v>
      </c>
      <c r="C3310">
        <v>33</v>
      </c>
      <c r="D3310">
        <v>31</v>
      </c>
      <c r="E3310" t="s">
        <v>17</v>
      </c>
      <c r="F3310">
        <v>26</v>
      </c>
      <c r="G3310">
        <v>26.81</v>
      </c>
      <c r="H3310" t="s">
        <v>17</v>
      </c>
      <c r="I3310" t="str">
        <f>"061437001644"</f>
        <v>061437001644</v>
      </c>
    </row>
    <row r="3311" spans="1:9" x14ac:dyDescent="0.25">
      <c r="A3311" t="s">
        <v>2974</v>
      </c>
      <c r="B3311" t="s">
        <v>13</v>
      </c>
      <c r="C3311" t="s">
        <v>14</v>
      </c>
      <c r="D3311" t="s">
        <v>14</v>
      </c>
      <c r="E3311" t="s">
        <v>17</v>
      </c>
      <c r="F3311" t="s">
        <v>14</v>
      </c>
      <c r="G3311" t="s">
        <v>14</v>
      </c>
      <c r="H3311" t="s">
        <v>17</v>
      </c>
      <c r="I3311" t="str">
        <f>"063536006018"</f>
        <v>063536006018</v>
      </c>
    </row>
    <row r="3312" spans="1:9" x14ac:dyDescent="0.25">
      <c r="A3312" t="s">
        <v>2974</v>
      </c>
      <c r="B3312" t="s">
        <v>13</v>
      </c>
      <c r="C3312">
        <v>20</v>
      </c>
      <c r="D3312">
        <v>20</v>
      </c>
      <c r="E3312" t="s">
        <v>17</v>
      </c>
      <c r="F3312">
        <v>24.55</v>
      </c>
      <c r="G3312">
        <v>23.6</v>
      </c>
      <c r="H3312" t="s">
        <v>17</v>
      </c>
      <c r="I3312" t="str">
        <f>"061434001642"</f>
        <v>061434001642</v>
      </c>
    </row>
    <row r="3313" spans="1:9" x14ac:dyDescent="0.25">
      <c r="A3313" t="s">
        <v>2974</v>
      </c>
      <c r="B3313" t="s">
        <v>13</v>
      </c>
      <c r="C3313">
        <v>12.6</v>
      </c>
      <c r="D3313">
        <v>13.6</v>
      </c>
      <c r="E3313" t="s">
        <v>17</v>
      </c>
      <c r="F3313">
        <v>19.37</v>
      </c>
      <c r="G3313">
        <v>19.190000000000001</v>
      </c>
      <c r="H3313" t="s">
        <v>17</v>
      </c>
      <c r="I3313" t="str">
        <f>"063432005463"</f>
        <v>063432005463</v>
      </c>
    </row>
    <row r="3314" spans="1:9" x14ac:dyDescent="0.25">
      <c r="A3314" t="s">
        <v>2974</v>
      </c>
      <c r="B3314" t="s">
        <v>13</v>
      </c>
      <c r="C3314">
        <v>13.3</v>
      </c>
      <c r="D3314">
        <v>14.7</v>
      </c>
      <c r="E3314" t="s">
        <v>17</v>
      </c>
      <c r="F3314">
        <v>23.61</v>
      </c>
      <c r="G3314">
        <v>21.5</v>
      </c>
      <c r="H3314" t="s">
        <v>17</v>
      </c>
      <c r="I3314" t="str">
        <f>"060177004337"</f>
        <v>060177004337</v>
      </c>
    </row>
    <row r="3315" spans="1:9" x14ac:dyDescent="0.25">
      <c r="A3315" t="s">
        <v>2974</v>
      </c>
      <c r="B3315" t="s">
        <v>13</v>
      </c>
      <c r="C3315">
        <v>35</v>
      </c>
      <c r="D3315">
        <v>34</v>
      </c>
      <c r="E3315" t="s">
        <v>17</v>
      </c>
      <c r="F3315">
        <v>22</v>
      </c>
      <c r="G3315">
        <v>22.88</v>
      </c>
      <c r="H3315" t="s">
        <v>17</v>
      </c>
      <c r="I3315" t="str">
        <f>"062805004261"</f>
        <v>062805004261</v>
      </c>
    </row>
    <row r="3316" spans="1:9" x14ac:dyDescent="0.25">
      <c r="A3316" t="s">
        <v>2974</v>
      </c>
      <c r="B3316" t="s">
        <v>13</v>
      </c>
      <c r="C3316">
        <v>19.5</v>
      </c>
      <c r="D3316">
        <v>19.5</v>
      </c>
      <c r="E3316" t="s">
        <v>17</v>
      </c>
      <c r="F3316">
        <v>24.41</v>
      </c>
      <c r="G3316">
        <v>24.36</v>
      </c>
      <c r="H3316" t="s">
        <v>17</v>
      </c>
      <c r="I3316" t="str">
        <f>"062256002771"</f>
        <v>062256002771</v>
      </c>
    </row>
    <row r="3317" spans="1:9" x14ac:dyDescent="0.25">
      <c r="A3317" t="s">
        <v>2974</v>
      </c>
      <c r="B3317" t="s">
        <v>13</v>
      </c>
      <c r="C3317">
        <v>26</v>
      </c>
      <c r="D3317">
        <v>26</v>
      </c>
      <c r="E3317" t="s">
        <v>17</v>
      </c>
      <c r="F3317">
        <v>25.92</v>
      </c>
      <c r="G3317">
        <v>25.46</v>
      </c>
      <c r="H3317" t="s">
        <v>17</v>
      </c>
      <c r="I3317" t="str">
        <f>"061233001400"</f>
        <v>061233001400</v>
      </c>
    </row>
    <row r="3318" spans="1:9" x14ac:dyDescent="0.25">
      <c r="A3318" t="s">
        <v>2974</v>
      </c>
      <c r="B3318" t="s">
        <v>13</v>
      </c>
      <c r="C3318">
        <v>25.06</v>
      </c>
      <c r="D3318">
        <v>26.53</v>
      </c>
      <c r="E3318" t="s">
        <v>17</v>
      </c>
      <c r="F3318">
        <v>24.74</v>
      </c>
      <c r="G3318">
        <v>23.78</v>
      </c>
      <c r="H3318" t="s">
        <v>17</v>
      </c>
      <c r="I3318" t="str">
        <f>"063207004936"</f>
        <v>063207004936</v>
      </c>
    </row>
    <row r="3319" spans="1:9" x14ac:dyDescent="0.25">
      <c r="A3319" t="s">
        <v>2974</v>
      </c>
      <c r="B3319" t="s">
        <v>13</v>
      </c>
      <c r="C3319">
        <v>21.3</v>
      </c>
      <c r="D3319">
        <v>20.3</v>
      </c>
      <c r="E3319" t="s">
        <v>17</v>
      </c>
      <c r="F3319">
        <v>21.46</v>
      </c>
      <c r="G3319">
        <v>21.53</v>
      </c>
      <c r="H3319" t="s">
        <v>17</v>
      </c>
      <c r="I3319" t="str">
        <f>"060363000299"</f>
        <v>060363000299</v>
      </c>
    </row>
    <row r="3320" spans="1:9" x14ac:dyDescent="0.25">
      <c r="A3320" t="s">
        <v>2974</v>
      </c>
      <c r="B3320" t="s">
        <v>13</v>
      </c>
      <c r="C3320">
        <v>13.8</v>
      </c>
      <c r="D3320">
        <v>13</v>
      </c>
      <c r="E3320" t="s">
        <v>17</v>
      </c>
      <c r="F3320">
        <v>24.64</v>
      </c>
      <c r="G3320">
        <v>28</v>
      </c>
      <c r="H3320" t="s">
        <v>17</v>
      </c>
      <c r="I3320" t="str">
        <f>"062994004670"</f>
        <v>062994004670</v>
      </c>
    </row>
    <row r="3321" spans="1:9" x14ac:dyDescent="0.25">
      <c r="A3321" t="s">
        <v>2974</v>
      </c>
      <c r="B3321" t="s">
        <v>13</v>
      </c>
      <c r="C3321">
        <v>34</v>
      </c>
      <c r="D3321">
        <v>34</v>
      </c>
      <c r="E3321" t="s">
        <v>17</v>
      </c>
      <c r="F3321">
        <v>22.56</v>
      </c>
      <c r="G3321">
        <v>22.56</v>
      </c>
      <c r="H3321" t="s">
        <v>17</v>
      </c>
      <c r="I3321" t="str">
        <f>"063570006090"</f>
        <v>063570006090</v>
      </c>
    </row>
    <row r="3322" spans="1:9" x14ac:dyDescent="0.25">
      <c r="A3322" t="s">
        <v>2974</v>
      </c>
      <c r="B3322" t="s">
        <v>13</v>
      </c>
      <c r="C3322">
        <v>23</v>
      </c>
      <c r="D3322">
        <v>23</v>
      </c>
      <c r="E3322" t="s">
        <v>17</v>
      </c>
      <c r="F3322">
        <v>23.13</v>
      </c>
      <c r="G3322">
        <v>23.26</v>
      </c>
      <c r="H3322" t="s">
        <v>17</v>
      </c>
      <c r="I3322" t="str">
        <f>"062460003689"</f>
        <v>062460003689</v>
      </c>
    </row>
    <row r="3323" spans="1:9" x14ac:dyDescent="0.25">
      <c r="A3323" t="s">
        <v>2974</v>
      </c>
      <c r="B3323" t="s">
        <v>13</v>
      </c>
      <c r="C3323">
        <v>33</v>
      </c>
      <c r="D3323">
        <v>40</v>
      </c>
      <c r="E3323" t="s">
        <v>17</v>
      </c>
      <c r="F3323">
        <v>26.61</v>
      </c>
      <c r="G3323">
        <v>21.68</v>
      </c>
      <c r="H3323" t="s">
        <v>17</v>
      </c>
      <c r="I3323" t="str">
        <f>"062513003733"</f>
        <v>062513003733</v>
      </c>
    </row>
    <row r="3324" spans="1:9" x14ac:dyDescent="0.25">
      <c r="A3324" t="s">
        <v>2974</v>
      </c>
      <c r="B3324" t="s">
        <v>13</v>
      </c>
      <c r="C3324">
        <v>16.5</v>
      </c>
      <c r="D3324">
        <v>17.5</v>
      </c>
      <c r="E3324" t="s">
        <v>17</v>
      </c>
      <c r="F3324">
        <v>29.03</v>
      </c>
      <c r="G3324">
        <v>27.77</v>
      </c>
      <c r="H3324" t="s">
        <v>17</v>
      </c>
      <c r="I3324" t="str">
        <f>"063531005985"</f>
        <v>063531005985</v>
      </c>
    </row>
    <row r="3325" spans="1:9" x14ac:dyDescent="0.25">
      <c r="A3325" t="s">
        <v>2974</v>
      </c>
      <c r="B3325" t="s">
        <v>13</v>
      </c>
      <c r="C3325">
        <v>21</v>
      </c>
      <c r="D3325">
        <v>21.17</v>
      </c>
      <c r="E3325" t="s">
        <v>14</v>
      </c>
      <c r="F3325">
        <v>25.29</v>
      </c>
      <c r="G3325">
        <v>24.37</v>
      </c>
      <c r="H3325" t="s">
        <v>14</v>
      </c>
      <c r="I3325" t="str">
        <f>"060141406018"</f>
        <v>060141406018</v>
      </c>
    </row>
    <row r="3326" spans="1:9" x14ac:dyDescent="0.25">
      <c r="A3326" t="s">
        <v>2975</v>
      </c>
      <c r="B3326" t="s">
        <v>13</v>
      </c>
      <c r="C3326">
        <v>109.23</v>
      </c>
      <c r="D3326">
        <v>115.23</v>
      </c>
      <c r="E3326" t="s">
        <v>17</v>
      </c>
      <c r="F3326">
        <v>26.09</v>
      </c>
      <c r="G3326">
        <v>24.41</v>
      </c>
      <c r="H3326" t="s">
        <v>17</v>
      </c>
      <c r="I3326" t="str">
        <f>"061233010593"</f>
        <v>061233010593</v>
      </c>
    </row>
    <row r="3327" spans="1:9" x14ac:dyDescent="0.25">
      <c r="A3327" t="s">
        <v>2975</v>
      </c>
      <c r="B3327" t="s">
        <v>13</v>
      </c>
      <c r="C3327">
        <v>90.5</v>
      </c>
      <c r="D3327">
        <v>94.83</v>
      </c>
      <c r="E3327" t="s">
        <v>17</v>
      </c>
      <c r="F3327">
        <v>23.7</v>
      </c>
      <c r="G3327">
        <v>24.28</v>
      </c>
      <c r="H3327" t="s">
        <v>17</v>
      </c>
      <c r="I3327" t="str">
        <f>"063801006407"</f>
        <v>063801006407</v>
      </c>
    </row>
    <row r="3328" spans="1:9" x14ac:dyDescent="0.25">
      <c r="A3328" t="s">
        <v>2976</v>
      </c>
      <c r="B3328" t="s">
        <v>13</v>
      </c>
      <c r="C3328">
        <v>34.340000000000003</v>
      </c>
      <c r="D3328">
        <v>42.4</v>
      </c>
      <c r="E3328" t="s">
        <v>17</v>
      </c>
      <c r="F3328">
        <v>23.62</v>
      </c>
      <c r="G3328">
        <v>22.57</v>
      </c>
      <c r="H3328" t="s">
        <v>17</v>
      </c>
      <c r="I3328" t="str">
        <f>"064074006726"</f>
        <v>064074006726</v>
      </c>
    </row>
    <row r="3329" spans="1:9" x14ac:dyDescent="0.25">
      <c r="A3329" t="s">
        <v>2977</v>
      </c>
      <c r="B3329" t="s">
        <v>13</v>
      </c>
      <c r="C3329">
        <v>13.25</v>
      </c>
      <c r="D3329">
        <v>14.62</v>
      </c>
      <c r="E3329" t="s">
        <v>17</v>
      </c>
      <c r="F3329">
        <v>22.19</v>
      </c>
      <c r="G3329">
        <v>24.83</v>
      </c>
      <c r="H3329" t="s">
        <v>17</v>
      </c>
      <c r="I3329" t="str">
        <f>"060002604544"</f>
        <v>060002604544</v>
      </c>
    </row>
    <row r="3330" spans="1:9" x14ac:dyDescent="0.25">
      <c r="A3330" t="s">
        <v>2978</v>
      </c>
      <c r="B3330" t="s">
        <v>13</v>
      </c>
      <c r="C3330">
        <v>12.5</v>
      </c>
      <c r="D3330">
        <v>12.75</v>
      </c>
      <c r="E3330" t="s">
        <v>17</v>
      </c>
      <c r="F3330">
        <v>28.48</v>
      </c>
      <c r="G3330">
        <v>26.59</v>
      </c>
      <c r="H3330" t="s">
        <v>17</v>
      </c>
      <c r="I3330" t="str">
        <f>"060002609486"</f>
        <v>060002609486</v>
      </c>
    </row>
    <row r="3331" spans="1:9" x14ac:dyDescent="0.25">
      <c r="A3331" t="s">
        <v>2979</v>
      </c>
      <c r="B3331" t="s">
        <v>13</v>
      </c>
      <c r="C3331">
        <v>74.650000000000006</v>
      </c>
      <c r="D3331">
        <v>77.91</v>
      </c>
      <c r="E3331" t="s">
        <v>17</v>
      </c>
      <c r="F3331">
        <v>26.46</v>
      </c>
      <c r="G3331">
        <v>25.93</v>
      </c>
      <c r="H3331" t="s">
        <v>17</v>
      </c>
      <c r="I3331" t="str">
        <f>"062515003734"</f>
        <v>062515003734</v>
      </c>
    </row>
    <row r="3332" spans="1:9" x14ac:dyDescent="0.25">
      <c r="A3332" t="s">
        <v>2980</v>
      </c>
      <c r="B3332" t="s">
        <v>13</v>
      </c>
      <c r="C3332">
        <v>14</v>
      </c>
      <c r="D3332">
        <v>13.51</v>
      </c>
      <c r="E3332" t="s">
        <v>17</v>
      </c>
      <c r="F3332">
        <v>10.64</v>
      </c>
      <c r="G3332">
        <v>12.21</v>
      </c>
      <c r="H3332" t="s">
        <v>17</v>
      </c>
      <c r="I3332" t="str">
        <f>"062271008890"</f>
        <v>062271008890</v>
      </c>
    </row>
    <row r="3333" spans="1:9" x14ac:dyDescent="0.25">
      <c r="A3333" t="s">
        <v>2981</v>
      </c>
      <c r="B3333" t="s">
        <v>13</v>
      </c>
      <c r="C3333">
        <v>30</v>
      </c>
      <c r="D3333">
        <v>31</v>
      </c>
      <c r="E3333" t="s">
        <v>17</v>
      </c>
      <c r="F3333">
        <v>23.53</v>
      </c>
      <c r="G3333">
        <v>25.1</v>
      </c>
      <c r="H3333" t="s">
        <v>17</v>
      </c>
      <c r="I3333" t="str">
        <f>"061440009139"</f>
        <v>061440009139</v>
      </c>
    </row>
    <row r="3334" spans="1:9" x14ac:dyDescent="0.25">
      <c r="A3334" t="s">
        <v>2982</v>
      </c>
      <c r="B3334" t="s">
        <v>13</v>
      </c>
      <c r="C3334">
        <v>15.9</v>
      </c>
      <c r="D3334">
        <v>17.5</v>
      </c>
      <c r="E3334" t="s">
        <v>17</v>
      </c>
      <c r="F3334">
        <v>29.56</v>
      </c>
      <c r="G3334">
        <v>24.29</v>
      </c>
      <c r="H3334" t="s">
        <v>17</v>
      </c>
      <c r="I3334" t="str">
        <f>"060561000507"</f>
        <v>060561000507</v>
      </c>
    </row>
    <row r="3335" spans="1:9" x14ac:dyDescent="0.25">
      <c r="A3335" t="s">
        <v>2983</v>
      </c>
      <c r="B3335" t="s">
        <v>13</v>
      </c>
      <c r="C3335">
        <v>32.76</v>
      </c>
      <c r="D3335">
        <v>29.53</v>
      </c>
      <c r="E3335" t="s">
        <v>17</v>
      </c>
      <c r="F3335">
        <v>23.63</v>
      </c>
      <c r="G3335">
        <v>25.26</v>
      </c>
      <c r="H3335" t="s">
        <v>17</v>
      </c>
      <c r="I3335" t="str">
        <f>"060639009328"</f>
        <v>060639009328</v>
      </c>
    </row>
    <row r="3336" spans="1:9" x14ac:dyDescent="0.25">
      <c r="A3336" t="s">
        <v>2984</v>
      </c>
      <c r="B3336" t="s">
        <v>13</v>
      </c>
      <c r="C3336">
        <v>24</v>
      </c>
      <c r="D3336">
        <v>24.9</v>
      </c>
      <c r="E3336" t="s">
        <v>17</v>
      </c>
      <c r="F3336">
        <v>29.88</v>
      </c>
      <c r="G3336">
        <v>27.71</v>
      </c>
      <c r="H3336" t="s">
        <v>17</v>
      </c>
      <c r="I3336" t="str">
        <f>"061785002207"</f>
        <v>061785002207</v>
      </c>
    </row>
    <row r="3337" spans="1:9" x14ac:dyDescent="0.25">
      <c r="A3337" t="s">
        <v>2985</v>
      </c>
      <c r="B3337" t="s">
        <v>13</v>
      </c>
      <c r="C3337">
        <v>17</v>
      </c>
      <c r="D3337">
        <v>17</v>
      </c>
      <c r="E3337" t="s">
        <v>17</v>
      </c>
      <c r="F3337">
        <v>23.53</v>
      </c>
      <c r="G3337">
        <v>22.35</v>
      </c>
      <c r="H3337" t="s">
        <v>17</v>
      </c>
      <c r="I3337" t="str">
        <f>"062805011977"</f>
        <v>062805011977</v>
      </c>
    </row>
    <row r="3338" spans="1:9" x14ac:dyDescent="0.25">
      <c r="A3338" t="s">
        <v>2986</v>
      </c>
      <c r="B3338" t="s">
        <v>13</v>
      </c>
      <c r="C3338">
        <v>18.45</v>
      </c>
      <c r="D3338">
        <v>21.3</v>
      </c>
      <c r="E3338" t="s">
        <v>17</v>
      </c>
      <c r="F3338">
        <v>28.46</v>
      </c>
      <c r="G3338">
        <v>24.37</v>
      </c>
      <c r="H3338" t="s">
        <v>17</v>
      </c>
      <c r="I3338" t="str">
        <f>"061062011834"</f>
        <v>061062011834</v>
      </c>
    </row>
    <row r="3339" spans="1:9" x14ac:dyDescent="0.25">
      <c r="A3339" t="s">
        <v>2987</v>
      </c>
      <c r="B3339" t="s">
        <v>13</v>
      </c>
      <c r="C3339">
        <v>10</v>
      </c>
      <c r="D3339">
        <v>11</v>
      </c>
      <c r="E3339" t="s">
        <v>17</v>
      </c>
      <c r="F3339">
        <v>29.4</v>
      </c>
      <c r="G3339">
        <v>35.729999999999997</v>
      </c>
      <c r="H3339" t="s">
        <v>17</v>
      </c>
      <c r="I3339" t="str">
        <f>"062271012194"</f>
        <v>062271012194</v>
      </c>
    </row>
    <row r="3340" spans="1:9" x14ac:dyDescent="0.25">
      <c r="A3340" t="s">
        <v>2988</v>
      </c>
      <c r="B3340" t="s">
        <v>13</v>
      </c>
      <c r="C3340">
        <v>10</v>
      </c>
      <c r="D3340">
        <v>12</v>
      </c>
      <c r="E3340" t="s">
        <v>17</v>
      </c>
      <c r="F3340">
        <v>36.5</v>
      </c>
      <c r="G3340">
        <v>36.67</v>
      </c>
      <c r="H3340" t="s">
        <v>17</v>
      </c>
      <c r="I3340" t="str">
        <f>"062271011667"</f>
        <v>062271011667</v>
      </c>
    </row>
    <row r="3341" spans="1:9" x14ac:dyDescent="0.25">
      <c r="A3341" t="s">
        <v>2989</v>
      </c>
      <c r="B3341" t="s">
        <v>13</v>
      </c>
      <c r="C3341">
        <v>9.0500000000000007</v>
      </c>
      <c r="D3341">
        <v>9</v>
      </c>
      <c r="E3341" t="s">
        <v>17</v>
      </c>
      <c r="F3341">
        <v>32.93</v>
      </c>
      <c r="G3341">
        <v>34.56</v>
      </c>
      <c r="H3341" t="s">
        <v>17</v>
      </c>
      <c r="I3341" t="str">
        <f>"062271011664"</f>
        <v>062271011664</v>
      </c>
    </row>
    <row r="3342" spans="1:9" x14ac:dyDescent="0.25">
      <c r="A3342" t="s">
        <v>2990</v>
      </c>
      <c r="B3342" t="s">
        <v>13</v>
      </c>
      <c r="C3342">
        <v>20.2</v>
      </c>
      <c r="D3342">
        <v>21.2</v>
      </c>
      <c r="E3342" t="s">
        <v>17</v>
      </c>
      <c r="F3342">
        <v>26.98</v>
      </c>
      <c r="G3342">
        <v>26.32</v>
      </c>
      <c r="H3342" t="s">
        <v>17</v>
      </c>
      <c r="I3342" t="str">
        <f>"060133205096"</f>
        <v>060133205096</v>
      </c>
    </row>
    <row r="3343" spans="1:9" x14ac:dyDescent="0.25">
      <c r="A3343" t="s">
        <v>2991</v>
      </c>
      <c r="B3343" t="s">
        <v>13</v>
      </c>
      <c r="C3343">
        <v>14</v>
      </c>
      <c r="D3343">
        <v>13.5</v>
      </c>
      <c r="E3343" t="s">
        <v>17</v>
      </c>
      <c r="F3343">
        <v>24</v>
      </c>
      <c r="G3343">
        <v>24.74</v>
      </c>
      <c r="H3343" t="s">
        <v>17</v>
      </c>
      <c r="I3343" t="str">
        <f>"063531007863"</f>
        <v>063531007863</v>
      </c>
    </row>
    <row r="3344" spans="1:9" x14ac:dyDescent="0.25">
      <c r="A3344" t="s">
        <v>2992</v>
      </c>
      <c r="B3344" t="s">
        <v>13</v>
      </c>
      <c r="C3344">
        <v>27.85</v>
      </c>
      <c r="D3344">
        <v>27.78</v>
      </c>
      <c r="E3344" t="s">
        <v>17</v>
      </c>
      <c r="F3344">
        <v>22.19</v>
      </c>
      <c r="G3344">
        <v>21.42</v>
      </c>
      <c r="H3344" t="s">
        <v>17</v>
      </c>
      <c r="I3344" t="str">
        <f>"060001909275"</f>
        <v>060001909275</v>
      </c>
    </row>
    <row r="3345" spans="1:9" x14ac:dyDescent="0.25">
      <c r="A3345" t="s">
        <v>2993</v>
      </c>
      <c r="B3345" t="s">
        <v>13</v>
      </c>
      <c r="C3345">
        <v>1.3</v>
      </c>
      <c r="D3345" t="s">
        <v>14</v>
      </c>
      <c r="E3345" t="s">
        <v>14</v>
      </c>
      <c r="F3345">
        <v>19.23</v>
      </c>
      <c r="G3345" t="s">
        <v>14</v>
      </c>
      <c r="H3345" t="s">
        <v>14</v>
      </c>
      <c r="I3345" t="str">
        <f>"061743013071"</f>
        <v>061743013071</v>
      </c>
    </row>
    <row r="3346" spans="1:9" x14ac:dyDescent="0.25">
      <c r="A3346" t="s">
        <v>2994</v>
      </c>
      <c r="B3346" t="s">
        <v>13</v>
      </c>
      <c r="C3346" t="s">
        <v>14</v>
      </c>
      <c r="D3346" t="str">
        <f>"0.80"</f>
        <v>0.80</v>
      </c>
      <c r="E3346" t="s">
        <v>17</v>
      </c>
      <c r="F3346" t="s">
        <v>17</v>
      </c>
      <c r="G3346">
        <v>6.25</v>
      </c>
      <c r="H3346" t="s">
        <v>17</v>
      </c>
      <c r="I3346" t="str">
        <f>"060004807403"</f>
        <v>060004807403</v>
      </c>
    </row>
    <row r="3347" spans="1:9" x14ac:dyDescent="0.25">
      <c r="A3347" t="s">
        <v>2995</v>
      </c>
      <c r="B3347" t="s">
        <v>13</v>
      </c>
      <c r="C3347">
        <v>28</v>
      </c>
      <c r="D3347">
        <v>29</v>
      </c>
      <c r="E3347" t="s">
        <v>17</v>
      </c>
      <c r="F3347">
        <v>27.21</v>
      </c>
      <c r="G3347">
        <v>26.24</v>
      </c>
      <c r="H3347" t="s">
        <v>17</v>
      </c>
      <c r="I3347" t="str">
        <f>"062454011185"</f>
        <v>062454011185</v>
      </c>
    </row>
    <row r="3348" spans="1:9" x14ac:dyDescent="0.25">
      <c r="A3348" t="s">
        <v>2996</v>
      </c>
      <c r="B3348" t="s">
        <v>13</v>
      </c>
      <c r="C3348" t="s">
        <v>14</v>
      </c>
      <c r="D3348" t="s">
        <v>14</v>
      </c>
      <c r="E3348" t="s">
        <v>17</v>
      </c>
      <c r="F3348" t="s">
        <v>14</v>
      </c>
      <c r="G3348" t="s">
        <v>14</v>
      </c>
      <c r="H3348" t="s">
        <v>17</v>
      </c>
      <c r="I3348" t="str">
        <f>"060015811502"</f>
        <v>060015811502</v>
      </c>
    </row>
    <row r="3349" spans="1:9" x14ac:dyDescent="0.25">
      <c r="A3349" t="s">
        <v>2997</v>
      </c>
      <c r="B3349" t="s">
        <v>13</v>
      </c>
      <c r="C3349">
        <v>28</v>
      </c>
      <c r="D3349">
        <v>26</v>
      </c>
      <c r="E3349" t="s">
        <v>17</v>
      </c>
      <c r="F3349">
        <v>25.96</v>
      </c>
      <c r="G3349">
        <v>26.62</v>
      </c>
      <c r="H3349" t="s">
        <v>17</v>
      </c>
      <c r="I3349" t="str">
        <f>"063867010695"</f>
        <v>063867010695</v>
      </c>
    </row>
    <row r="3350" spans="1:9" x14ac:dyDescent="0.25">
      <c r="A3350" t="s">
        <v>2997</v>
      </c>
      <c r="B3350" t="s">
        <v>13</v>
      </c>
      <c r="C3350">
        <v>27</v>
      </c>
      <c r="D3350">
        <v>29</v>
      </c>
      <c r="E3350" t="s">
        <v>17</v>
      </c>
      <c r="F3350">
        <v>28.59</v>
      </c>
      <c r="G3350">
        <v>27.1</v>
      </c>
      <c r="H3350" t="s">
        <v>17</v>
      </c>
      <c r="I3350" t="str">
        <f>"060903010484"</f>
        <v>060903010484</v>
      </c>
    </row>
    <row r="3351" spans="1:9" x14ac:dyDescent="0.25">
      <c r="A3351" t="s">
        <v>2997</v>
      </c>
      <c r="B3351" t="s">
        <v>13</v>
      </c>
      <c r="C3351">
        <v>29</v>
      </c>
      <c r="D3351">
        <v>29</v>
      </c>
      <c r="E3351" t="s">
        <v>17</v>
      </c>
      <c r="F3351">
        <v>21.52</v>
      </c>
      <c r="G3351">
        <v>21.52</v>
      </c>
      <c r="H3351" t="s">
        <v>17</v>
      </c>
      <c r="I3351" t="str">
        <f>"062949004541"</f>
        <v>062949004541</v>
      </c>
    </row>
    <row r="3352" spans="1:9" x14ac:dyDescent="0.25">
      <c r="A3352" t="s">
        <v>2997</v>
      </c>
      <c r="B3352" t="s">
        <v>13</v>
      </c>
      <c r="C3352">
        <v>22.33</v>
      </c>
      <c r="D3352">
        <v>18.329999999999998</v>
      </c>
      <c r="E3352" t="s">
        <v>17</v>
      </c>
      <c r="F3352">
        <v>25.79</v>
      </c>
      <c r="G3352">
        <v>20.239999999999998</v>
      </c>
      <c r="H3352" t="s">
        <v>17</v>
      </c>
      <c r="I3352" t="str">
        <f>"060003511532"</f>
        <v>060003511532</v>
      </c>
    </row>
    <row r="3353" spans="1:9" x14ac:dyDescent="0.25">
      <c r="A3353" t="s">
        <v>2998</v>
      </c>
      <c r="B3353" t="s">
        <v>13</v>
      </c>
      <c r="C3353">
        <v>105.74</v>
      </c>
      <c r="D3353">
        <v>104.33</v>
      </c>
      <c r="E3353" t="s">
        <v>17</v>
      </c>
      <c r="F3353">
        <v>23.75</v>
      </c>
      <c r="G3353">
        <v>24.31</v>
      </c>
      <c r="H3353" t="s">
        <v>17</v>
      </c>
      <c r="I3353" t="str">
        <f>"062160005726"</f>
        <v>062160005726</v>
      </c>
    </row>
    <row r="3354" spans="1:9" x14ac:dyDescent="0.25">
      <c r="A3354" t="s">
        <v>2998</v>
      </c>
      <c r="B3354" t="s">
        <v>13</v>
      </c>
      <c r="C3354">
        <v>2</v>
      </c>
      <c r="D3354">
        <v>2</v>
      </c>
      <c r="E3354" t="s">
        <v>17</v>
      </c>
      <c r="F3354">
        <v>8</v>
      </c>
      <c r="G3354">
        <v>13.5</v>
      </c>
      <c r="H3354" t="s">
        <v>17</v>
      </c>
      <c r="I3354" t="str">
        <f>"063660007822"</f>
        <v>063660007822</v>
      </c>
    </row>
    <row r="3355" spans="1:9" x14ac:dyDescent="0.25">
      <c r="A3355" t="s">
        <v>2999</v>
      </c>
      <c r="B3355" t="s">
        <v>13</v>
      </c>
      <c r="C3355">
        <v>25.33</v>
      </c>
      <c r="D3355">
        <v>25</v>
      </c>
      <c r="E3355" t="s">
        <v>17</v>
      </c>
      <c r="F3355">
        <v>25.94</v>
      </c>
      <c r="G3355">
        <v>25.2</v>
      </c>
      <c r="H3355" t="s">
        <v>17</v>
      </c>
      <c r="I3355" t="str">
        <f>"063348008495"</f>
        <v>063348008495</v>
      </c>
    </row>
    <row r="3356" spans="1:9" x14ac:dyDescent="0.25">
      <c r="A3356" t="s">
        <v>3000</v>
      </c>
      <c r="B3356" t="s">
        <v>13</v>
      </c>
      <c r="C3356">
        <v>7.25</v>
      </c>
      <c r="D3356">
        <v>10</v>
      </c>
      <c r="E3356" t="s">
        <v>17</v>
      </c>
      <c r="F3356">
        <v>21.79</v>
      </c>
      <c r="G3356">
        <v>19.8</v>
      </c>
      <c r="H3356" t="s">
        <v>17</v>
      </c>
      <c r="I3356" t="str">
        <f>"061839002250"</f>
        <v>061839002250</v>
      </c>
    </row>
    <row r="3357" spans="1:9" x14ac:dyDescent="0.25">
      <c r="A3357" t="s">
        <v>3001</v>
      </c>
      <c r="B3357" t="s">
        <v>13</v>
      </c>
      <c r="C3357">
        <v>20.260000000000002</v>
      </c>
      <c r="D3357">
        <v>21.87</v>
      </c>
      <c r="E3357" t="s">
        <v>17</v>
      </c>
      <c r="F3357">
        <v>23.94</v>
      </c>
      <c r="G3357">
        <v>23.27</v>
      </c>
      <c r="H3357" t="s">
        <v>17</v>
      </c>
      <c r="I3357" t="str">
        <f>"064308007001"</f>
        <v>064308007001</v>
      </c>
    </row>
    <row r="3358" spans="1:9" x14ac:dyDescent="0.25">
      <c r="A3358" t="s">
        <v>3002</v>
      </c>
      <c r="B3358" t="s">
        <v>13</v>
      </c>
      <c r="C3358" t="s">
        <v>14</v>
      </c>
      <c r="D3358">
        <v>15</v>
      </c>
      <c r="E3358" t="s">
        <v>17</v>
      </c>
      <c r="F3358" t="s">
        <v>17</v>
      </c>
      <c r="G3358">
        <v>21.93</v>
      </c>
      <c r="H3358" t="s">
        <v>17</v>
      </c>
      <c r="I3358" t="str">
        <f>"063384005242"</f>
        <v>063384005242</v>
      </c>
    </row>
    <row r="3359" spans="1:9" x14ac:dyDescent="0.25">
      <c r="A3359" t="s">
        <v>3003</v>
      </c>
      <c r="B3359" t="s">
        <v>13</v>
      </c>
      <c r="C3359">
        <v>23</v>
      </c>
      <c r="D3359">
        <v>24</v>
      </c>
      <c r="E3359" t="s">
        <v>17</v>
      </c>
      <c r="F3359">
        <v>16.260000000000002</v>
      </c>
      <c r="G3359">
        <v>18.71</v>
      </c>
      <c r="H3359" t="s">
        <v>17</v>
      </c>
      <c r="I3359" t="str">
        <f>"063432005464"</f>
        <v>063432005464</v>
      </c>
    </row>
    <row r="3360" spans="1:9" x14ac:dyDescent="0.25">
      <c r="A3360" t="s">
        <v>3004</v>
      </c>
      <c r="B3360" t="s">
        <v>13</v>
      </c>
      <c r="C3360">
        <v>34.47</v>
      </c>
      <c r="D3360">
        <v>29.5</v>
      </c>
      <c r="E3360" t="s">
        <v>17</v>
      </c>
      <c r="F3360">
        <v>20.420000000000002</v>
      </c>
      <c r="G3360">
        <v>21.42</v>
      </c>
      <c r="H3360" t="s">
        <v>17</v>
      </c>
      <c r="I3360" t="str">
        <f>"063132004840"</f>
        <v>063132004840</v>
      </c>
    </row>
    <row r="3361" spans="1:9" x14ac:dyDescent="0.25">
      <c r="A3361" t="s">
        <v>3005</v>
      </c>
      <c r="B3361" t="s">
        <v>13</v>
      </c>
      <c r="C3361">
        <v>17</v>
      </c>
      <c r="D3361">
        <v>19.5</v>
      </c>
      <c r="E3361" t="s">
        <v>17</v>
      </c>
      <c r="F3361">
        <v>30.53</v>
      </c>
      <c r="G3361">
        <v>27.33</v>
      </c>
      <c r="H3361" t="s">
        <v>17</v>
      </c>
      <c r="I3361" t="str">
        <f>"062547003796"</f>
        <v>062547003796</v>
      </c>
    </row>
    <row r="3362" spans="1:9" x14ac:dyDescent="0.25">
      <c r="A3362" t="s">
        <v>3005</v>
      </c>
      <c r="B3362" t="s">
        <v>13</v>
      </c>
      <c r="C3362">
        <v>27</v>
      </c>
      <c r="D3362">
        <v>32</v>
      </c>
      <c r="E3362" t="s">
        <v>17</v>
      </c>
      <c r="F3362">
        <v>28.85</v>
      </c>
      <c r="G3362">
        <v>25.53</v>
      </c>
      <c r="H3362" t="s">
        <v>17</v>
      </c>
      <c r="I3362" t="str">
        <f>"063531005986"</f>
        <v>063531005986</v>
      </c>
    </row>
    <row r="3363" spans="1:9" x14ac:dyDescent="0.25">
      <c r="A3363" t="s">
        <v>3005</v>
      </c>
      <c r="B3363" t="s">
        <v>13</v>
      </c>
      <c r="C3363">
        <v>16</v>
      </c>
      <c r="D3363">
        <v>16</v>
      </c>
      <c r="E3363" t="s">
        <v>17</v>
      </c>
      <c r="F3363">
        <v>30.44</v>
      </c>
      <c r="G3363">
        <v>28.69</v>
      </c>
      <c r="H3363" t="s">
        <v>17</v>
      </c>
      <c r="I3363" t="str">
        <f>"062250002714"</f>
        <v>062250002714</v>
      </c>
    </row>
    <row r="3364" spans="1:9" x14ac:dyDescent="0.25">
      <c r="A3364" t="s">
        <v>3005</v>
      </c>
      <c r="B3364" t="s">
        <v>13</v>
      </c>
      <c r="C3364">
        <v>17.5</v>
      </c>
      <c r="D3364">
        <v>19.399999999999999</v>
      </c>
      <c r="E3364" t="s">
        <v>17</v>
      </c>
      <c r="F3364">
        <v>26.4</v>
      </c>
      <c r="G3364">
        <v>22.89</v>
      </c>
      <c r="H3364" t="s">
        <v>17</v>
      </c>
      <c r="I3364" t="str">
        <f>"061425001639"</f>
        <v>061425001639</v>
      </c>
    </row>
    <row r="3365" spans="1:9" x14ac:dyDescent="0.25">
      <c r="A3365" t="s">
        <v>3005</v>
      </c>
      <c r="B3365" t="s">
        <v>13</v>
      </c>
      <c r="C3365">
        <v>23</v>
      </c>
      <c r="D3365">
        <v>22</v>
      </c>
      <c r="E3365" t="s">
        <v>17</v>
      </c>
      <c r="F3365">
        <v>23.65</v>
      </c>
      <c r="G3365">
        <v>22.23</v>
      </c>
      <c r="H3365" t="s">
        <v>17</v>
      </c>
      <c r="I3365" t="str">
        <f>"061455001728"</f>
        <v>061455001728</v>
      </c>
    </row>
    <row r="3366" spans="1:9" x14ac:dyDescent="0.25">
      <c r="A3366" t="s">
        <v>3005</v>
      </c>
      <c r="B3366" t="s">
        <v>13</v>
      </c>
      <c r="C3366">
        <v>21.68</v>
      </c>
      <c r="D3366">
        <v>24.68</v>
      </c>
      <c r="E3366" t="s">
        <v>17</v>
      </c>
      <c r="F3366">
        <v>27.44</v>
      </c>
      <c r="G3366">
        <v>25.53</v>
      </c>
      <c r="H3366" t="s">
        <v>17</v>
      </c>
      <c r="I3366" t="str">
        <f>"060015310936"</f>
        <v>060015310936</v>
      </c>
    </row>
    <row r="3367" spans="1:9" x14ac:dyDescent="0.25">
      <c r="A3367" t="s">
        <v>3005</v>
      </c>
      <c r="B3367" t="s">
        <v>13</v>
      </c>
      <c r="C3367">
        <v>37.5</v>
      </c>
      <c r="D3367">
        <v>31.5</v>
      </c>
      <c r="E3367" t="s">
        <v>17</v>
      </c>
      <c r="F3367">
        <v>19.12</v>
      </c>
      <c r="G3367">
        <v>22.98</v>
      </c>
      <c r="H3367" t="s">
        <v>17</v>
      </c>
      <c r="I3367" t="str">
        <f>"061089001210"</f>
        <v>061089001210</v>
      </c>
    </row>
    <row r="3368" spans="1:9" x14ac:dyDescent="0.25">
      <c r="A3368" t="s">
        <v>3005</v>
      </c>
      <c r="B3368" t="s">
        <v>13</v>
      </c>
      <c r="C3368">
        <v>39.799999999999997</v>
      </c>
      <c r="D3368">
        <v>40.4</v>
      </c>
      <c r="E3368" t="s">
        <v>17</v>
      </c>
      <c r="F3368">
        <v>22.26</v>
      </c>
      <c r="G3368">
        <v>22.28</v>
      </c>
      <c r="H3368" t="s">
        <v>17</v>
      </c>
      <c r="I3368" t="str">
        <f>"060363000300"</f>
        <v>060363000300</v>
      </c>
    </row>
    <row r="3369" spans="1:9" x14ac:dyDescent="0.25">
      <c r="A3369" t="s">
        <v>3005</v>
      </c>
      <c r="B3369" t="s">
        <v>13</v>
      </c>
      <c r="C3369">
        <v>31</v>
      </c>
      <c r="D3369">
        <v>29</v>
      </c>
      <c r="E3369" t="s">
        <v>17</v>
      </c>
      <c r="F3369">
        <v>29.06</v>
      </c>
      <c r="G3369">
        <v>29.03</v>
      </c>
      <c r="H3369" t="s">
        <v>17</v>
      </c>
      <c r="I3369" t="str">
        <f>"060195000084"</f>
        <v>060195000084</v>
      </c>
    </row>
    <row r="3370" spans="1:9" x14ac:dyDescent="0.25">
      <c r="A3370" t="s">
        <v>3005</v>
      </c>
      <c r="B3370" t="s">
        <v>13</v>
      </c>
      <c r="C3370">
        <v>19</v>
      </c>
      <c r="D3370">
        <v>20.8</v>
      </c>
      <c r="E3370" t="s">
        <v>17</v>
      </c>
      <c r="F3370">
        <v>29.89</v>
      </c>
      <c r="G3370">
        <v>26.2</v>
      </c>
      <c r="H3370" t="s">
        <v>17</v>
      </c>
      <c r="I3370" t="str">
        <f>"060285000211"</f>
        <v>060285000211</v>
      </c>
    </row>
    <row r="3371" spans="1:9" x14ac:dyDescent="0.25">
      <c r="A3371" t="s">
        <v>3005</v>
      </c>
      <c r="B3371" t="s">
        <v>13</v>
      </c>
      <c r="C3371">
        <v>20.47</v>
      </c>
      <c r="D3371">
        <v>20.440000000000001</v>
      </c>
      <c r="E3371" t="s">
        <v>17</v>
      </c>
      <c r="F3371">
        <v>26.97</v>
      </c>
      <c r="G3371">
        <v>27.94</v>
      </c>
      <c r="H3371" t="s">
        <v>17</v>
      </c>
      <c r="I3371" t="str">
        <f>"063315005137"</f>
        <v>063315005137</v>
      </c>
    </row>
    <row r="3372" spans="1:9" x14ac:dyDescent="0.25">
      <c r="A3372" t="s">
        <v>3006</v>
      </c>
      <c r="B3372" t="s">
        <v>13</v>
      </c>
      <c r="C3372">
        <v>89.18</v>
      </c>
      <c r="D3372">
        <v>83.2</v>
      </c>
      <c r="E3372" t="s">
        <v>17</v>
      </c>
      <c r="F3372">
        <v>22.53</v>
      </c>
      <c r="G3372">
        <v>23.85</v>
      </c>
      <c r="H3372" t="s">
        <v>17</v>
      </c>
      <c r="I3372" t="str">
        <f>"061443001696"</f>
        <v>061443001696</v>
      </c>
    </row>
    <row r="3373" spans="1:9" x14ac:dyDescent="0.25">
      <c r="A3373" t="s">
        <v>3006</v>
      </c>
      <c r="B3373" t="s">
        <v>13</v>
      </c>
      <c r="C3373">
        <v>46.63</v>
      </c>
      <c r="D3373" t="s">
        <v>14</v>
      </c>
      <c r="E3373" t="s">
        <v>14</v>
      </c>
      <c r="F3373">
        <v>17.05</v>
      </c>
      <c r="G3373" t="s">
        <v>14</v>
      </c>
      <c r="H3373" t="s">
        <v>14</v>
      </c>
      <c r="I3373" t="str">
        <f>"062805013062"</f>
        <v>062805013062</v>
      </c>
    </row>
    <row r="3374" spans="1:9" x14ac:dyDescent="0.25">
      <c r="A3374" t="s">
        <v>3007</v>
      </c>
      <c r="B3374" t="s">
        <v>13</v>
      </c>
      <c r="C3374">
        <v>49.34</v>
      </c>
      <c r="D3374">
        <v>43.6</v>
      </c>
      <c r="E3374" t="s">
        <v>17</v>
      </c>
      <c r="F3374">
        <v>21.73</v>
      </c>
      <c r="G3374">
        <v>24.54</v>
      </c>
      <c r="H3374" t="s">
        <v>17</v>
      </c>
      <c r="I3374" t="str">
        <f>"062922004504"</f>
        <v>062922004504</v>
      </c>
    </row>
    <row r="3375" spans="1:9" x14ac:dyDescent="0.25">
      <c r="A3375" t="s">
        <v>3008</v>
      </c>
      <c r="B3375" t="s">
        <v>13</v>
      </c>
      <c r="C3375">
        <v>18</v>
      </c>
      <c r="D3375">
        <v>19</v>
      </c>
      <c r="E3375" t="s">
        <v>17</v>
      </c>
      <c r="F3375">
        <v>20.440000000000001</v>
      </c>
      <c r="G3375">
        <v>19.21</v>
      </c>
      <c r="H3375" t="s">
        <v>17</v>
      </c>
      <c r="I3375" t="str">
        <f>"060699008804"</f>
        <v>060699008804</v>
      </c>
    </row>
    <row r="3376" spans="1:9" x14ac:dyDescent="0.25">
      <c r="A3376" t="s">
        <v>3009</v>
      </c>
      <c r="B3376" t="s">
        <v>13</v>
      </c>
      <c r="C3376">
        <v>26.85</v>
      </c>
      <c r="D3376">
        <v>27.3</v>
      </c>
      <c r="E3376" t="s">
        <v>17</v>
      </c>
      <c r="F3376">
        <v>26.18</v>
      </c>
      <c r="G3376">
        <v>25.2</v>
      </c>
      <c r="H3376" t="s">
        <v>17</v>
      </c>
      <c r="I3376" t="str">
        <f>"062361003578"</f>
        <v>062361003578</v>
      </c>
    </row>
    <row r="3377" spans="1:9" x14ac:dyDescent="0.25">
      <c r="A3377" t="s">
        <v>3010</v>
      </c>
      <c r="B3377" t="s">
        <v>13</v>
      </c>
      <c r="C3377">
        <v>1.75</v>
      </c>
      <c r="D3377">
        <v>1.5</v>
      </c>
      <c r="E3377" t="s">
        <v>17</v>
      </c>
      <c r="F3377">
        <v>13.14</v>
      </c>
      <c r="G3377">
        <v>13.33</v>
      </c>
      <c r="H3377" t="s">
        <v>17</v>
      </c>
      <c r="I3377" t="str">
        <f>"061449001701"</f>
        <v>061449001701</v>
      </c>
    </row>
    <row r="3378" spans="1:9" x14ac:dyDescent="0.25">
      <c r="A3378" t="s">
        <v>3011</v>
      </c>
      <c r="B3378" t="s">
        <v>13</v>
      </c>
      <c r="C3378">
        <v>31.8</v>
      </c>
      <c r="D3378">
        <v>37.5</v>
      </c>
      <c r="E3378" t="s">
        <v>17</v>
      </c>
      <c r="F3378">
        <v>27.67</v>
      </c>
      <c r="G3378">
        <v>23.52</v>
      </c>
      <c r="H3378" t="s">
        <v>17</v>
      </c>
      <c r="I3378" t="str">
        <f>"060002811170"</f>
        <v>060002811170</v>
      </c>
    </row>
    <row r="3379" spans="1:9" x14ac:dyDescent="0.25">
      <c r="A3379" t="s">
        <v>3012</v>
      </c>
      <c r="B3379" t="s">
        <v>13</v>
      </c>
      <c r="C3379">
        <v>2.2000000000000002</v>
      </c>
      <c r="D3379">
        <v>2.41</v>
      </c>
      <c r="E3379" t="s">
        <v>17</v>
      </c>
      <c r="F3379">
        <v>24.55</v>
      </c>
      <c r="G3379">
        <v>22.41</v>
      </c>
      <c r="H3379" t="s">
        <v>17</v>
      </c>
      <c r="I3379" t="str">
        <f>"061452007974"</f>
        <v>061452007974</v>
      </c>
    </row>
    <row r="3380" spans="1:9" x14ac:dyDescent="0.25">
      <c r="A3380" t="s">
        <v>3013</v>
      </c>
      <c r="B3380" t="s">
        <v>13</v>
      </c>
      <c r="C3380">
        <v>14.8</v>
      </c>
      <c r="D3380">
        <v>15.31</v>
      </c>
      <c r="E3380" t="s">
        <v>17</v>
      </c>
      <c r="F3380">
        <v>18.78</v>
      </c>
      <c r="G3380">
        <v>17.77</v>
      </c>
      <c r="H3380" t="s">
        <v>17</v>
      </c>
      <c r="I3380" t="str">
        <f>"061452001702"</f>
        <v>061452001702</v>
      </c>
    </row>
    <row r="3381" spans="1:9" x14ac:dyDescent="0.25">
      <c r="A3381" t="s">
        <v>3014</v>
      </c>
      <c r="B3381" t="s">
        <v>13</v>
      </c>
      <c r="C3381">
        <v>9</v>
      </c>
      <c r="D3381">
        <v>6.5</v>
      </c>
      <c r="E3381" t="s">
        <v>17</v>
      </c>
      <c r="F3381">
        <v>17.329999999999998</v>
      </c>
      <c r="G3381">
        <v>20.149999999999999</v>
      </c>
      <c r="H3381" t="s">
        <v>17</v>
      </c>
      <c r="I3381" t="str">
        <f>"061455011900"</f>
        <v>061455011900</v>
      </c>
    </row>
    <row r="3382" spans="1:9" x14ac:dyDescent="0.25">
      <c r="A3382" t="s">
        <v>3015</v>
      </c>
      <c r="B3382" t="s">
        <v>13</v>
      </c>
      <c r="C3382" t="s">
        <v>17</v>
      </c>
      <c r="D3382" t="s">
        <v>14</v>
      </c>
      <c r="E3382" t="s">
        <v>14</v>
      </c>
      <c r="F3382" t="s">
        <v>17</v>
      </c>
      <c r="G3382" t="s">
        <v>14</v>
      </c>
      <c r="H3382" t="s">
        <v>14</v>
      </c>
      <c r="I3382" t="str">
        <f>"061455013479"</f>
        <v>061455013479</v>
      </c>
    </row>
    <row r="3383" spans="1:9" x14ac:dyDescent="0.25">
      <c r="A3383" t="s">
        <v>3016</v>
      </c>
      <c r="B3383" t="s">
        <v>13</v>
      </c>
      <c r="C3383" t="s">
        <v>17</v>
      </c>
      <c r="D3383" t="s">
        <v>17</v>
      </c>
      <c r="E3383" t="s">
        <v>17</v>
      </c>
      <c r="F3383" t="s">
        <v>17</v>
      </c>
      <c r="G3383" t="s">
        <v>17</v>
      </c>
      <c r="H3383" t="s">
        <v>17</v>
      </c>
      <c r="I3383" t="str">
        <f>"069100712597"</f>
        <v>069100712597</v>
      </c>
    </row>
    <row r="3384" spans="1:9" x14ac:dyDescent="0.25">
      <c r="A3384" t="s">
        <v>3017</v>
      </c>
      <c r="B3384" t="s">
        <v>13</v>
      </c>
      <c r="C3384">
        <v>5.0999999999999996</v>
      </c>
      <c r="D3384">
        <v>8.4</v>
      </c>
      <c r="E3384" t="s">
        <v>17</v>
      </c>
      <c r="F3384">
        <v>15.88</v>
      </c>
      <c r="G3384">
        <v>14.4</v>
      </c>
      <c r="H3384" t="s">
        <v>17</v>
      </c>
      <c r="I3384" t="str">
        <f>"069100710481"</f>
        <v>069100710481</v>
      </c>
    </row>
    <row r="3385" spans="1:9" x14ac:dyDescent="0.25">
      <c r="A3385" t="s">
        <v>3018</v>
      </c>
      <c r="B3385" t="s">
        <v>13</v>
      </c>
      <c r="C3385">
        <v>6.1</v>
      </c>
      <c r="D3385">
        <v>6.1</v>
      </c>
      <c r="E3385" t="s">
        <v>17</v>
      </c>
      <c r="F3385">
        <v>21.31</v>
      </c>
      <c r="G3385">
        <v>18.2</v>
      </c>
      <c r="H3385" t="s">
        <v>17</v>
      </c>
      <c r="I3385" t="str">
        <f>"069100710482"</f>
        <v>069100710482</v>
      </c>
    </row>
    <row r="3386" spans="1:9" x14ac:dyDescent="0.25">
      <c r="A3386" t="s">
        <v>3019</v>
      </c>
      <c r="B3386" t="s">
        <v>13</v>
      </c>
      <c r="C3386">
        <v>26</v>
      </c>
      <c r="D3386">
        <v>26</v>
      </c>
      <c r="E3386" t="s">
        <v>17</v>
      </c>
      <c r="F3386">
        <v>13</v>
      </c>
      <c r="G3386">
        <v>14.27</v>
      </c>
      <c r="H3386" t="s">
        <v>17</v>
      </c>
      <c r="I3386" t="str">
        <f>"069100709219"</f>
        <v>069100709219</v>
      </c>
    </row>
    <row r="3387" spans="1:9" x14ac:dyDescent="0.25">
      <c r="A3387" t="s">
        <v>3020</v>
      </c>
      <c r="B3387" t="s">
        <v>13</v>
      </c>
      <c r="C3387">
        <v>67</v>
      </c>
      <c r="D3387">
        <v>70.900000000000006</v>
      </c>
      <c r="E3387" t="s">
        <v>17</v>
      </c>
      <c r="F3387">
        <v>7.37</v>
      </c>
      <c r="G3387">
        <v>7.7</v>
      </c>
      <c r="H3387" t="s">
        <v>17</v>
      </c>
      <c r="I3387" t="str">
        <f>"069100709220"</f>
        <v>069100709220</v>
      </c>
    </row>
    <row r="3388" spans="1:9" x14ac:dyDescent="0.25">
      <c r="A3388" t="s">
        <v>3021</v>
      </c>
      <c r="B3388" t="s">
        <v>13</v>
      </c>
      <c r="C3388">
        <v>1</v>
      </c>
      <c r="D3388">
        <v>1</v>
      </c>
      <c r="E3388" t="s">
        <v>17</v>
      </c>
      <c r="F3388">
        <v>3</v>
      </c>
      <c r="G3388">
        <v>3</v>
      </c>
      <c r="H3388" t="s">
        <v>17</v>
      </c>
      <c r="I3388" t="str">
        <f>"060408007167"</f>
        <v>060408007167</v>
      </c>
    </row>
    <row r="3389" spans="1:9" x14ac:dyDescent="0.25">
      <c r="A3389" t="s">
        <v>3022</v>
      </c>
      <c r="B3389" t="s">
        <v>13</v>
      </c>
      <c r="C3389">
        <v>98.02</v>
      </c>
      <c r="D3389">
        <v>110.3</v>
      </c>
      <c r="E3389" t="s">
        <v>17</v>
      </c>
      <c r="F3389">
        <v>22.72</v>
      </c>
      <c r="G3389">
        <v>21.71</v>
      </c>
      <c r="H3389" t="s">
        <v>17</v>
      </c>
      <c r="I3389" t="str">
        <f>"061455001730"</f>
        <v>061455001730</v>
      </c>
    </row>
    <row r="3390" spans="1:9" x14ac:dyDescent="0.25">
      <c r="A3390" t="s">
        <v>3023</v>
      </c>
      <c r="B3390" t="s">
        <v>13</v>
      </c>
      <c r="C3390" t="s">
        <v>17</v>
      </c>
      <c r="D3390" t="s">
        <v>17</v>
      </c>
      <c r="E3390" t="s">
        <v>17</v>
      </c>
      <c r="F3390" t="s">
        <v>17</v>
      </c>
      <c r="G3390" t="s">
        <v>17</v>
      </c>
      <c r="H3390" t="s">
        <v>17</v>
      </c>
      <c r="I3390" t="str">
        <f>"060009810788"</f>
        <v>060009810788</v>
      </c>
    </row>
    <row r="3391" spans="1:9" x14ac:dyDescent="0.25">
      <c r="A3391" t="s">
        <v>3024</v>
      </c>
      <c r="B3391" t="s">
        <v>13</v>
      </c>
      <c r="C3391">
        <v>22.5</v>
      </c>
      <c r="D3391">
        <v>23.01</v>
      </c>
      <c r="E3391" t="s">
        <v>17</v>
      </c>
      <c r="F3391">
        <v>15.69</v>
      </c>
      <c r="G3391">
        <v>18.510000000000002</v>
      </c>
      <c r="H3391" t="s">
        <v>17</v>
      </c>
      <c r="I3391" t="str">
        <f>"062805004263"</f>
        <v>062805004263</v>
      </c>
    </row>
    <row r="3392" spans="1:9" x14ac:dyDescent="0.25">
      <c r="A3392" t="s">
        <v>3025</v>
      </c>
      <c r="B3392" t="s">
        <v>13</v>
      </c>
      <c r="C3392">
        <v>6</v>
      </c>
      <c r="D3392">
        <v>6.01</v>
      </c>
      <c r="E3392" t="s">
        <v>17</v>
      </c>
      <c r="F3392">
        <v>24</v>
      </c>
      <c r="G3392">
        <v>26.46</v>
      </c>
      <c r="H3392" t="s">
        <v>17</v>
      </c>
      <c r="I3392" t="str">
        <f>"062271011629"</f>
        <v>062271011629</v>
      </c>
    </row>
    <row r="3393" spans="1:9" x14ac:dyDescent="0.25">
      <c r="A3393" t="s">
        <v>3026</v>
      </c>
      <c r="B3393" t="s">
        <v>13</v>
      </c>
      <c r="C3393">
        <v>18.649999999999999</v>
      </c>
      <c r="D3393">
        <v>20.149999999999999</v>
      </c>
      <c r="E3393" t="s">
        <v>17</v>
      </c>
      <c r="F3393">
        <v>20.64</v>
      </c>
      <c r="G3393">
        <v>20.100000000000001</v>
      </c>
      <c r="H3393" t="s">
        <v>17</v>
      </c>
      <c r="I3393" t="str">
        <f>"062586009164"</f>
        <v>062586009164</v>
      </c>
    </row>
    <row r="3394" spans="1:9" x14ac:dyDescent="0.25">
      <c r="A3394" t="s">
        <v>3027</v>
      </c>
      <c r="B3394" t="s">
        <v>13</v>
      </c>
      <c r="C3394">
        <v>22</v>
      </c>
      <c r="D3394">
        <v>32</v>
      </c>
      <c r="E3394" t="s">
        <v>17</v>
      </c>
      <c r="F3394">
        <v>22.95</v>
      </c>
      <c r="G3394">
        <v>22.44</v>
      </c>
      <c r="H3394" t="s">
        <v>17</v>
      </c>
      <c r="I3394" t="str">
        <f>"062271003026"</f>
        <v>062271003026</v>
      </c>
    </row>
    <row r="3395" spans="1:9" x14ac:dyDescent="0.25">
      <c r="A3395" t="s">
        <v>3028</v>
      </c>
      <c r="B3395" t="s">
        <v>13</v>
      </c>
      <c r="C3395">
        <v>47.85</v>
      </c>
      <c r="D3395">
        <v>49.14</v>
      </c>
      <c r="E3395" t="s">
        <v>17</v>
      </c>
      <c r="F3395">
        <v>24.97</v>
      </c>
      <c r="G3395">
        <v>24.09</v>
      </c>
      <c r="H3395" t="s">
        <v>17</v>
      </c>
      <c r="I3395" t="str">
        <f>"063237004991"</f>
        <v>063237004991</v>
      </c>
    </row>
    <row r="3396" spans="1:9" x14ac:dyDescent="0.25">
      <c r="A3396" t="s">
        <v>3029</v>
      </c>
      <c r="B3396" t="s">
        <v>13</v>
      </c>
      <c r="C3396">
        <v>19</v>
      </c>
      <c r="D3396">
        <v>18</v>
      </c>
      <c r="E3396" t="s">
        <v>17</v>
      </c>
      <c r="F3396">
        <v>28.32</v>
      </c>
      <c r="G3396">
        <v>27.67</v>
      </c>
      <c r="H3396" t="s">
        <v>17</v>
      </c>
      <c r="I3396" t="str">
        <f>"060133205097"</f>
        <v>060133205097</v>
      </c>
    </row>
    <row r="3397" spans="1:9" x14ac:dyDescent="0.25">
      <c r="A3397" t="s">
        <v>3029</v>
      </c>
      <c r="B3397" t="s">
        <v>13</v>
      </c>
      <c r="C3397">
        <v>16</v>
      </c>
      <c r="D3397">
        <v>14.5</v>
      </c>
      <c r="E3397" t="s">
        <v>17</v>
      </c>
      <c r="F3397">
        <v>26.19</v>
      </c>
      <c r="G3397">
        <v>26.07</v>
      </c>
      <c r="H3397" t="s">
        <v>17</v>
      </c>
      <c r="I3397" t="str">
        <f>"063051012323"</f>
        <v>063051012323</v>
      </c>
    </row>
    <row r="3398" spans="1:9" x14ac:dyDescent="0.25">
      <c r="A3398" t="s">
        <v>3030</v>
      </c>
      <c r="B3398" t="s">
        <v>13</v>
      </c>
      <c r="C3398">
        <v>17.43</v>
      </c>
      <c r="D3398">
        <v>20.81</v>
      </c>
      <c r="E3398" t="s">
        <v>17</v>
      </c>
      <c r="F3398">
        <v>25.3</v>
      </c>
      <c r="G3398">
        <v>20.23</v>
      </c>
      <c r="H3398" t="s">
        <v>17</v>
      </c>
      <c r="I3398" t="str">
        <f>"062927004518"</f>
        <v>062927004518</v>
      </c>
    </row>
    <row r="3399" spans="1:9" x14ac:dyDescent="0.25">
      <c r="A3399" t="s">
        <v>3030</v>
      </c>
      <c r="B3399" t="s">
        <v>13</v>
      </c>
      <c r="C3399">
        <v>85.27</v>
      </c>
      <c r="D3399">
        <v>85.52</v>
      </c>
      <c r="E3399" t="s">
        <v>17</v>
      </c>
      <c r="F3399">
        <v>28.24</v>
      </c>
      <c r="G3399">
        <v>29.01</v>
      </c>
      <c r="H3399" t="s">
        <v>17</v>
      </c>
      <c r="I3399" t="str">
        <f>"061954011601"</f>
        <v>061954011601</v>
      </c>
    </row>
    <row r="3400" spans="1:9" x14ac:dyDescent="0.25">
      <c r="A3400" t="s">
        <v>3031</v>
      </c>
      <c r="B3400" t="s">
        <v>13</v>
      </c>
      <c r="C3400">
        <v>28</v>
      </c>
      <c r="D3400">
        <v>29.2</v>
      </c>
      <c r="E3400" t="s">
        <v>17</v>
      </c>
      <c r="F3400">
        <v>24.18</v>
      </c>
      <c r="G3400">
        <v>24.14</v>
      </c>
      <c r="H3400" t="s">
        <v>17</v>
      </c>
      <c r="I3400" t="str">
        <f>"064248009008"</f>
        <v>064248009008</v>
      </c>
    </row>
    <row r="3401" spans="1:9" x14ac:dyDescent="0.25">
      <c r="A3401" t="s">
        <v>3032</v>
      </c>
      <c r="B3401" t="s">
        <v>13</v>
      </c>
      <c r="C3401">
        <v>23.5</v>
      </c>
      <c r="D3401">
        <v>26</v>
      </c>
      <c r="E3401" t="s">
        <v>17</v>
      </c>
      <c r="F3401">
        <v>27.66</v>
      </c>
      <c r="G3401">
        <v>25.35</v>
      </c>
      <c r="H3401" t="s">
        <v>17</v>
      </c>
      <c r="I3401" t="str">
        <f>"062781004213"</f>
        <v>062781004213</v>
      </c>
    </row>
    <row r="3402" spans="1:9" x14ac:dyDescent="0.25">
      <c r="A3402" t="s">
        <v>3033</v>
      </c>
      <c r="B3402" t="s">
        <v>13</v>
      </c>
      <c r="C3402">
        <v>9.4</v>
      </c>
      <c r="D3402">
        <v>13.54</v>
      </c>
      <c r="E3402" t="s">
        <v>17</v>
      </c>
      <c r="F3402">
        <v>32.979999999999997</v>
      </c>
      <c r="G3402">
        <v>23.71</v>
      </c>
      <c r="H3402" t="s">
        <v>17</v>
      </c>
      <c r="I3402" t="str">
        <f>"063384005243"</f>
        <v>063384005243</v>
      </c>
    </row>
    <row r="3403" spans="1:9" x14ac:dyDescent="0.25">
      <c r="A3403" t="s">
        <v>3034</v>
      </c>
      <c r="B3403" t="s">
        <v>13</v>
      </c>
      <c r="C3403">
        <v>35.15</v>
      </c>
      <c r="D3403">
        <v>39.1</v>
      </c>
      <c r="E3403" t="s">
        <v>17</v>
      </c>
      <c r="F3403">
        <v>26.17</v>
      </c>
      <c r="G3403">
        <v>23.84</v>
      </c>
      <c r="H3403" t="s">
        <v>17</v>
      </c>
      <c r="I3403" t="str">
        <f>"061692010276"</f>
        <v>061692010276</v>
      </c>
    </row>
    <row r="3404" spans="1:9" x14ac:dyDescent="0.25">
      <c r="A3404" t="s">
        <v>3034</v>
      </c>
      <c r="B3404" t="s">
        <v>13</v>
      </c>
      <c r="C3404">
        <v>18</v>
      </c>
      <c r="D3404">
        <v>20</v>
      </c>
      <c r="E3404" t="s">
        <v>17</v>
      </c>
      <c r="F3404">
        <v>24.22</v>
      </c>
      <c r="G3404">
        <v>23.55</v>
      </c>
      <c r="H3404" t="s">
        <v>17</v>
      </c>
      <c r="I3404" t="str">
        <f>"062805004264"</f>
        <v>062805004264</v>
      </c>
    </row>
    <row r="3405" spans="1:9" x14ac:dyDescent="0.25">
      <c r="A3405" t="s">
        <v>3035</v>
      </c>
      <c r="B3405" t="s">
        <v>13</v>
      </c>
      <c r="C3405">
        <v>27.43</v>
      </c>
      <c r="D3405">
        <v>29.42</v>
      </c>
      <c r="E3405" t="s">
        <v>17</v>
      </c>
      <c r="F3405">
        <v>15.24</v>
      </c>
      <c r="G3405">
        <v>25.8</v>
      </c>
      <c r="H3405" t="s">
        <v>17</v>
      </c>
      <c r="I3405" t="str">
        <f>"061470008142"</f>
        <v>061470008142</v>
      </c>
    </row>
    <row r="3406" spans="1:9" x14ac:dyDescent="0.25">
      <c r="A3406" t="s">
        <v>3036</v>
      </c>
      <c r="B3406" t="s">
        <v>13</v>
      </c>
      <c r="C3406">
        <v>19</v>
      </c>
      <c r="D3406">
        <v>20</v>
      </c>
      <c r="E3406" t="s">
        <v>17</v>
      </c>
      <c r="F3406">
        <v>24.79</v>
      </c>
      <c r="G3406">
        <v>23.9</v>
      </c>
      <c r="H3406" t="s">
        <v>17</v>
      </c>
      <c r="I3406" t="str">
        <f>"064215006907"</f>
        <v>064215006907</v>
      </c>
    </row>
    <row r="3407" spans="1:9" x14ac:dyDescent="0.25">
      <c r="A3407" t="s">
        <v>3037</v>
      </c>
      <c r="B3407" t="s">
        <v>13</v>
      </c>
      <c r="C3407">
        <v>5.45</v>
      </c>
      <c r="D3407">
        <v>6.06</v>
      </c>
      <c r="E3407" t="s">
        <v>17</v>
      </c>
      <c r="F3407">
        <v>16.7</v>
      </c>
      <c r="G3407">
        <v>16.670000000000002</v>
      </c>
      <c r="H3407" t="s">
        <v>17</v>
      </c>
      <c r="I3407" t="str">
        <f>"060300010799"</f>
        <v>060300010799</v>
      </c>
    </row>
    <row r="3408" spans="1:9" x14ac:dyDescent="0.25">
      <c r="A3408" t="s">
        <v>3038</v>
      </c>
      <c r="B3408" t="s">
        <v>13</v>
      </c>
      <c r="C3408">
        <v>23.3</v>
      </c>
      <c r="D3408">
        <v>23.2</v>
      </c>
      <c r="E3408" t="s">
        <v>17</v>
      </c>
      <c r="F3408">
        <v>25.11</v>
      </c>
      <c r="G3408">
        <v>25.22</v>
      </c>
      <c r="H3408" t="s">
        <v>17</v>
      </c>
      <c r="I3408" t="str">
        <f>"060681000614"</f>
        <v>060681000614</v>
      </c>
    </row>
    <row r="3409" spans="1:9" x14ac:dyDescent="0.25">
      <c r="A3409" t="s">
        <v>3039</v>
      </c>
      <c r="B3409" t="s">
        <v>13</v>
      </c>
      <c r="C3409" t="s">
        <v>14</v>
      </c>
      <c r="D3409" t="s">
        <v>17</v>
      </c>
      <c r="E3409" t="s">
        <v>17</v>
      </c>
      <c r="F3409" t="s">
        <v>17</v>
      </c>
      <c r="G3409" t="s">
        <v>17</v>
      </c>
      <c r="H3409" t="s">
        <v>17</v>
      </c>
      <c r="I3409" t="str">
        <f>"062271011933"</f>
        <v>062271011933</v>
      </c>
    </row>
    <row r="3410" spans="1:9" x14ac:dyDescent="0.25">
      <c r="A3410" t="s">
        <v>3040</v>
      </c>
      <c r="B3410" t="s">
        <v>13</v>
      </c>
      <c r="C3410">
        <v>20</v>
      </c>
      <c r="D3410">
        <v>18</v>
      </c>
      <c r="E3410" t="s">
        <v>17</v>
      </c>
      <c r="F3410">
        <v>24.65</v>
      </c>
      <c r="G3410">
        <v>26.39</v>
      </c>
      <c r="H3410" t="s">
        <v>17</v>
      </c>
      <c r="I3410" t="str">
        <f>"062271003028"</f>
        <v>062271003028</v>
      </c>
    </row>
    <row r="3411" spans="1:9" x14ac:dyDescent="0.25">
      <c r="A3411" t="s">
        <v>3041</v>
      </c>
      <c r="B3411" t="s">
        <v>13</v>
      </c>
      <c r="C3411">
        <v>75.7</v>
      </c>
      <c r="D3411">
        <v>75.45</v>
      </c>
      <c r="E3411" t="s">
        <v>17</v>
      </c>
      <c r="F3411">
        <v>29.05</v>
      </c>
      <c r="G3411">
        <v>29.41</v>
      </c>
      <c r="H3411" t="s">
        <v>17</v>
      </c>
      <c r="I3411" t="str">
        <f>"061476001810"</f>
        <v>061476001810</v>
      </c>
    </row>
    <row r="3412" spans="1:9" x14ac:dyDescent="0.25">
      <c r="A3412" t="s">
        <v>3042</v>
      </c>
      <c r="B3412" t="s">
        <v>13</v>
      </c>
      <c r="C3412">
        <v>32.01</v>
      </c>
      <c r="D3412">
        <v>30.67</v>
      </c>
      <c r="E3412" t="s">
        <v>17</v>
      </c>
      <c r="F3412">
        <v>26.68</v>
      </c>
      <c r="G3412">
        <v>27.98</v>
      </c>
      <c r="H3412" t="s">
        <v>17</v>
      </c>
      <c r="I3412" t="str">
        <f>"061422001625"</f>
        <v>061422001625</v>
      </c>
    </row>
    <row r="3413" spans="1:9" x14ac:dyDescent="0.25">
      <c r="A3413" t="s">
        <v>3043</v>
      </c>
      <c r="B3413" t="s">
        <v>13</v>
      </c>
      <c r="C3413">
        <v>24</v>
      </c>
      <c r="D3413">
        <v>22</v>
      </c>
      <c r="E3413" t="s">
        <v>17</v>
      </c>
      <c r="F3413">
        <v>16.5</v>
      </c>
      <c r="G3413">
        <v>18.05</v>
      </c>
      <c r="H3413" t="s">
        <v>17</v>
      </c>
      <c r="I3413" t="str">
        <f>"063432005466"</f>
        <v>063432005466</v>
      </c>
    </row>
    <row r="3414" spans="1:9" x14ac:dyDescent="0.25">
      <c r="A3414" t="s">
        <v>3044</v>
      </c>
      <c r="B3414" t="s">
        <v>13</v>
      </c>
      <c r="C3414" t="str">
        <f>"0.01"</f>
        <v>0.01</v>
      </c>
      <c r="D3414" t="s">
        <v>17</v>
      </c>
      <c r="E3414" t="s">
        <v>17</v>
      </c>
      <c r="F3414">
        <v>1600</v>
      </c>
      <c r="G3414" t="s">
        <v>17</v>
      </c>
      <c r="H3414" t="s">
        <v>17</v>
      </c>
      <c r="I3414" t="str">
        <f>"061455003024"</f>
        <v>061455003024</v>
      </c>
    </row>
    <row r="3415" spans="1:9" x14ac:dyDescent="0.25">
      <c r="A3415" t="s">
        <v>3045</v>
      </c>
      <c r="B3415" t="s">
        <v>13</v>
      </c>
      <c r="C3415">
        <v>19.5</v>
      </c>
      <c r="D3415">
        <v>18.600000000000001</v>
      </c>
      <c r="E3415" t="s">
        <v>17</v>
      </c>
      <c r="F3415">
        <v>20.05</v>
      </c>
      <c r="G3415">
        <v>21.08</v>
      </c>
      <c r="H3415" t="s">
        <v>17</v>
      </c>
      <c r="I3415" t="str">
        <f>"060162000013"</f>
        <v>060162000013</v>
      </c>
    </row>
    <row r="3416" spans="1:9" x14ac:dyDescent="0.25">
      <c r="A3416" t="s">
        <v>3046</v>
      </c>
      <c r="B3416" t="s">
        <v>13</v>
      </c>
      <c r="C3416">
        <v>9</v>
      </c>
      <c r="D3416">
        <v>9</v>
      </c>
      <c r="E3416" t="s">
        <v>17</v>
      </c>
      <c r="F3416">
        <v>18</v>
      </c>
      <c r="G3416">
        <v>21.22</v>
      </c>
      <c r="H3416" t="s">
        <v>17</v>
      </c>
      <c r="I3416" t="str">
        <f>"062334004611"</f>
        <v>062334004611</v>
      </c>
    </row>
    <row r="3417" spans="1:9" x14ac:dyDescent="0.25">
      <c r="A3417" t="s">
        <v>3047</v>
      </c>
      <c r="B3417" t="s">
        <v>13</v>
      </c>
      <c r="C3417">
        <v>1.6</v>
      </c>
      <c r="D3417">
        <v>1.6</v>
      </c>
      <c r="E3417" t="s">
        <v>17</v>
      </c>
      <c r="F3417">
        <v>43.75</v>
      </c>
      <c r="G3417">
        <v>42.5</v>
      </c>
      <c r="H3417" t="s">
        <v>17</v>
      </c>
      <c r="I3417" t="str">
        <f>"063171011172"</f>
        <v>063171011172</v>
      </c>
    </row>
    <row r="3418" spans="1:9" x14ac:dyDescent="0.25">
      <c r="A3418" t="s">
        <v>3048</v>
      </c>
      <c r="B3418" t="s">
        <v>13</v>
      </c>
      <c r="C3418">
        <v>14</v>
      </c>
      <c r="D3418">
        <v>14</v>
      </c>
      <c r="E3418" t="s">
        <v>17</v>
      </c>
      <c r="F3418">
        <v>23.79</v>
      </c>
      <c r="G3418">
        <v>23.29</v>
      </c>
      <c r="H3418" t="s">
        <v>17</v>
      </c>
      <c r="I3418" t="str">
        <f>"062805012057"</f>
        <v>062805012057</v>
      </c>
    </row>
    <row r="3419" spans="1:9" x14ac:dyDescent="0.25">
      <c r="A3419" t="s">
        <v>3049</v>
      </c>
      <c r="B3419" t="s">
        <v>13</v>
      </c>
      <c r="C3419">
        <v>13.8</v>
      </c>
      <c r="D3419">
        <v>13.8</v>
      </c>
      <c r="E3419" t="s">
        <v>17</v>
      </c>
      <c r="F3419">
        <v>23.7</v>
      </c>
      <c r="G3419">
        <v>21.23</v>
      </c>
      <c r="H3419" t="s">
        <v>17</v>
      </c>
      <c r="I3419" t="str">
        <f>"060133211070"</f>
        <v>060133211070</v>
      </c>
    </row>
    <row r="3420" spans="1:9" x14ac:dyDescent="0.25">
      <c r="A3420" t="s">
        <v>3050</v>
      </c>
      <c r="B3420" t="s">
        <v>13</v>
      </c>
      <c r="C3420">
        <v>18</v>
      </c>
      <c r="D3420">
        <v>12</v>
      </c>
      <c r="E3420" t="s">
        <v>17</v>
      </c>
      <c r="F3420">
        <v>14.61</v>
      </c>
      <c r="G3420">
        <v>16.329999999999998</v>
      </c>
      <c r="H3420" t="s">
        <v>17</v>
      </c>
      <c r="I3420" t="str">
        <f>"062271012516"</f>
        <v>062271012516</v>
      </c>
    </row>
    <row r="3421" spans="1:9" x14ac:dyDescent="0.25">
      <c r="A3421" t="s">
        <v>3051</v>
      </c>
      <c r="B3421" t="s">
        <v>13</v>
      </c>
      <c r="C3421">
        <v>34.4</v>
      </c>
      <c r="D3421">
        <v>34.6</v>
      </c>
      <c r="E3421" t="s">
        <v>17</v>
      </c>
      <c r="F3421">
        <v>22.47</v>
      </c>
      <c r="G3421">
        <v>21.3</v>
      </c>
      <c r="H3421" t="s">
        <v>17</v>
      </c>
      <c r="I3421" t="str">
        <f>"061440001689"</f>
        <v>061440001689</v>
      </c>
    </row>
    <row r="3422" spans="1:9" x14ac:dyDescent="0.25">
      <c r="A3422" t="s">
        <v>3052</v>
      </c>
      <c r="B3422" t="s">
        <v>13</v>
      </c>
      <c r="C3422">
        <v>18</v>
      </c>
      <c r="D3422">
        <v>19</v>
      </c>
      <c r="E3422" t="s">
        <v>17</v>
      </c>
      <c r="F3422">
        <v>25.89</v>
      </c>
      <c r="G3422">
        <v>26.74</v>
      </c>
      <c r="H3422" t="s">
        <v>17</v>
      </c>
      <c r="I3422" t="str">
        <f>"061437001645"</f>
        <v>061437001645</v>
      </c>
    </row>
    <row r="3423" spans="1:9" x14ac:dyDescent="0.25">
      <c r="A3423" t="s">
        <v>3053</v>
      </c>
      <c r="B3423" t="s">
        <v>13</v>
      </c>
      <c r="C3423">
        <v>18</v>
      </c>
      <c r="D3423">
        <v>19</v>
      </c>
      <c r="E3423" t="s">
        <v>17</v>
      </c>
      <c r="F3423">
        <v>21.61</v>
      </c>
      <c r="G3423">
        <v>21.68</v>
      </c>
      <c r="H3423" t="s">
        <v>17</v>
      </c>
      <c r="I3423" t="str">
        <f>"063705008988"</f>
        <v>063705008988</v>
      </c>
    </row>
    <row r="3424" spans="1:9" x14ac:dyDescent="0.25">
      <c r="A3424" t="s">
        <v>3054</v>
      </c>
      <c r="B3424" t="s">
        <v>13</v>
      </c>
      <c r="C3424">
        <v>15.55</v>
      </c>
      <c r="D3424">
        <v>15.06</v>
      </c>
      <c r="E3424" t="s">
        <v>17</v>
      </c>
      <c r="F3424">
        <v>29.26</v>
      </c>
      <c r="G3424">
        <v>30.08</v>
      </c>
      <c r="H3424" t="s">
        <v>17</v>
      </c>
      <c r="I3424" t="str">
        <f>"061734007252"</f>
        <v>061734007252</v>
      </c>
    </row>
    <row r="3425" spans="1:9" x14ac:dyDescent="0.25">
      <c r="A3425" t="s">
        <v>3055</v>
      </c>
      <c r="B3425" t="s">
        <v>13</v>
      </c>
      <c r="C3425">
        <v>74.599999999999994</v>
      </c>
      <c r="D3425">
        <v>76.599999999999994</v>
      </c>
      <c r="E3425" t="s">
        <v>17</v>
      </c>
      <c r="F3425">
        <v>23.75</v>
      </c>
      <c r="G3425">
        <v>23.68</v>
      </c>
      <c r="H3425" t="s">
        <v>17</v>
      </c>
      <c r="I3425" t="str">
        <f>"063442503273"</f>
        <v>063442503273</v>
      </c>
    </row>
    <row r="3426" spans="1:9" x14ac:dyDescent="0.25">
      <c r="A3426" t="s">
        <v>3056</v>
      </c>
      <c r="B3426" t="s">
        <v>13</v>
      </c>
      <c r="C3426">
        <v>19</v>
      </c>
      <c r="D3426">
        <v>21</v>
      </c>
      <c r="E3426" t="s">
        <v>17</v>
      </c>
      <c r="F3426">
        <v>22.79</v>
      </c>
      <c r="G3426">
        <v>20.29</v>
      </c>
      <c r="H3426" t="s">
        <v>17</v>
      </c>
      <c r="I3426" t="str">
        <f>"062271010866"</f>
        <v>062271010866</v>
      </c>
    </row>
    <row r="3427" spans="1:9" x14ac:dyDescent="0.25">
      <c r="A3427" t="s">
        <v>3057</v>
      </c>
      <c r="B3427" t="s">
        <v>13</v>
      </c>
      <c r="C3427">
        <v>18</v>
      </c>
      <c r="D3427">
        <v>19</v>
      </c>
      <c r="E3427" t="s">
        <v>17</v>
      </c>
      <c r="F3427">
        <v>19.940000000000001</v>
      </c>
      <c r="G3427">
        <v>20.16</v>
      </c>
      <c r="H3427" t="s">
        <v>17</v>
      </c>
      <c r="I3427" t="str">
        <f>"063432005467"</f>
        <v>063432005467</v>
      </c>
    </row>
    <row r="3428" spans="1:9" x14ac:dyDescent="0.25">
      <c r="A3428" t="s">
        <v>3058</v>
      </c>
      <c r="B3428" t="s">
        <v>13</v>
      </c>
      <c r="C3428">
        <v>82.2</v>
      </c>
      <c r="D3428">
        <v>82.4</v>
      </c>
      <c r="E3428" t="s">
        <v>17</v>
      </c>
      <c r="F3428">
        <v>24.21</v>
      </c>
      <c r="G3428">
        <v>24.39</v>
      </c>
      <c r="H3428" t="s">
        <v>17</v>
      </c>
      <c r="I3428" t="str">
        <f>"060162000014"</f>
        <v>060162000014</v>
      </c>
    </row>
    <row r="3429" spans="1:9" x14ac:dyDescent="0.25">
      <c r="A3429" t="s">
        <v>3059</v>
      </c>
      <c r="B3429" t="s">
        <v>13</v>
      </c>
      <c r="C3429">
        <v>34.99</v>
      </c>
      <c r="D3429">
        <v>29.48</v>
      </c>
      <c r="E3429" t="s">
        <v>17</v>
      </c>
      <c r="F3429">
        <v>26.24</v>
      </c>
      <c r="G3429">
        <v>26.63</v>
      </c>
      <c r="H3429" t="s">
        <v>17</v>
      </c>
      <c r="I3429" t="str">
        <f>"063513012300"</f>
        <v>063513012300</v>
      </c>
    </row>
    <row r="3430" spans="1:9" x14ac:dyDescent="0.25">
      <c r="A3430" t="s">
        <v>3060</v>
      </c>
      <c r="B3430" t="s">
        <v>13</v>
      </c>
      <c r="C3430">
        <v>16</v>
      </c>
      <c r="D3430">
        <v>15</v>
      </c>
      <c r="E3430" t="s">
        <v>17</v>
      </c>
      <c r="F3430">
        <v>27.63</v>
      </c>
      <c r="G3430">
        <v>28.8</v>
      </c>
      <c r="H3430" t="s">
        <v>17</v>
      </c>
      <c r="I3430" t="str">
        <f>"064104011110"</f>
        <v>064104011110</v>
      </c>
    </row>
    <row r="3431" spans="1:9" x14ac:dyDescent="0.25">
      <c r="A3431" t="s">
        <v>3061</v>
      </c>
      <c r="B3431" t="s">
        <v>13</v>
      </c>
      <c r="C3431">
        <v>90.97</v>
      </c>
      <c r="D3431">
        <v>96.53</v>
      </c>
      <c r="E3431" t="s">
        <v>17</v>
      </c>
      <c r="F3431">
        <v>23.05</v>
      </c>
      <c r="G3431">
        <v>22.08</v>
      </c>
      <c r="H3431" t="s">
        <v>17</v>
      </c>
      <c r="I3431" t="str">
        <f>"063441005612"</f>
        <v>063441005612</v>
      </c>
    </row>
    <row r="3432" spans="1:9" x14ac:dyDescent="0.25">
      <c r="A3432" t="s">
        <v>3062</v>
      </c>
      <c r="B3432" t="s">
        <v>13</v>
      </c>
      <c r="C3432">
        <v>25.5</v>
      </c>
      <c r="D3432">
        <v>25</v>
      </c>
      <c r="E3432" t="s">
        <v>17</v>
      </c>
      <c r="F3432">
        <v>27.96</v>
      </c>
      <c r="G3432">
        <v>28.44</v>
      </c>
      <c r="H3432" t="s">
        <v>17</v>
      </c>
      <c r="I3432" t="str">
        <f>"061146001266"</f>
        <v>061146001266</v>
      </c>
    </row>
    <row r="3433" spans="1:9" x14ac:dyDescent="0.25">
      <c r="A3433" t="s">
        <v>3063</v>
      </c>
      <c r="B3433" t="s">
        <v>13</v>
      </c>
      <c r="C3433">
        <v>39.14</v>
      </c>
      <c r="D3433">
        <v>44.64</v>
      </c>
      <c r="E3433" t="s">
        <v>17</v>
      </c>
      <c r="F3433">
        <v>24.07</v>
      </c>
      <c r="G3433">
        <v>22.04</v>
      </c>
      <c r="H3433" t="s">
        <v>17</v>
      </c>
      <c r="I3433" t="str">
        <f>"061482001821"</f>
        <v>061482001821</v>
      </c>
    </row>
    <row r="3434" spans="1:9" x14ac:dyDescent="0.25">
      <c r="A3434" t="s">
        <v>3064</v>
      </c>
      <c r="B3434" t="s">
        <v>13</v>
      </c>
      <c r="C3434">
        <v>49.84</v>
      </c>
      <c r="D3434">
        <v>60.33</v>
      </c>
      <c r="E3434" t="s">
        <v>17</v>
      </c>
      <c r="F3434">
        <v>25.98</v>
      </c>
      <c r="G3434">
        <v>22.58</v>
      </c>
      <c r="H3434" t="s">
        <v>17</v>
      </c>
      <c r="I3434" t="str">
        <f>"063132004841"</f>
        <v>063132004841</v>
      </c>
    </row>
    <row r="3435" spans="1:9" x14ac:dyDescent="0.25">
      <c r="A3435" t="s">
        <v>3065</v>
      </c>
      <c r="B3435" t="s">
        <v>13</v>
      </c>
      <c r="C3435">
        <v>24.5</v>
      </c>
      <c r="D3435">
        <v>25.1</v>
      </c>
      <c r="E3435" t="s">
        <v>17</v>
      </c>
      <c r="F3435">
        <v>26.86</v>
      </c>
      <c r="G3435">
        <v>25.78</v>
      </c>
      <c r="H3435" t="s">
        <v>17</v>
      </c>
      <c r="I3435" t="str">
        <f>"062250002715"</f>
        <v>062250002715</v>
      </c>
    </row>
    <row r="3436" spans="1:9" x14ac:dyDescent="0.25">
      <c r="A3436" t="s">
        <v>3066</v>
      </c>
      <c r="B3436" t="s">
        <v>13</v>
      </c>
      <c r="C3436">
        <v>33</v>
      </c>
      <c r="D3436">
        <v>34</v>
      </c>
      <c r="E3436" t="s">
        <v>17</v>
      </c>
      <c r="F3436">
        <v>22.85</v>
      </c>
      <c r="G3436">
        <v>21.91</v>
      </c>
      <c r="H3436" t="s">
        <v>17</v>
      </c>
      <c r="I3436" t="str">
        <f>"063987006612"</f>
        <v>063987006612</v>
      </c>
    </row>
    <row r="3437" spans="1:9" x14ac:dyDescent="0.25">
      <c r="A3437" t="s">
        <v>3067</v>
      </c>
      <c r="B3437" t="s">
        <v>13</v>
      </c>
      <c r="C3437">
        <v>28.45</v>
      </c>
      <c r="D3437">
        <v>29.28</v>
      </c>
      <c r="E3437" t="s">
        <v>17</v>
      </c>
      <c r="F3437">
        <v>26.29</v>
      </c>
      <c r="G3437">
        <v>26.16</v>
      </c>
      <c r="H3437" t="s">
        <v>17</v>
      </c>
      <c r="I3437" t="str">
        <f>"061029001134"</f>
        <v>061029001134</v>
      </c>
    </row>
    <row r="3438" spans="1:9" x14ac:dyDescent="0.25">
      <c r="A3438" t="s">
        <v>3068</v>
      </c>
      <c r="B3438" t="s">
        <v>13</v>
      </c>
      <c r="C3438">
        <v>18.5</v>
      </c>
      <c r="D3438">
        <v>17.5</v>
      </c>
      <c r="E3438" t="s">
        <v>17</v>
      </c>
      <c r="F3438">
        <v>22.97</v>
      </c>
      <c r="G3438">
        <v>24.57</v>
      </c>
      <c r="H3438" t="s">
        <v>17</v>
      </c>
      <c r="I3438" t="str">
        <f>"062271007119"</f>
        <v>062271007119</v>
      </c>
    </row>
    <row r="3439" spans="1:9" x14ac:dyDescent="0.25">
      <c r="A3439" t="s">
        <v>3068</v>
      </c>
      <c r="B3439" t="s">
        <v>13</v>
      </c>
      <c r="C3439">
        <v>25</v>
      </c>
      <c r="D3439">
        <v>26</v>
      </c>
      <c r="E3439" t="s">
        <v>17</v>
      </c>
      <c r="F3439">
        <v>19.88</v>
      </c>
      <c r="G3439">
        <v>20.420000000000002</v>
      </c>
      <c r="H3439" t="s">
        <v>17</v>
      </c>
      <c r="I3439" t="str">
        <f>"063684006253"</f>
        <v>063684006253</v>
      </c>
    </row>
    <row r="3440" spans="1:9" x14ac:dyDescent="0.25">
      <c r="A3440" t="s">
        <v>3069</v>
      </c>
      <c r="B3440" t="s">
        <v>13</v>
      </c>
      <c r="C3440">
        <v>82.22</v>
      </c>
      <c r="D3440">
        <v>82.53</v>
      </c>
      <c r="E3440" t="s">
        <v>17</v>
      </c>
      <c r="F3440">
        <v>29.46</v>
      </c>
      <c r="G3440">
        <v>29.19</v>
      </c>
      <c r="H3440" t="s">
        <v>17</v>
      </c>
      <c r="I3440" t="str">
        <f>"061488001844"</f>
        <v>061488001844</v>
      </c>
    </row>
    <row r="3441" spans="1:9" x14ac:dyDescent="0.25">
      <c r="A3441" t="s">
        <v>3070</v>
      </c>
      <c r="B3441" t="s">
        <v>13</v>
      </c>
      <c r="C3441">
        <v>11</v>
      </c>
      <c r="D3441">
        <v>11</v>
      </c>
      <c r="E3441" t="s">
        <v>17</v>
      </c>
      <c r="F3441">
        <v>21.09</v>
      </c>
      <c r="G3441">
        <v>22.27</v>
      </c>
      <c r="H3441" t="s">
        <v>17</v>
      </c>
      <c r="I3441" t="str">
        <f>"061488010570"</f>
        <v>061488010570</v>
      </c>
    </row>
    <row r="3442" spans="1:9" x14ac:dyDescent="0.25">
      <c r="A3442" t="s">
        <v>3071</v>
      </c>
      <c r="B3442" t="s">
        <v>13</v>
      </c>
      <c r="C3442">
        <v>18</v>
      </c>
      <c r="D3442">
        <v>17</v>
      </c>
      <c r="E3442" t="s">
        <v>17</v>
      </c>
      <c r="F3442">
        <v>25</v>
      </c>
      <c r="G3442">
        <v>26.82</v>
      </c>
      <c r="H3442" t="s">
        <v>17</v>
      </c>
      <c r="I3442" t="str">
        <f>"063153004886"</f>
        <v>063153004886</v>
      </c>
    </row>
    <row r="3443" spans="1:9" x14ac:dyDescent="0.25">
      <c r="A3443" t="s">
        <v>3072</v>
      </c>
      <c r="B3443" t="s">
        <v>13</v>
      </c>
      <c r="C3443">
        <v>15</v>
      </c>
      <c r="D3443">
        <v>14</v>
      </c>
      <c r="E3443" t="s">
        <v>17</v>
      </c>
      <c r="F3443">
        <v>28</v>
      </c>
      <c r="G3443">
        <v>27.79</v>
      </c>
      <c r="H3443" t="s">
        <v>17</v>
      </c>
      <c r="I3443" t="str">
        <f>"060133208818"</f>
        <v>060133208818</v>
      </c>
    </row>
    <row r="3444" spans="1:9" x14ac:dyDescent="0.25">
      <c r="A3444" t="s">
        <v>3073</v>
      </c>
      <c r="B3444" t="s">
        <v>13</v>
      </c>
      <c r="C3444">
        <v>15.25</v>
      </c>
      <c r="D3444">
        <v>15.25</v>
      </c>
      <c r="E3444" t="s">
        <v>17</v>
      </c>
      <c r="F3444">
        <v>23.61</v>
      </c>
      <c r="G3444">
        <v>23.87</v>
      </c>
      <c r="H3444" t="s">
        <v>17</v>
      </c>
      <c r="I3444" t="str">
        <f>"061887002285"</f>
        <v>061887002285</v>
      </c>
    </row>
    <row r="3445" spans="1:9" x14ac:dyDescent="0.25">
      <c r="A3445" t="s">
        <v>3074</v>
      </c>
      <c r="B3445" t="s">
        <v>13</v>
      </c>
      <c r="C3445">
        <v>26</v>
      </c>
      <c r="D3445">
        <v>23.51</v>
      </c>
      <c r="E3445" t="s">
        <v>17</v>
      </c>
      <c r="F3445">
        <v>22.73</v>
      </c>
      <c r="G3445">
        <v>26.24</v>
      </c>
      <c r="H3445" t="s">
        <v>17</v>
      </c>
      <c r="I3445" t="str">
        <f>"062271003033"</f>
        <v>062271003033</v>
      </c>
    </row>
    <row r="3446" spans="1:9" x14ac:dyDescent="0.25">
      <c r="A3446" t="s">
        <v>3075</v>
      </c>
      <c r="B3446" t="s">
        <v>13</v>
      </c>
      <c r="C3446">
        <v>68.510000000000005</v>
      </c>
      <c r="D3446">
        <v>80.069999999999993</v>
      </c>
      <c r="E3446" t="s">
        <v>17</v>
      </c>
      <c r="F3446">
        <v>24.68</v>
      </c>
      <c r="G3446">
        <v>23.67</v>
      </c>
      <c r="H3446" t="s">
        <v>17</v>
      </c>
      <c r="I3446" t="str">
        <f>"062271003034"</f>
        <v>062271003034</v>
      </c>
    </row>
    <row r="3447" spans="1:9" x14ac:dyDescent="0.25">
      <c r="A3447" t="s">
        <v>3076</v>
      </c>
      <c r="B3447" t="s">
        <v>13</v>
      </c>
      <c r="C3447">
        <v>27.5</v>
      </c>
      <c r="D3447">
        <v>26</v>
      </c>
      <c r="E3447" t="s">
        <v>17</v>
      </c>
      <c r="F3447">
        <v>27.35</v>
      </c>
      <c r="G3447">
        <v>26.85</v>
      </c>
      <c r="H3447" t="s">
        <v>17</v>
      </c>
      <c r="I3447" t="str">
        <f>"062769004166"</f>
        <v>062769004166</v>
      </c>
    </row>
    <row r="3448" spans="1:9" x14ac:dyDescent="0.25">
      <c r="A3448" t="s">
        <v>3077</v>
      </c>
      <c r="B3448" t="s">
        <v>13</v>
      </c>
      <c r="C3448">
        <v>14.54</v>
      </c>
      <c r="D3448">
        <v>13.28</v>
      </c>
      <c r="E3448" t="s">
        <v>17</v>
      </c>
      <c r="F3448">
        <v>22.08</v>
      </c>
      <c r="G3448">
        <v>22.44</v>
      </c>
      <c r="H3448" t="s">
        <v>17</v>
      </c>
      <c r="I3448" t="str">
        <f>"062265011796"</f>
        <v>062265011796</v>
      </c>
    </row>
    <row r="3449" spans="1:9" x14ac:dyDescent="0.25">
      <c r="A3449" t="s">
        <v>3078</v>
      </c>
      <c r="B3449" t="s">
        <v>13</v>
      </c>
      <c r="C3449">
        <v>23</v>
      </c>
      <c r="D3449">
        <v>22.6</v>
      </c>
      <c r="E3449" t="s">
        <v>17</v>
      </c>
      <c r="F3449">
        <v>23.87</v>
      </c>
      <c r="G3449">
        <v>26.11</v>
      </c>
      <c r="H3449" t="s">
        <v>17</v>
      </c>
      <c r="I3449" t="str">
        <f>"063459005713"</f>
        <v>063459005713</v>
      </c>
    </row>
    <row r="3450" spans="1:9" x14ac:dyDescent="0.25">
      <c r="A3450" t="s">
        <v>3079</v>
      </c>
      <c r="B3450" t="s">
        <v>13</v>
      </c>
      <c r="C3450">
        <v>16.5</v>
      </c>
      <c r="D3450">
        <v>16</v>
      </c>
      <c r="E3450" t="s">
        <v>17</v>
      </c>
      <c r="F3450">
        <v>27.03</v>
      </c>
      <c r="G3450">
        <v>27.25</v>
      </c>
      <c r="H3450" t="s">
        <v>17</v>
      </c>
      <c r="I3450" t="str">
        <f>"062271003036"</f>
        <v>062271003036</v>
      </c>
    </row>
    <row r="3451" spans="1:9" x14ac:dyDescent="0.25">
      <c r="A3451" t="s">
        <v>3080</v>
      </c>
      <c r="B3451" t="s">
        <v>13</v>
      </c>
      <c r="C3451">
        <v>54.58</v>
      </c>
      <c r="D3451">
        <v>79</v>
      </c>
      <c r="E3451" t="s">
        <v>17</v>
      </c>
      <c r="F3451">
        <v>33.03</v>
      </c>
      <c r="G3451">
        <v>23.72</v>
      </c>
      <c r="H3451" t="s">
        <v>17</v>
      </c>
      <c r="I3451" t="str">
        <f>"063132004842"</f>
        <v>063132004842</v>
      </c>
    </row>
    <row r="3452" spans="1:9" x14ac:dyDescent="0.25">
      <c r="A3452" t="s">
        <v>3081</v>
      </c>
      <c r="B3452" t="s">
        <v>13</v>
      </c>
      <c r="C3452">
        <v>27</v>
      </c>
      <c r="D3452">
        <v>27.5</v>
      </c>
      <c r="E3452" t="s">
        <v>17</v>
      </c>
      <c r="F3452">
        <v>31.19</v>
      </c>
      <c r="G3452">
        <v>30.07</v>
      </c>
      <c r="H3452" t="s">
        <v>17</v>
      </c>
      <c r="I3452" t="str">
        <f>"062547003797"</f>
        <v>062547003797</v>
      </c>
    </row>
    <row r="3453" spans="1:9" x14ac:dyDescent="0.25">
      <c r="A3453" t="s">
        <v>3081</v>
      </c>
      <c r="B3453" t="s">
        <v>13</v>
      </c>
      <c r="C3453">
        <v>23</v>
      </c>
      <c r="D3453">
        <v>28</v>
      </c>
      <c r="E3453" t="s">
        <v>17</v>
      </c>
      <c r="F3453">
        <v>30.74</v>
      </c>
      <c r="G3453">
        <v>24.5</v>
      </c>
      <c r="H3453" t="s">
        <v>17</v>
      </c>
      <c r="I3453" t="str">
        <f>"063531009634"</f>
        <v>063531009634</v>
      </c>
    </row>
    <row r="3454" spans="1:9" x14ac:dyDescent="0.25">
      <c r="A3454" t="s">
        <v>3081</v>
      </c>
      <c r="B3454" t="s">
        <v>13</v>
      </c>
      <c r="C3454">
        <v>24.66</v>
      </c>
      <c r="D3454">
        <v>28.83</v>
      </c>
      <c r="E3454" t="s">
        <v>17</v>
      </c>
      <c r="F3454">
        <v>28.79</v>
      </c>
      <c r="G3454">
        <v>25.6</v>
      </c>
      <c r="H3454" t="s">
        <v>17</v>
      </c>
      <c r="I3454" t="str">
        <f>"060015310937"</f>
        <v>060015310937</v>
      </c>
    </row>
    <row r="3455" spans="1:9" x14ac:dyDescent="0.25">
      <c r="A3455" t="s">
        <v>3081</v>
      </c>
      <c r="B3455" t="s">
        <v>13</v>
      </c>
      <c r="C3455">
        <v>29</v>
      </c>
      <c r="D3455">
        <v>30</v>
      </c>
      <c r="E3455" t="s">
        <v>17</v>
      </c>
      <c r="F3455">
        <v>27.07</v>
      </c>
      <c r="G3455">
        <v>25.83</v>
      </c>
      <c r="H3455" t="s">
        <v>17</v>
      </c>
      <c r="I3455" t="str">
        <f>"060903001982"</f>
        <v>060903001982</v>
      </c>
    </row>
    <row r="3456" spans="1:9" x14ac:dyDescent="0.25">
      <c r="A3456" t="s">
        <v>3081</v>
      </c>
      <c r="B3456" t="s">
        <v>13</v>
      </c>
      <c r="C3456">
        <v>30</v>
      </c>
      <c r="D3456">
        <v>35</v>
      </c>
      <c r="E3456" t="s">
        <v>17</v>
      </c>
      <c r="F3456">
        <v>27.87</v>
      </c>
      <c r="G3456">
        <v>25.29</v>
      </c>
      <c r="H3456" t="s">
        <v>17</v>
      </c>
      <c r="I3456" t="str">
        <f>"062250002716"</f>
        <v>062250002716</v>
      </c>
    </row>
    <row r="3457" spans="1:9" x14ac:dyDescent="0.25">
      <c r="A3457" t="s">
        <v>3081</v>
      </c>
      <c r="B3457" t="s">
        <v>13</v>
      </c>
      <c r="C3457">
        <v>3.76</v>
      </c>
      <c r="D3457">
        <v>3.76</v>
      </c>
      <c r="E3457" t="s">
        <v>17</v>
      </c>
      <c r="F3457">
        <v>16.489999999999998</v>
      </c>
      <c r="G3457">
        <v>16.22</v>
      </c>
      <c r="H3457" t="s">
        <v>17</v>
      </c>
      <c r="I3457" t="str">
        <f>"061491001890"</f>
        <v>061491001890</v>
      </c>
    </row>
    <row r="3458" spans="1:9" x14ac:dyDescent="0.25">
      <c r="A3458" t="s">
        <v>3081</v>
      </c>
      <c r="B3458" t="s">
        <v>13</v>
      </c>
      <c r="C3458">
        <v>29</v>
      </c>
      <c r="D3458">
        <v>28.1</v>
      </c>
      <c r="E3458" t="s">
        <v>17</v>
      </c>
      <c r="F3458">
        <v>23.45</v>
      </c>
      <c r="G3458">
        <v>24.09</v>
      </c>
      <c r="H3458" t="s">
        <v>17</v>
      </c>
      <c r="I3458" t="str">
        <f>"063213004965"</f>
        <v>063213004965</v>
      </c>
    </row>
    <row r="3459" spans="1:9" x14ac:dyDescent="0.25">
      <c r="A3459" t="s">
        <v>3081</v>
      </c>
      <c r="B3459" t="s">
        <v>13</v>
      </c>
      <c r="C3459">
        <v>14</v>
      </c>
      <c r="D3459">
        <v>15</v>
      </c>
      <c r="E3459" t="s">
        <v>17</v>
      </c>
      <c r="F3459">
        <v>18.14</v>
      </c>
      <c r="G3459">
        <v>16.600000000000001</v>
      </c>
      <c r="H3459" t="s">
        <v>17</v>
      </c>
      <c r="I3459" t="str">
        <f>"063441005613"</f>
        <v>063441005613</v>
      </c>
    </row>
    <row r="3460" spans="1:9" x14ac:dyDescent="0.25">
      <c r="A3460" t="s">
        <v>3081</v>
      </c>
      <c r="B3460" t="s">
        <v>13</v>
      </c>
      <c r="C3460">
        <v>27</v>
      </c>
      <c r="D3460">
        <v>25</v>
      </c>
      <c r="E3460" t="s">
        <v>17</v>
      </c>
      <c r="F3460">
        <v>21.56</v>
      </c>
      <c r="G3460">
        <v>22.64</v>
      </c>
      <c r="H3460" t="s">
        <v>17</v>
      </c>
      <c r="I3460" t="str">
        <f>"062805004265"</f>
        <v>062805004265</v>
      </c>
    </row>
    <row r="3461" spans="1:9" x14ac:dyDescent="0.25">
      <c r="A3461" t="s">
        <v>3081</v>
      </c>
      <c r="B3461" t="s">
        <v>13</v>
      </c>
      <c r="C3461">
        <v>22.83</v>
      </c>
      <c r="D3461">
        <v>23.3</v>
      </c>
      <c r="E3461" t="s">
        <v>17</v>
      </c>
      <c r="F3461">
        <v>18.48</v>
      </c>
      <c r="G3461">
        <v>17.12</v>
      </c>
      <c r="H3461" t="s">
        <v>17</v>
      </c>
      <c r="I3461" t="str">
        <f>"063468005833"</f>
        <v>063468005833</v>
      </c>
    </row>
    <row r="3462" spans="1:9" x14ac:dyDescent="0.25">
      <c r="A3462" t="s">
        <v>3081</v>
      </c>
      <c r="B3462" t="s">
        <v>13</v>
      </c>
      <c r="C3462">
        <v>22</v>
      </c>
      <c r="D3462">
        <v>22</v>
      </c>
      <c r="E3462" t="s">
        <v>17</v>
      </c>
      <c r="F3462">
        <v>15.86</v>
      </c>
      <c r="G3462">
        <v>16.86</v>
      </c>
      <c r="H3462" t="s">
        <v>17</v>
      </c>
      <c r="I3462" t="str">
        <f>"063432008304"</f>
        <v>063432008304</v>
      </c>
    </row>
    <row r="3463" spans="1:9" x14ac:dyDescent="0.25">
      <c r="A3463" t="s">
        <v>3082</v>
      </c>
      <c r="B3463" t="s">
        <v>13</v>
      </c>
      <c r="C3463">
        <v>24.82</v>
      </c>
      <c r="D3463">
        <v>26.6</v>
      </c>
      <c r="E3463" t="s">
        <v>17</v>
      </c>
      <c r="F3463">
        <v>10.35</v>
      </c>
      <c r="G3463">
        <v>11.54</v>
      </c>
      <c r="H3463" t="s">
        <v>17</v>
      </c>
      <c r="I3463" t="str">
        <f>"063432005468"</f>
        <v>063432005468</v>
      </c>
    </row>
    <row r="3464" spans="1:9" x14ac:dyDescent="0.25">
      <c r="A3464" t="s">
        <v>3083</v>
      </c>
      <c r="B3464" t="s">
        <v>13</v>
      </c>
      <c r="C3464">
        <v>32</v>
      </c>
      <c r="D3464">
        <v>33.5</v>
      </c>
      <c r="E3464" t="s">
        <v>17</v>
      </c>
      <c r="F3464">
        <v>24.84</v>
      </c>
      <c r="G3464">
        <v>24.06</v>
      </c>
      <c r="H3464" t="s">
        <v>17</v>
      </c>
      <c r="I3464" t="str">
        <f>"060591000536"</f>
        <v>060591000536</v>
      </c>
    </row>
    <row r="3465" spans="1:9" x14ac:dyDescent="0.25">
      <c r="A3465" t="s">
        <v>3084</v>
      </c>
      <c r="B3465" t="s">
        <v>13</v>
      </c>
      <c r="C3465">
        <v>8</v>
      </c>
      <c r="D3465">
        <v>6.5</v>
      </c>
      <c r="E3465" t="s">
        <v>17</v>
      </c>
      <c r="F3465">
        <v>22</v>
      </c>
      <c r="G3465">
        <v>27.54</v>
      </c>
      <c r="H3465" t="s">
        <v>17</v>
      </c>
      <c r="I3465" t="str">
        <f>"060420000380"</f>
        <v>060420000380</v>
      </c>
    </row>
    <row r="3466" spans="1:9" x14ac:dyDescent="0.25">
      <c r="A3466" t="s">
        <v>3085</v>
      </c>
      <c r="B3466" t="s">
        <v>13</v>
      </c>
      <c r="C3466" t="s">
        <v>17</v>
      </c>
      <c r="D3466" t="s">
        <v>17</v>
      </c>
      <c r="E3466" t="s">
        <v>17</v>
      </c>
      <c r="F3466" t="s">
        <v>17</v>
      </c>
      <c r="G3466" t="s">
        <v>17</v>
      </c>
      <c r="H3466" t="s">
        <v>17</v>
      </c>
      <c r="I3466" t="str">
        <f>"062271011662"</f>
        <v>062271011662</v>
      </c>
    </row>
    <row r="3467" spans="1:9" x14ac:dyDescent="0.25">
      <c r="A3467" t="s">
        <v>3086</v>
      </c>
      <c r="B3467" t="s">
        <v>13</v>
      </c>
      <c r="C3467">
        <v>43.5</v>
      </c>
      <c r="D3467">
        <v>47.5</v>
      </c>
      <c r="E3467" t="s">
        <v>17</v>
      </c>
      <c r="F3467">
        <v>24.99</v>
      </c>
      <c r="G3467">
        <v>23.35</v>
      </c>
      <c r="H3467" t="s">
        <v>17</v>
      </c>
      <c r="I3467" t="str">
        <f>"060985001053"</f>
        <v>060985001053</v>
      </c>
    </row>
    <row r="3468" spans="1:9" x14ac:dyDescent="0.25">
      <c r="A3468" t="s">
        <v>3087</v>
      </c>
      <c r="B3468" t="s">
        <v>13</v>
      </c>
      <c r="C3468">
        <v>18</v>
      </c>
      <c r="D3468">
        <v>20</v>
      </c>
      <c r="E3468" t="s">
        <v>17</v>
      </c>
      <c r="F3468">
        <v>23.94</v>
      </c>
      <c r="G3468">
        <v>23.7</v>
      </c>
      <c r="H3468" t="s">
        <v>17</v>
      </c>
      <c r="I3468" t="str">
        <f>"062271003038"</f>
        <v>062271003038</v>
      </c>
    </row>
    <row r="3469" spans="1:9" x14ac:dyDescent="0.25">
      <c r="A3469" t="s">
        <v>3088</v>
      </c>
      <c r="B3469" t="s">
        <v>13</v>
      </c>
      <c r="C3469">
        <v>28.4</v>
      </c>
      <c r="D3469">
        <v>33.67</v>
      </c>
      <c r="E3469" t="s">
        <v>17</v>
      </c>
      <c r="F3469">
        <v>26.41</v>
      </c>
      <c r="G3469">
        <v>21.77</v>
      </c>
      <c r="H3469" t="s">
        <v>17</v>
      </c>
      <c r="I3469" t="str">
        <f>"061494001901"</f>
        <v>061494001901</v>
      </c>
    </row>
    <row r="3470" spans="1:9" x14ac:dyDescent="0.25">
      <c r="A3470" t="s">
        <v>3089</v>
      </c>
      <c r="B3470" t="s">
        <v>13</v>
      </c>
      <c r="C3470">
        <v>7</v>
      </c>
      <c r="D3470">
        <v>6</v>
      </c>
      <c r="E3470" t="s">
        <v>17</v>
      </c>
      <c r="F3470">
        <v>23.43</v>
      </c>
      <c r="G3470">
        <v>23.17</v>
      </c>
      <c r="H3470" t="s">
        <v>17</v>
      </c>
      <c r="I3470" t="str">
        <f>"062271010873"</f>
        <v>062271010873</v>
      </c>
    </row>
    <row r="3471" spans="1:9" x14ac:dyDescent="0.25">
      <c r="A3471" t="s">
        <v>3090</v>
      </c>
      <c r="B3471" t="s">
        <v>13</v>
      </c>
      <c r="C3471">
        <v>65</v>
      </c>
      <c r="D3471">
        <v>68.010000000000005</v>
      </c>
      <c r="E3471" t="s">
        <v>17</v>
      </c>
      <c r="F3471">
        <v>27.54</v>
      </c>
      <c r="G3471">
        <v>27.92</v>
      </c>
      <c r="H3471" t="s">
        <v>17</v>
      </c>
      <c r="I3471" t="str">
        <f>"062271003289"</f>
        <v>062271003289</v>
      </c>
    </row>
    <row r="3472" spans="1:9" x14ac:dyDescent="0.25">
      <c r="A3472" t="s">
        <v>3091</v>
      </c>
      <c r="B3472" t="s">
        <v>13</v>
      </c>
      <c r="C3472">
        <v>31</v>
      </c>
      <c r="D3472">
        <v>30</v>
      </c>
      <c r="E3472" t="s">
        <v>17</v>
      </c>
      <c r="F3472">
        <v>23.94</v>
      </c>
      <c r="G3472">
        <v>23.73</v>
      </c>
      <c r="H3472" t="s">
        <v>17</v>
      </c>
      <c r="I3472" t="str">
        <f>"062271003039"</f>
        <v>062271003039</v>
      </c>
    </row>
    <row r="3473" spans="1:9" x14ac:dyDescent="0.25">
      <c r="A3473" t="s">
        <v>3092</v>
      </c>
      <c r="B3473" t="s">
        <v>13</v>
      </c>
      <c r="C3473" t="s">
        <v>17</v>
      </c>
      <c r="D3473">
        <v>1.5</v>
      </c>
      <c r="E3473" t="s">
        <v>17</v>
      </c>
      <c r="F3473" t="s">
        <v>17</v>
      </c>
      <c r="G3473">
        <v>6.67</v>
      </c>
      <c r="H3473" t="s">
        <v>17</v>
      </c>
      <c r="I3473" t="str">
        <f>"063720008649"</f>
        <v>063720008649</v>
      </c>
    </row>
    <row r="3474" spans="1:9" x14ac:dyDescent="0.25">
      <c r="A3474" t="s">
        <v>3093</v>
      </c>
      <c r="B3474" t="s">
        <v>13</v>
      </c>
      <c r="C3474">
        <v>7.6</v>
      </c>
      <c r="D3474">
        <v>4</v>
      </c>
      <c r="E3474" t="s">
        <v>17</v>
      </c>
      <c r="F3474">
        <v>12.37</v>
      </c>
      <c r="G3474">
        <v>18.5</v>
      </c>
      <c r="H3474" t="s">
        <v>17</v>
      </c>
      <c r="I3474" t="str">
        <f>"069103311960"</f>
        <v>069103311960</v>
      </c>
    </row>
    <row r="3475" spans="1:9" x14ac:dyDescent="0.25">
      <c r="A3475" t="s">
        <v>3094</v>
      </c>
      <c r="B3475" t="s">
        <v>13</v>
      </c>
      <c r="C3475">
        <v>12.67</v>
      </c>
      <c r="D3475">
        <v>13.5</v>
      </c>
      <c r="E3475" t="s">
        <v>17</v>
      </c>
      <c r="F3475">
        <v>7.97</v>
      </c>
      <c r="G3475">
        <v>8.2200000000000006</v>
      </c>
      <c r="H3475" t="s">
        <v>17</v>
      </c>
      <c r="I3475" t="str">
        <f>"069104710708"</f>
        <v>069104710708</v>
      </c>
    </row>
    <row r="3476" spans="1:9" x14ac:dyDescent="0.25">
      <c r="A3476" t="s">
        <v>3095</v>
      </c>
      <c r="B3476" t="s">
        <v>13</v>
      </c>
      <c r="C3476">
        <v>1</v>
      </c>
      <c r="D3476">
        <v>1</v>
      </c>
      <c r="E3476" t="s">
        <v>17</v>
      </c>
      <c r="F3476">
        <v>7</v>
      </c>
      <c r="G3476">
        <v>12</v>
      </c>
      <c r="H3476" t="s">
        <v>17</v>
      </c>
      <c r="I3476" t="str">
        <f>"061495008638"</f>
        <v>061495008638</v>
      </c>
    </row>
    <row r="3477" spans="1:9" x14ac:dyDescent="0.25">
      <c r="A3477" t="s">
        <v>3095</v>
      </c>
      <c r="B3477" t="s">
        <v>13</v>
      </c>
      <c r="C3477" t="s">
        <v>14</v>
      </c>
      <c r="D3477">
        <v>2.4</v>
      </c>
      <c r="E3477" t="s">
        <v>17</v>
      </c>
      <c r="F3477" t="s">
        <v>17</v>
      </c>
      <c r="G3477">
        <v>8.33</v>
      </c>
      <c r="H3477" t="s">
        <v>17</v>
      </c>
      <c r="I3477" t="str">
        <f>"061623008595"</f>
        <v>061623008595</v>
      </c>
    </row>
    <row r="3478" spans="1:9" x14ac:dyDescent="0.25">
      <c r="A3478" t="s">
        <v>3096</v>
      </c>
      <c r="B3478" t="s">
        <v>13</v>
      </c>
      <c r="C3478">
        <v>2.4</v>
      </c>
      <c r="D3478">
        <v>2.4</v>
      </c>
      <c r="E3478" t="s">
        <v>17</v>
      </c>
      <c r="F3478">
        <v>22.92</v>
      </c>
      <c r="G3478">
        <v>23.33</v>
      </c>
      <c r="H3478" t="s">
        <v>17</v>
      </c>
      <c r="I3478" t="str">
        <f>"061495001636"</f>
        <v>061495001636</v>
      </c>
    </row>
    <row r="3479" spans="1:9" x14ac:dyDescent="0.25">
      <c r="A3479" t="s">
        <v>3097</v>
      </c>
      <c r="B3479" t="s">
        <v>13</v>
      </c>
      <c r="C3479">
        <v>17</v>
      </c>
      <c r="D3479">
        <v>15.5</v>
      </c>
      <c r="E3479" t="s">
        <v>17</v>
      </c>
      <c r="F3479">
        <v>25.29</v>
      </c>
      <c r="G3479">
        <v>28.13</v>
      </c>
      <c r="H3479" t="s">
        <v>17</v>
      </c>
      <c r="I3479" t="str">
        <f>"063680000434"</f>
        <v>063680000434</v>
      </c>
    </row>
    <row r="3480" spans="1:9" x14ac:dyDescent="0.25">
      <c r="A3480" t="s">
        <v>3098</v>
      </c>
      <c r="B3480" t="s">
        <v>13</v>
      </c>
      <c r="C3480">
        <v>24.81</v>
      </c>
      <c r="D3480">
        <v>25.36</v>
      </c>
      <c r="E3480" t="s">
        <v>17</v>
      </c>
      <c r="F3480">
        <v>18.82</v>
      </c>
      <c r="G3480">
        <v>18.22</v>
      </c>
      <c r="H3480" t="s">
        <v>17</v>
      </c>
      <c r="I3480" t="str">
        <f>"063441007725"</f>
        <v>063441007725</v>
      </c>
    </row>
    <row r="3481" spans="1:9" x14ac:dyDescent="0.25">
      <c r="A3481" t="s">
        <v>3099</v>
      </c>
      <c r="B3481" t="s">
        <v>13</v>
      </c>
      <c r="C3481">
        <v>2</v>
      </c>
      <c r="D3481">
        <v>2</v>
      </c>
      <c r="E3481" t="s">
        <v>17</v>
      </c>
      <c r="F3481">
        <v>15</v>
      </c>
      <c r="G3481">
        <v>24.5</v>
      </c>
      <c r="H3481" t="s">
        <v>17</v>
      </c>
      <c r="I3481" t="str">
        <f>"062637010195"</f>
        <v>062637010195</v>
      </c>
    </row>
    <row r="3482" spans="1:9" x14ac:dyDescent="0.25">
      <c r="A3482" t="s">
        <v>3099</v>
      </c>
      <c r="B3482" t="s">
        <v>13</v>
      </c>
      <c r="C3482" t="s">
        <v>17</v>
      </c>
      <c r="D3482" t="s">
        <v>17</v>
      </c>
      <c r="E3482" t="s">
        <v>17</v>
      </c>
      <c r="F3482" t="s">
        <v>17</v>
      </c>
      <c r="G3482" t="s">
        <v>17</v>
      </c>
      <c r="H3482" t="s">
        <v>17</v>
      </c>
      <c r="I3482" t="str">
        <f>"060501009308"</f>
        <v>060501009308</v>
      </c>
    </row>
    <row r="3483" spans="1:9" x14ac:dyDescent="0.25">
      <c r="A3483" t="s">
        <v>3099</v>
      </c>
      <c r="B3483" t="s">
        <v>13</v>
      </c>
      <c r="C3483">
        <v>23.68</v>
      </c>
      <c r="D3483">
        <v>19.190000000000001</v>
      </c>
      <c r="E3483" t="s">
        <v>17</v>
      </c>
      <c r="F3483">
        <v>10.98</v>
      </c>
      <c r="G3483">
        <v>13.34</v>
      </c>
      <c r="H3483" t="s">
        <v>17</v>
      </c>
      <c r="I3483" t="str">
        <f>"060903000910"</f>
        <v>060903000910</v>
      </c>
    </row>
    <row r="3484" spans="1:9" x14ac:dyDescent="0.25">
      <c r="A3484" t="s">
        <v>3099</v>
      </c>
      <c r="B3484" t="s">
        <v>13</v>
      </c>
      <c r="C3484">
        <v>1.86</v>
      </c>
      <c r="D3484">
        <v>1.5</v>
      </c>
      <c r="E3484" t="s">
        <v>17</v>
      </c>
      <c r="F3484">
        <v>12.37</v>
      </c>
      <c r="G3484">
        <v>15.33</v>
      </c>
      <c r="H3484" t="s">
        <v>17</v>
      </c>
      <c r="I3484" t="str">
        <f>"060855007678"</f>
        <v>060855007678</v>
      </c>
    </row>
    <row r="3485" spans="1:9" x14ac:dyDescent="0.25">
      <c r="A3485" t="s">
        <v>3100</v>
      </c>
      <c r="B3485" t="s">
        <v>13</v>
      </c>
      <c r="C3485" t="s">
        <v>17</v>
      </c>
      <c r="D3485" t="s">
        <v>14</v>
      </c>
      <c r="E3485" t="s">
        <v>14</v>
      </c>
      <c r="F3485" t="s">
        <v>17</v>
      </c>
      <c r="G3485" t="s">
        <v>14</v>
      </c>
      <c r="H3485" t="s">
        <v>14</v>
      </c>
      <c r="I3485" t="str">
        <f>"063462013656"</f>
        <v>063462013656</v>
      </c>
    </row>
    <row r="3486" spans="1:9" x14ac:dyDescent="0.25">
      <c r="A3486" t="s">
        <v>3101</v>
      </c>
      <c r="B3486" t="s">
        <v>13</v>
      </c>
      <c r="C3486">
        <v>9.92</v>
      </c>
      <c r="D3486">
        <v>4.9400000000000004</v>
      </c>
      <c r="E3486" t="s">
        <v>14</v>
      </c>
      <c r="F3486">
        <v>21.07</v>
      </c>
      <c r="G3486">
        <v>20.85</v>
      </c>
      <c r="H3486" t="s">
        <v>14</v>
      </c>
      <c r="I3486" t="str">
        <f>"063441012800"</f>
        <v>063441012800</v>
      </c>
    </row>
    <row r="3487" spans="1:9" x14ac:dyDescent="0.25">
      <c r="A3487" t="s">
        <v>3102</v>
      </c>
      <c r="B3487" t="s">
        <v>13</v>
      </c>
      <c r="C3487" t="s">
        <v>17</v>
      </c>
      <c r="D3487" t="s">
        <v>14</v>
      </c>
      <c r="E3487" t="s">
        <v>14</v>
      </c>
      <c r="F3487" t="s">
        <v>17</v>
      </c>
      <c r="G3487" t="s">
        <v>14</v>
      </c>
      <c r="H3487" t="s">
        <v>14</v>
      </c>
      <c r="I3487" t="str">
        <f>"063025013360"</f>
        <v>063025013360</v>
      </c>
    </row>
    <row r="3488" spans="1:9" x14ac:dyDescent="0.25">
      <c r="A3488" t="s">
        <v>3103</v>
      </c>
      <c r="B3488" t="s">
        <v>13</v>
      </c>
      <c r="C3488" t="str">
        <f>"0.01"</f>
        <v>0.01</v>
      </c>
      <c r="D3488" t="str">
        <f>"0.01"</f>
        <v>0.01</v>
      </c>
      <c r="E3488" t="s">
        <v>17</v>
      </c>
      <c r="F3488">
        <v>7400</v>
      </c>
      <c r="G3488">
        <v>8600</v>
      </c>
      <c r="H3488" t="s">
        <v>17</v>
      </c>
      <c r="I3488" t="str">
        <f>"062805012506"</f>
        <v>062805012506</v>
      </c>
    </row>
    <row r="3489" spans="1:9" x14ac:dyDescent="0.25">
      <c r="A3489" t="s">
        <v>3104</v>
      </c>
      <c r="B3489" t="s">
        <v>13</v>
      </c>
      <c r="C3489">
        <v>2.25</v>
      </c>
      <c r="D3489">
        <v>4</v>
      </c>
      <c r="E3489" t="s">
        <v>17</v>
      </c>
      <c r="F3489">
        <v>73.33</v>
      </c>
      <c r="G3489">
        <v>38.5</v>
      </c>
      <c r="H3489" t="s">
        <v>17</v>
      </c>
      <c r="I3489" t="str">
        <f>"063315011030"</f>
        <v>063315011030</v>
      </c>
    </row>
    <row r="3490" spans="1:9" x14ac:dyDescent="0.25">
      <c r="A3490" t="s">
        <v>3105</v>
      </c>
      <c r="B3490" t="s">
        <v>13</v>
      </c>
      <c r="C3490" t="s">
        <v>14</v>
      </c>
      <c r="D3490">
        <v>3.6</v>
      </c>
      <c r="E3490" t="s">
        <v>17</v>
      </c>
      <c r="F3490" t="s">
        <v>17</v>
      </c>
      <c r="G3490">
        <v>4.17</v>
      </c>
      <c r="H3490" t="s">
        <v>17</v>
      </c>
      <c r="I3490" t="str">
        <f>"061623011229"</f>
        <v>061623011229</v>
      </c>
    </row>
    <row r="3491" spans="1:9" x14ac:dyDescent="0.25">
      <c r="A3491" t="s">
        <v>3106</v>
      </c>
      <c r="B3491" t="s">
        <v>13</v>
      </c>
      <c r="C3491">
        <v>25.28</v>
      </c>
      <c r="D3491">
        <v>25.6</v>
      </c>
      <c r="E3491" t="s">
        <v>17</v>
      </c>
      <c r="F3491">
        <v>26.38</v>
      </c>
      <c r="G3491">
        <v>27.15</v>
      </c>
      <c r="H3491" t="s">
        <v>17</v>
      </c>
      <c r="I3491" t="str">
        <f>"060261000151"</f>
        <v>060261000151</v>
      </c>
    </row>
    <row r="3492" spans="1:9" x14ac:dyDescent="0.25">
      <c r="A3492" t="s">
        <v>3107</v>
      </c>
      <c r="B3492" t="s">
        <v>13</v>
      </c>
      <c r="C3492">
        <v>23</v>
      </c>
      <c r="D3492">
        <v>24</v>
      </c>
      <c r="E3492" t="s">
        <v>17</v>
      </c>
      <c r="F3492">
        <v>26.87</v>
      </c>
      <c r="G3492">
        <v>27.38</v>
      </c>
      <c r="H3492" t="s">
        <v>17</v>
      </c>
      <c r="I3492" t="str">
        <f>"061146001267"</f>
        <v>061146001267</v>
      </c>
    </row>
    <row r="3493" spans="1:9" x14ac:dyDescent="0.25">
      <c r="A3493" t="s">
        <v>3108</v>
      </c>
      <c r="B3493" t="s">
        <v>13</v>
      </c>
      <c r="C3493">
        <v>20.5</v>
      </c>
      <c r="D3493">
        <v>21.2</v>
      </c>
      <c r="E3493" t="s">
        <v>17</v>
      </c>
      <c r="F3493">
        <v>21.37</v>
      </c>
      <c r="G3493">
        <v>20.85</v>
      </c>
      <c r="H3493" t="s">
        <v>17</v>
      </c>
      <c r="I3493" t="str">
        <f>"063559006062"</f>
        <v>063559006062</v>
      </c>
    </row>
    <row r="3494" spans="1:9" x14ac:dyDescent="0.25">
      <c r="A3494" t="s">
        <v>3109</v>
      </c>
      <c r="B3494" t="s">
        <v>13</v>
      </c>
      <c r="C3494">
        <v>18</v>
      </c>
      <c r="D3494">
        <v>19</v>
      </c>
      <c r="E3494" t="s">
        <v>17</v>
      </c>
      <c r="F3494">
        <v>22.83</v>
      </c>
      <c r="G3494">
        <v>22.68</v>
      </c>
      <c r="H3494" t="s">
        <v>17</v>
      </c>
      <c r="I3494" t="str">
        <f>"062271003040"</f>
        <v>062271003040</v>
      </c>
    </row>
    <row r="3495" spans="1:9" x14ac:dyDescent="0.25">
      <c r="A3495" t="s">
        <v>3110</v>
      </c>
      <c r="B3495" t="s">
        <v>13</v>
      </c>
      <c r="C3495">
        <v>20.7</v>
      </c>
      <c r="D3495">
        <v>20.7</v>
      </c>
      <c r="E3495" t="s">
        <v>17</v>
      </c>
      <c r="F3495">
        <v>24.93</v>
      </c>
      <c r="G3495">
        <v>25.56</v>
      </c>
      <c r="H3495" t="s">
        <v>17</v>
      </c>
      <c r="I3495" t="str">
        <f>"063579007870"</f>
        <v>063579007870</v>
      </c>
    </row>
    <row r="3496" spans="1:9" x14ac:dyDescent="0.25">
      <c r="A3496" t="s">
        <v>3111</v>
      </c>
      <c r="B3496" t="s">
        <v>13</v>
      </c>
      <c r="C3496">
        <v>2</v>
      </c>
      <c r="D3496">
        <v>3</v>
      </c>
      <c r="E3496" t="s">
        <v>17</v>
      </c>
      <c r="F3496">
        <v>20.5</v>
      </c>
      <c r="G3496">
        <v>13.33</v>
      </c>
      <c r="H3496" t="s">
        <v>17</v>
      </c>
      <c r="I3496" t="str">
        <f>"061497001902"</f>
        <v>061497001902</v>
      </c>
    </row>
    <row r="3497" spans="1:9" x14ac:dyDescent="0.25">
      <c r="A3497" t="s">
        <v>3112</v>
      </c>
      <c r="B3497" t="s">
        <v>13</v>
      </c>
      <c r="C3497">
        <v>26.3</v>
      </c>
      <c r="D3497">
        <v>25</v>
      </c>
      <c r="E3497" t="s">
        <v>17</v>
      </c>
      <c r="F3497">
        <v>28.25</v>
      </c>
      <c r="G3497">
        <v>29.04</v>
      </c>
      <c r="H3497" t="s">
        <v>17</v>
      </c>
      <c r="I3497" t="str">
        <f>"062808004326"</f>
        <v>062808004326</v>
      </c>
    </row>
    <row r="3498" spans="1:9" x14ac:dyDescent="0.25">
      <c r="A3498" t="s">
        <v>3113</v>
      </c>
      <c r="B3498" t="s">
        <v>13</v>
      </c>
      <c r="C3498">
        <v>2.75</v>
      </c>
      <c r="D3498">
        <v>2.58</v>
      </c>
      <c r="E3498" t="s">
        <v>17</v>
      </c>
      <c r="F3498">
        <v>5.82</v>
      </c>
      <c r="G3498">
        <v>5.43</v>
      </c>
      <c r="H3498" t="s">
        <v>17</v>
      </c>
      <c r="I3498" t="str">
        <f>"063942011674"</f>
        <v>063942011674</v>
      </c>
    </row>
    <row r="3499" spans="1:9" x14ac:dyDescent="0.25">
      <c r="A3499" t="s">
        <v>3114</v>
      </c>
      <c r="B3499" t="s">
        <v>13</v>
      </c>
      <c r="C3499" t="s">
        <v>17</v>
      </c>
      <c r="D3499" t="s">
        <v>14</v>
      </c>
      <c r="E3499" t="s">
        <v>14</v>
      </c>
      <c r="F3499" t="s">
        <v>17</v>
      </c>
      <c r="G3499" t="s">
        <v>14</v>
      </c>
      <c r="H3499" t="s">
        <v>14</v>
      </c>
      <c r="I3499" t="str">
        <f>"063462013156"</f>
        <v>063462013156</v>
      </c>
    </row>
    <row r="3500" spans="1:9" x14ac:dyDescent="0.25">
      <c r="A3500" t="s">
        <v>3115</v>
      </c>
      <c r="B3500" t="s">
        <v>13</v>
      </c>
      <c r="C3500">
        <v>20.8</v>
      </c>
      <c r="D3500">
        <v>21.5</v>
      </c>
      <c r="E3500" t="s">
        <v>17</v>
      </c>
      <c r="F3500">
        <v>22.74</v>
      </c>
      <c r="G3500">
        <v>22.51</v>
      </c>
      <c r="H3500" t="s">
        <v>17</v>
      </c>
      <c r="I3500" t="str">
        <f>"061970002366"</f>
        <v>061970002366</v>
      </c>
    </row>
    <row r="3501" spans="1:9" x14ac:dyDescent="0.25">
      <c r="A3501" t="s">
        <v>3116</v>
      </c>
      <c r="B3501" t="s">
        <v>13</v>
      </c>
      <c r="C3501">
        <v>8</v>
      </c>
      <c r="D3501">
        <v>7</v>
      </c>
      <c r="E3501" t="s">
        <v>17</v>
      </c>
      <c r="F3501">
        <v>16.63</v>
      </c>
      <c r="G3501">
        <v>19.29</v>
      </c>
      <c r="H3501" t="s">
        <v>17</v>
      </c>
      <c r="I3501" t="str">
        <f>"061500001903"</f>
        <v>061500001903</v>
      </c>
    </row>
    <row r="3502" spans="1:9" x14ac:dyDescent="0.25">
      <c r="A3502" t="s">
        <v>3117</v>
      </c>
      <c r="B3502" t="s">
        <v>13</v>
      </c>
      <c r="C3502">
        <v>21</v>
      </c>
      <c r="D3502">
        <v>20.45</v>
      </c>
      <c r="E3502" t="s">
        <v>17</v>
      </c>
      <c r="F3502">
        <v>29.95</v>
      </c>
      <c r="G3502">
        <v>30.71</v>
      </c>
      <c r="H3502" t="s">
        <v>17</v>
      </c>
      <c r="I3502" t="str">
        <f>"063384005244"</f>
        <v>063384005244</v>
      </c>
    </row>
    <row r="3503" spans="1:9" x14ac:dyDescent="0.25">
      <c r="A3503" t="s">
        <v>3118</v>
      </c>
      <c r="B3503" t="s">
        <v>13</v>
      </c>
      <c r="C3503">
        <v>23</v>
      </c>
      <c r="D3503">
        <v>23</v>
      </c>
      <c r="E3503" t="s">
        <v>17</v>
      </c>
      <c r="F3503">
        <v>24.61</v>
      </c>
      <c r="G3503">
        <v>23.96</v>
      </c>
      <c r="H3503" t="s">
        <v>17</v>
      </c>
      <c r="I3503" t="str">
        <f>"061488001835"</f>
        <v>061488001835</v>
      </c>
    </row>
    <row r="3504" spans="1:9" x14ac:dyDescent="0.25">
      <c r="A3504" t="s">
        <v>3119</v>
      </c>
      <c r="B3504" t="s">
        <v>13</v>
      </c>
      <c r="C3504">
        <v>44.01</v>
      </c>
      <c r="D3504">
        <v>48.4</v>
      </c>
      <c r="E3504" t="s">
        <v>17</v>
      </c>
      <c r="F3504">
        <v>26.11</v>
      </c>
      <c r="G3504">
        <v>24.9</v>
      </c>
      <c r="H3504" t="s">
        <v>17</v>
      </c>
      <c r="I3504" t="str">
        <f>"063360003508"</f>
        <v>063360003508</v>
      </c>
    </row>
    <row r="3505" spans="1:9" x14ac:dyDescent="0.25">
      <c r="A3505" t="s">
        <v>3120</v>
      </c>
      <c r="B3505" t="s">
        <v>13</v>
      </c>
      <c r="C3505">
        <v>10</v>
      </c>
      <c r="D3505">
        <v>10</v>
      </c>
      <c r="E3505" t="s">
        <v>17</v>
      </c>
      <c r="F3505">
        <v>14.8</v>
      </c>
      <c r="G3505">
        <v>15</v>
      </c>
      <c r="H3505" t="s">
        <v>17</v>
      </c>
      <c r="I3505" t="str">
        <f>"060004712105"</f>
        <v>060004712105</v>
      </c>
    </row>
    <row r="3506" spans="1:9" x14ac:dyDescent="0.25">
      <c r="A3506" t="s">
        <v>3121</v>
      </c>
      <c r="B3506" t="s">
        <v>13</v>
      </c>
      <c r="C3506">
        <v>20</v>
      </c>
      <c r="D3506">
        <v>22</v>
      </c>
      <c r="E3506" t="s">
        <v>17</v>
      </c>
      <c r="F3506">
        <v>27</v>
      </c>
      <c r="G3506">
        <v>24.64</v>
      </c>
      <c r="H3506" t="s">
        <v>17</v>
      </c>
      <c r="I3506" t="str">
        <f>"060807000779"</f>
        <v>060807000779</v>
      </c>
    </row>
    <row r="3507" spans="1:9" x14ac:dyDescent="0.25">
      <c r="A3507" t="s">
        <v>3122</v>
      </c>
      <c r="B3507" t="s">
        <v>13</v>
      </c>
      <c r="C3507" t="s">
        <v>17</v>
      </c>
      <c r="D3507" t="s">
        <v>14</v>
      </c>
      <c r="E3507" t="s">
        <v>14</v>
      </c>
      <c r="F3507" t="s">
        <v>17</v>
      </c>
      <c r="G3507" t="s">
        <v>14</v>
      </c>
      <c r="H3507" t="s">
        <v>14</v>
      </c>
      <c r="I3507" t="str">
        <f>"063417013112"</f>
        <v>063417013112</v>
      </c>
    </row>
    <row r="3508" spans="1:9" x14ac:dyDescent="0.25">
      <c r="A3508" t="s">
        <v>3123</v>
      </c>
      <c r="B3508" t="s">
        <v>13</v>
      </c>
      <c r="C3508">
        <v>28.5</v>
      </c>
      <c r="D3508">
        <v>30.25</v>
      </c>
      <c r="E3508" t="s">
        <v>17</v>
      </c>
      <c r="F3508">
        <v>25.96</v>
      </c>
      <c r="G3508">
        <v>25.95</v>
      </c>
      <c r="H3508" t="s">
        <v>17</v>
      </c>
      <c r="I3508" t="str">
        <f>"062553003837"</f>
        <v>062553003837</v>
      </c>
    </row>
    <row r="3509" spans="1:9" x14ac:dyDescent="0.25">
      <c r="A3509" t="s">
        <v>3124</v>
      </c>
      <c r="B3509" t="s">
        <v>13</v>
      </c>
      <c r="C3509">
        <v>26.62</v>
      </c>
      <c r="D3509">
        <v>27.2</v>
      </c>
      <c r="E3509" t="s">
        <v>17</v>
      </c>
      <c r="F3509">
        <v>22.01</v>
      </c>
      <c r="G3509">
        <v>22.17</v>
      </c>
      <c r="H3509" t="s">
        <v>17</v>
      </c>
      <c r="I3509" t="str">
        <f>"062577003856"</f>
        <v>062577003856</v>
      </c>
    </row>
    <row r="3510" spans="1:9" x14ac:dyDescent="0.25">
      <c r="A3510" t="s">
        <v>3125</v>
      </c>
      <c r="B3510" t="s">
        <v>13</v>
      </c>
      <c r="C3510">
        <v>16</v>
      </c>
      <c r="D3510">
        <v>17.5</v>
      </c>
      <c r="E3510" t="s">
        <v>17</v>
      </c>
      <c r="F3510">
        <v>23.31</v>
      </c>
      <c r="G3510">
        <v>21.6</v>
      </c>
      <c r="H3510" t="s">
        <v>17</v>
      </c>
      <c r="I3510" t="str">
        <f>"063360005183"</f>
        <v>063360005183</v>
      </c>
    </row>
    <row r="3511" spans="1:9" x14ac:dyDescent="0.25">
      <c r="A3511" t="s">
        <v>3126</v>
      </c>
      <c r="B3511" t="s">
        <v>13</v>
      </c>
      <c r="C3511">
        <v>31</v>
      </c>
      <c r="D3511">
        <v>37</v>
      </c>
      <c r="E3511" t="s">
        <v>17</v>
      </c>
      <c r="F3511">
        <v>22.77</v>
      </c>
      <c r="G3511">
        <v>21.49</v>
      </c>
      <c r="H3511" t="s">
        <v>17</v>
      </c>
      <c r="I3511" t="str">
        <f>"062271011644"</f>
        <v>062271011644</v>
      </c>
    </row>
    <row r="3512" spans="1:9" x14ac:dyDescent="0.25">
      <c r="A3512" t="s">
        <v>3127</v>
      </c>
      <c r="B3512" t="s">
        <v>13</v>
      </c>
      <c r="C3512">
        <v>15.07</v>
      </c>
      <c r="D3512">
        <v>15.17</v>
      </c>
      <c r="E3512" t="s">
        <v>17</v>
      </c>
      <c r="F3512">
        <v>29.79</v>
      </c>
      <c r="G3512">
        <v>30.65</v>
      </c>
      <c r="H3512" t="s">
        <v>17</v>
      </c>
      <c r="I3512" t="str">
        <f>"063795006394"</f>
        <v>063795006394</v>
      </c>
    </row>
    <row r="3513" spans="1:9" x14ac:dyDescent="0.25">
      <c r="A3513" t="s">
        <v>3128</v>
      </c>
      <c r="B3513" t="s">
        <v>13</v>
      </c>
      <c r="C3513">
        <v>67.5</v>
      </c>
      <c r="D3513">
        <v>67.02</v>
      </c>
      <c r="E3513" t="s">
        <v>17</v>
      </c>
      <c r="F3513">
        <v>28.01</v>
      </c>
      <c r="G3513">
        <v>28.42</v>
      </c>
      <c r="H3513" t="s">
        <v>17</v>
      </c>
      <c r="I3513" t="str">
        <f>"062271003062"</f>
        <v>062271003062</v>
      </c>
    </row>
    <row r="3514" spans="1:9" x14ac:dyDescent="0.25">
      <c r="A3514" t="s">
        <v>3129</v>
      </c>
      <c r="B3514" t="s">
        <v>13</v>
      </c>
      <c r="C3514">
        <v>29.49</v>
      </c>
      <c r="D3514">
        <v>29.99</v>
      </c>
      <c r="E3514" t="s">
        <v>17</v>
      </c>
      <c r="F3514">
        <v>23.19</v>
      </c>
      <c r="G3514">
        <v>22.77</v>
      </c>
      <c r="H3514" t="s">
        <v>17</v>
      </c>
      <c r="I3514" t="str">
        <f>"060004807409"</f>
        <v>060004807409</v>
      </c>
    </row>
    <row r="3515" spans="1:9" x14ac:dyDescent="0.25">
      <c r="A3515" t="s">
        <v>3130</v>
      </c>
      <c r="B3515" t="s">
        <v>13</v>
      </c>
      <c r="C3515">
        <v>20.8</v>
      </c>
      <c r="D3515">
        <v>19.5</v>
      </c>
      <c r="E3515" t="s">
        <v>17</v>
      </c>
      <c r="F3515">
        <v>21.11</v>
      </c>
      <c r="G3515">
        <v>22.67</v>
      </c>
      <c r="H3515" t="s">
        <v>17</v>
      </c>
      <c r="I3515" t="str">
        <f>"063492005906"</f>
        <v>063492005906</v>
      </c>
    </row>
    <row r="3516" spans="1:9" x14ac:dyDescent="0.25">
      <c r="A3516" t="s">
        <v>3131</v>
      </c>
      <c r="B3516" t="s">
        <v>13</v>
      </c>
      <c r="C3516">
        <v>60.5</v>
      </c>
      <c r="D3516">
        <v>63.01</v>
      </c>
      <c r="E3516" t="s">
        <v>17</v>
      </c>
      <c r="F3516">
        <v>28.6</v>
      </c>
      <c r="G3516">
        <v>26.96</v>
      </c>
      <c r="H3516" t="s">
        <v>17</v>
      </c>
      <c r="I3516" t="str">
        <f>"062271003287"</f>
        <v>062271003287</v>
      </c>
    </row>
    <row r="3517" spans="1:9" x14ac:dyDescent="0.25">
      <c r="A3517" t="s">
        <v>3132</v>
      </c>
      <c r="B3517" t="s">
        <v>13</v>
      </c>
      <c r="C3517">
        <v>43.9</v>
      </c>
      <c r="D3517">
        <v>42.9</v>
      </c>
      <c r="E3517" t="s">
        <v>17</v>
      </c>
      <c r="F3517">
        <v>26.45</v>
      </c>
      <c r="G3517">
        <v>27.18</v>
      </c>
      <c r="H3517" t="s">
        <v>17</v>
      </c>
      <c r="I3517" t="str">
        <f>"060004711784"</f>
        <v>060004711784</v>
      </c>
    </row>
    <row r="3518" spans="1:9" x14ac:dyDescent="0.25">
      <c r="A3518" t="s">
        <v>3133</v>
      </c>
      <c r="B3518" t="s">
        <v>13</v>
      </c>
      <c r="C3518">
        <v>8</v>
      </c>
      <c r="D3518">
        <v>8.8000000000000007</v>
      </c>
      <c r="E3518" t="s">
        <v>17</v>
      </c>
      <c r="F3518">
        <v>5.38</v>
      </c>
      <c r="G3518">
        <v>4.09</v>
      </c>
      <c r="H3518" t="s">
        <v>17</v>
      </c>
      <c r="I3518" t="str">
        <f>"063066004760"</f>
        <v>063066004760</v>
      </c>
    </row>
    <row r="3519" spans="1:9" x14ac:dyDescent="0.25">
      <c r="A3519" t="s">
        <v>3134</v>
      </c>
      <c r="B3519" t="s">
        <v>13</v>
      </c>
      <c r="C3519">
        <v>18.829999999999998</v>
      </c>
      <c r="D3519">
        <v>19.329999999999998</v>
      </c>
      <c r="E3519" t="s">
        <v>17</v>
      </c>
      <c r="F3519">
        <v>22.15</v>
      </c>
      <c r="G3519">
        <v>21.99</v>
      </c>
      <c r="H3519" t="s">
        <v>17</v>
      </c>
      <c r="I3519" t="str">
        <f>"060003501549"</f>
        <v>060003501549</v>
      </c>
    </row>
    <row r="3520" spans="1:9" x14ac:dyDescent="0.25">
      <c r="A3520" t="s">
        <v>3135</v>
      </c>
      <c r="B3520" t="s">
        <v>13</v>
      </c>
      <c r="C3520">
        <v>20.3</v>
      </c>
      <c r="D3520">
        <v>20.5</v>
      </c>
      <c r="E3520" t="s">
        <v>17</v>
      </c>
      <c r="F3520">
        <v>24.33</v>
      </c>
      <c r="G3520">
        <v>24.44</v>
      </c>
      <c r="H3520" t="s">
        <v>17</v>
      </c>
      <c r="I3520" t="str">
        <f>"062223011774"</f>
        <v>062223011774</v>
      </c>
    </row>
    <row r="3521" spans="1:9" x14ac:dyDescent="0.25">
      <c r="A3521" t="s">
        <v>3136</v>
      </c>
      <c r="B3521" t="s">
        <v>13</v>
      </c>
      <c r="C3521">
        <v>21</v>
      </c>
      <c r="D3521">
        <v>21</v>
      </c>
      <c r="E3521" t="s">
        <v>17</v>
      </c>
      <c r="F3521">
        <v>25.71</v>
      </c>
      <c r="G3521">
        <v>25.38</v>
      </c>
      <c r="H3521" t="s">
        <v>17</v>
      </c>
      <c r="I3521" t="str">
        <f>"063543006043"</f>
        <v>063543006043</v>
      </c>
    </row>
    <row r="3522" spans="1:9" x14ac:dyDescent="0.25">
      <c r="A3522" t="s">
        <v>3137</v>
      </c>
      <c r="B3522" t="s">
        <v>13</v>
      </c>
      <c r="C3522">
        <v>36.700000000000003</v>
      </c>
      <c r="D3522">
        <v>38.4</v>
      </c>
      <c r="E3522" t="s">
        <v>17</v>
      </c>
      <c r="F3522">
        <v>28.75</v>
      </c>
      <c r="G3522">
        <v>28.44</v>
      </c>
      <c r="H3522" t="s">
        <v>17</v>
      </c>
      <c r="I3522" t="str">
        <f>"062361009398"</f>
        <v>062361009398</v>
      </c>
    </row>
    <row r="3523" spans="1:9" x14ac:dyDescent="0.25">
      <c r="A3523" t="s">
        <v>3138</v>
      </c>
      <c r="B3523" t="s">
        <v>13</v>
      </c>
      <c r="C3523">
        <v>32.5</v>
      </c>
      <c r="D3523">
        <v>28.5</v>
      </c>
      <c r="E3523" t="s">
        <v>17</v>
      </c>
      <c r="F3523">
        <v>25.88</v>
      </c>
      <c r="G3523">
        <v>29.12</v>
      </c>
      <c r="H3523" t="s">
        <v>17</v>
      </c>
      <c r="I3523" t="str">
        <f>"063738006322"</f>
        <v>063738006322</v>
      </c>
    </row>
    <row r="3524" spans="1:9" x14ac:dyDescent="0.25">
      <c r="A3524" t="s">
        <v>3139</v>
      </c>
      <c r="B3524" t="s">
        <v>13</v>
      </c>
      <c r="C3524">
        <v>2.5</v>
      </c>
      <c r="D3524">
        <v>2.0099999999999998</v>
      </c>
      <c r="E3524" t="s">
        <v>17</v>
      </c>
      <c r="F3524">
        <v>32.4</v>
      </c>
      <c r="G3524">
        <v>39.299999999999997</v>
      </c>
      <c r="H3524" t="s">
        <v>17</v>
      </c>
      <c r="I3524" t="str">
        <f>"062271003276"</f>
        <v>062271003276</v>
      </c>
    </row>
    <row r="3525" spans="1:9" x14ac:dyDescent="0.25">
      <c r="A3525" t="s">
        <v>3140</v>
      </c>
      <c r="B3525" t="s">
        <v>13</v>
      </c>
      <c r="C3525">
        <v>16</v>
      </c>
      <c r="D3525">
        <v>17.2</v>
      </c>
      <c r="E3525" t="s">
        <v>17</v>
      </c>
      <c r="F3525">
        <v>26.81</v>
      </c>
      <c r="G3525">
        <v>23.9</v>
      </c>
      <c r="H3525" t="s">
        <v>17</v>
      </c>
      <c r="I3525" t="str">
        <f>"063360008955"</f>
        <v>063360008955</v>
      </c>
    </row>
    <row r="3526" spans="1:9" x14ac:dyDescent="0.25">
      <c r="A3526" t="s">
        <v>3141</v>
      </c>
      <c r="B3526" t="s">
        <v>13</v>
      </c>
      <c r="C3526">
        <v>23.19</v>
      </c>
      <c r="D3526">
        <v>23.19</v>
      </c>
      <c r="E3526" t="s">
        <v>17</v>
      </c>
      <c r="F3526">
        <v>21.78</v>
      </c>
      <c r="G3526">
        <v>22.25</v>
      </c>
      <c r="H3526" t="s">
        <v>17</v>
      </c>
      <c r="I3526" t="str">
        <f>"060957000967"</f>
        <v>060957000967</v>
      </c>
    </row>
    <row r="3527" spans="1:9" x14ac:dyDescent="0.25">
      <c r="A3527" t="s">
        <v>3142</v>
      </c>
      <c r="B3527" t="s">
        <v>13</v>
      </c>
      <c r="C3527">
        <v>42</v>
      </c>
      <c r="D3527">
        <v>36.5</v>
      </c>
      <c r="E3527" t="s">
        <v>17</v>
      </c>
      <c r="F3527">
        <v>23.52</v>
      </c>
      <c r="G3527">
        <v>25.29</v>
      </c>
      <c r="H3527" t="s">
        <v>17</v>
      </c>
      <c r="I3527" t="str">
        <f>"061314001493"</f>
        <v>061314001493</v>
      </c>
    </row>
    <row r="3528" spans="1:9" x14ac:dyDescent="0.25">
      <c r="A3528" t="s">
        <v>3143</v>
      </c>
      <c r="B3528" t="s">
        <v>13</v>
      </c>
      <c r="C3528">
        <v>24</v>
      </c>
      <c r="D3528">
        <v>22.25</v>
      </c>
      <c r="E3528" t="s">
        <v>17</v>
      </c>
      <c r="F3528">
        <v>31.42</v>
      </c>
      <c r="G3528">
        <v>31.42</v>
      </c>
      <c r="H3528" t="s">
        <v>17</v>
      </c>
      <c r="I3528" t="str">
        <f>"060171011089"</f>
        <v>060171011089</v>
      </c>
    </row>
    <row r="3529" spans="1:9" x14ac:dyDescent="0.25">
      <c r="A3529" t="s">
        <v>3144</v>
      </c>
      <c r="B3529" t="s">
        <v>13</v>
      </c>
      <c r="C3529">
        <v>30.28</v>
      </c>
      <c r="D3529">
        <v>37.159999999999997</v>
      </c>
      <c r="E3529" t="s">
        <v>17</v>
      </c>
      <c r="F3529">
        <v>32.17</v>
      </c>
      <c r="G3529">
        <v>23.95</v>
      </c>
      <c r="H3529" t="s">
        <v>17</v>
      </c>
      <c r="I3529" t="str">
        <f>"063801011302"</f>
        <v>063801011302</v>
      </c>
    </row>
    <row r="3530" spans="1:9" x14ac:dyDescent="0.25">
      <c r="A3530" t="s">
        <v>3145</v>
      </c>
      <c r="B3530" t="s">
        <v>13</v>
      </c>
      <c r="C3530">
        <v>23</v>
      </c>
      <c r="D3530">
        <v>23</v>
      </c>
      <c r="E3530" t="s">
        <v>17</v>
      </c>
      <c r="F3530">
        <v>27.48</v>
      </c>
      <c r="G3530">
        <v>25.09</v>
      </c>
      <c r="H3530" t="s">
        <v>17</v>
      </c>
      <c r="I3530" t="str">
        <f>"063531000757"</f>
        <v>063531000757</v>
      </c>
    </row>
    <row r="3531" spans="1:9" x14ac:dyDescent="0.25">
      <c r="A3531" t="s">
        <v>3146</v>
      </c>
      <c r="B3531" t="s">
        <v>13</v>
      </c>
      <c r="C3531">
        <v>45.83</v>
      </c>
      <c r="D3531">
        <v>65.510000000000005</v>
      </c>
      <c r="E3531" t="s">
        <v>17</v>
      </c>
      <c r="F3531">
        <v>23.72</v>
      </c>
      <c r="G3531">
        <v>17.22</v>
      </c>
      <c r="H3531" t="s">
        <v>17</v>
      </c>
      <c r="I3531" t="str">
        <f>"062271002902"</f>
        <v>062271002902</v>
      </c>
    </row>
    <row r="3532" spans="1:9" x14ac:dyDescent="0.25">
      <c r="A3532" t="s">
        <v>3147</v>
      </c>
      <c r="B3532" t="s">
        <v>13</v>
      </c>
      <c r="C3532">
        <v>11</v>
      </c>
      <c r="D3532">
        <v>10.75</v>
      </c>
      <c r="E3532" t="s">
        <v>17</v>
      </c>
      <c r="F3532">
        <v>25.09</v>
      </c>
      <c r="G3532">
        <v>26.79</v>
      </c>
      <c r="H3532" t="s">
        <v>17</v>
      </c>
      <c r="I3532" t="str">
        <f>"063384011195"</f>
        <v>063384011195</v>
      </c>
    </row>
    <row r="3533" spans="1:9" x14ac:dyDescent="0.25">
      <c r="A3533" t="s">
        <v>3148</v>
      </c>
      <c r="B3533" t="s">
        <v>13</v>
      </c>
      <c r="C3533">
        <v>30.2</v>
      </c>
      <c r="D3533">
        <v>28.8</v>
      </c>
      <c r="E3533" t="s">
        <v>17</v>
      </c>
      <c r="F3533">
        <v>27.65</v>
      </c>
      <c r="G3533">
        <v>26.67</v>
      </c>
      <c r="H3533" t="s">
        <v>17</v>
      </c>
      <c r="I3533" t="str">
        <f>"061111001234"</f>
        <v>061111001234</v>
      </c>
    </row>
    <row r="3534" spans="1:9" x14ac:dyDescent="0.25">
      <c r="A3534" t="s">
        <v>3149</v>
      </c>
      <c r="B3534" t="s">
        <v>13</v>
      </c>
      <c r="C3534">
        <v>35</v>
      </c>
      <c r="D3534">
        <v>37</v>
      </c>
      <c r="E3534" t="s">
        <v>17</v>
      </c>
      <c r="F3534">
        <v>25.2</v>
      </c>
      <c r="G3534">
        <v>24.16</v>
      </c>
      <c r="H3534" t="s">
        <v>17</v>
      </c>
      <c r="I3534" t="str">
        <f>"060985001069"</f>
        <v>060985001069</v>
      </c>
    </row>
    <row r="3535" spans="1:9" x14ac:dyDescent="0.25">
      <c r="A3535" t="s">
        <v>3149</v>
      </c>
      <c r="B3535" t="s">
        <v>13</v>
      </c>
      <c r="C3535">
        <v>7.17</v>
      </c>
      <c r="D3535">
        <v>11.08</v>
      </c>
      <c r="E3535" t="s">
        <v>17</v>
      </c>
      <c r="F3535">
        <v>36.54</v>
      </c>
      <c r="G3535">
        <v>24.28</v>
      </c>
      <c r="H3535" t="s">
        <v>17</v>
      </c>
      <c r="I3535" t="str">
        <f>"063801009447"</f>
        <v>063801009447</v>
      </c>
    </row>
    <row r="3536" spans="1:9" x14ac:dyDescent="0.25">
      <c r="A3536" t="s">
        <v>3149</v>
      </c>
      <c r="B3536" t="s">
        <v>13</v>
      </c>
      <c r="C3536">
        <v>25.7</v>
      </c>
      <c r="D3536">
        <v>24.3</v>
      </c>
      <c r="E3536" t="s">
        <v>17</v>
      </c>
      <c r="F3536">
        <v>16.93</v>
      </c>
      <c r="G3536">
        <v>17.78</v>
      </c>
      <c r="H3536" t="s">
        <v>17</v>
      </c>
      <c r="I3536" t="str">
        <f>"062223002647"</f>
        <v>062223002647</v>
      </c>
    </row>
    <row r="3537" spans="1:9" x14ac:dyDescent="0.25">
      <c r="A3537" t="s">
        <v>3149</v>
      </c>
      <c r="B3537" t="s">
        <v>13</v>
      </c>
      <c r="C3537">
        <v>19.25</v>
      </c>
      <c r="D3537">
        <v>18.25</v>
      </c>
      <c r="E3537" t="s">
        <v>17</v>
      </c>
      <c r="F3537">
        <v>19.79</v>
      </c>
      <c r="G3537">
        <v>20.38</v>
      </c>
      <c r="H3537" t="s">
        <v>17</v>
      </c>
      <c r="I3537" t="str">
        <f>"061887002286"</f>
        <v>061887002286</v>
      </c>
    </row>
    <row r="3538" spans="1:9" x14ac:dyDescent="0.25">
      <c r="A3538" t="s">
        <v>3149</v>
      </c>
      <c r="B3538" t="s">
        <v>13</v>
      </c>
      <c r="C3538">
        <v>19.5</v>
      </c>
      <c r="D3538">
        <v>21</v>
      </c>
      <c r="E3538" t="s">
        <v>17</v>
      </c>
      <c r="F3538">
        <v>25.13</v>
      </c>
      <c r="G3538">
        <v>24.24</v>
      </c>
      <c r="H3538" t="s">
        <v>17</v>
      </c>
      <c r="I3538" t="str">
        <f>"060645000580"</f>
        <v>060645000580</v>
      </c>
    </row>
    <row r="3539" spans="1:9" x14ac:dyDescent="0.25">
      <c r="A3539" t="s">
        <v>3149</v>
      </c>
      <c r="B3539" t="s">
        <v>13</v>
      </c>
      <c r="C3539">
        <v>10.24</v>
      </c>
      <c r="D3539">
        <v>10.32</v>
      </c>
      <c r="E3539" t="s">
        <v>17</v>
      </c>
      <c r="F3539">
        <v>23.44</v>
      </c>
      <c r="G3539">
        <v>22.58</v>
      </c>
      <c r="H3539" t="s">
        <v>17</v>
      </c>
      <c r="I3539" t="str">
        <f>"063627006190"</f>
        <v>063627006190</v>
      </c>
    </row>
    <row r="3540" spans="1:9" x14ac:dyDescent="0.25">
      <c r="A3540" t="s">
        <v>3149</v>
      </c>
      <c r="B3540" t="s">
        <v>13</v>
      </c>
      <c r="C3540">
        <v>22</v>
      </c>
      <c r="D3540">
        <v>23.5</v>
      </c>
      <c r="E3540" t="s">
        <v>17</v>
      </c>
      <c r="F3540">
        <v>24.05</v>
      </c>
      <c r="G3540">
        <v>22.51</v>
      </c>
      <c r="H3540" t="s">
        <v>17</v>
      </c>
      <c r="I3540" t="str">
        <f>"061647009844"</f>
        <v>061647009844</v>
      </c>
    </row>
    <row r="3541" spans="1:9" x14ac:dyDescent="0.25">
      <c r="A3541" t="s">
        <v>3149</v>
      </c>
      <c r="B3541" t="s">
        <v>13</v>
      </c>
      <c r="C3541">
        <v>27</v>
      </c>
      <c r="D3541">
        <v>24</v>
      </c>
      <c r="E3541" t="s">
        <v>17</v>
      </c>
      <c r="F3541">
        <v>27.33</v>
      </c>
      <c r="G3541">
        <v>29.38</v>
      </c>
      <c r="H3541" t="s">
        <v>17</v>
      </c>
      <c r="I3541" t="str">
        <f>"062334003556"</f>
        <v>062334003556</v>
      </c>
    </row>
    <row r="3542" spans="1:9" x14ac:dyDescent="0.25">
      <c r="A3542" t="s">
        <v>3150</v>
      </c>
      <c r="B3542" t="s">
        <v>13</v>
      </c>
      <c r="C3542">
        <v>94.83</v>
      </c>
      <c r="D3542">
        <v>104.04</v>
      </c>
      <c r="E3542" t="s">
        <v>17</v>
      </c>
      <c r="F3542">
        <v>15.45</v>
      </c>
      <c r="G3542">
        <v>16.09</v>
      </c>
      <c r="H3542" t="s">
        <v>17</v>
      </c>
      <c r="I3542" t="str">
        <f>"062271003444"</f>
        <v>062271003444</v>
      </c>
    </row>
    <row r="3543" spans="1:9" x14ac:dyDescent="0.25">
      <c r="A3543" t="s">
        <v>3151</v>
      </c>
      <c r="B3543" t="s">
        <v>13</v>
      </c>
      <c r="C3543">
        <v>22.43</v>
      </c>
      <c r="D3543">
        <v>25.9</v>
      </c>
      <c r="E3543" t="s">
        <v>17</v>
      </c>
      <c r="F3543">
        <v>28.44</v>
      </c>
      <c r="G3543">
        <v>25.37</v>
      </c>
      <c r="H3543" t="s">
        <v>17</v>
      </c>
      <c r="I3543" t="str">
        <f>"060744009523"</f>
        <v>060744009523</v>
      </c>
    </row>
    <row r="3544" spans="1:9" x14ac:dyDescent="0.25">
      <c r="A3544" t="s">
        <v>3152</v>
      </c>
      <c r="B3544" t="s">
        <v>13</v>
      </c>
      <c r="C3544">
        <v>35.85</v>
      </c>
      <c r="D3544">
        <v>35.85</v>
      </c>
      <c r="E3544" t="s">
        <v>17</v>
      </c>
      <c r="F3544">
        <v>27.25</v>
      </c>
      <c r="G3544">
        <v>27.2</v>
      </c>
      <c r="H3544" t="s">
        <v>17</v>
      </c>
      <c r="I3544" t="str">
        <f>"062361010653"</f>
        <v>062361010653</v>
      </c>
    </row>
    <row r="3545" spans="1:9" x14ac:dyDescent="0.25">
      <c r="A3545" t="s">
        <v>3153</v>
      </c>
      <c r="B3545" t="s">
        <v>13</v>
      </c>
      <c r="C3545">
        <v>8.9</v>
      </c>
      <c r="D3545">
        <v>20.5</v>
      </c>
      <c r="E3545" t="s">
        <v>17</v>
      </c>
      <c r="F3545">
        <v>30.79</v>
      </c>
      <c r="G3545">
        <v>19.07</v>
      </c>
      <c r="H3545" t="s">
        <v>17</v>
      </c>
      <c r="I3545" t="str">
        <f>"060524000494"</f>
        <v>060524000494</v>
      </c>
    </row>
    <row r="3546" spans="1:9" x14ac:dyDescent="0.25">
      <c r="A3546" t="s">
        <v>3154</v>
      </c>
      <c r="B3546" t="s">
        <v>13</v>
      </c>
      <c r="C3546">
        <v>16.8</v>
      </c>
      <c r="D3546">
        <v>19.41</v>
      </c>
      <c r="E3546" t="s">
        <v>17</v>
      </c>
      <c r="F3546">
        <v>30.54</v>
      </c>
      <c r="G3546">
        <v>26.79</v>
      </c>
      <c r="H3546" t="s">
        <v>17</v>
      </c>
      <c r="I3546" t="str">
        <f>"060004807406"</f>
        <v>060004807406</v>
      </c>
    </row>
    <row r="3547" spans="1:9" x14ac:dyDescent="0.25">
      <c r="A3547" t="s">
        <v>3155</v>
      </c>
      <c r="B3547" t="s">
        <v>13</v>
      </c>
      <c r="C3547">
        <v>22.31</v>
      </c>
      <c r="D3547">
        <v>25.75</v>
      </c>
      <c r="E3547" t="s">
        <v>17</v>
      </c>
      <c r="F3547">
        <v>29.76</v>
      </c>
      <c r="G3547">
        <v>24.85</v>
      </c>
      <c r="H3547" t="s">
        <v>17</v>
      </c>
      <c r="I3547" t="str">
        <f>"063237010020"</f>
        <v>063237010020</v>
      </c>
    </row>
    <row r="3548" spans="1:9" x14ac:dyDescent="0.25">
      <c r="A3548" t="s">
        <v>3156</v>
      </c>
      <c r="B3548" t="s">
        <v>13</v>
      </c>
      <c r="C3548">
        <v>23.51</v>
      </c>
      <c r="D3548">
        <v>20.84</v>
      </c>
      <c r="E3548" t="s">
        <v>17</v>
      </c>
      <c r="F3548">
        <v>20.03</v>
      </c>
      <c r="G3548">
        <v>22.84</v>
      </c>
      <c r="H3548" t="s">
        <v>17</v>
      </c>
      <c r="I3548" t="str">
        <f>"062265002783"</f>
        <v>062265002783</v>
      </c>
    </row>
    <row r="3549" spans="1:9" x14ac:dyDescent="0.25">
      <c r="A3549" t="s">
        <v>3157</v>
      </c>
      <c r="B3549" t="s">
        <v>13</v>
      </c>
      <c r="C3549">
        <v>33</v>
      </c>
      <c r="D3549">
        <v>32</v>
      </c>
      <c r="E3549" t="s">
        <v>17</v>
      </c>
      <c r="F3549">
        <v>22.58</v>
      </c>
      <c r="G3549">
        <v>23.56</v>
      </c>
      <c r="H3549" t="s">
        <v>17</v>
      </c>
      <c r="I3549" t="str">
        <f>"060939008127"</f>
        <v>060939008127</v>
      </c>
    </row>
    <row r="3550" spans="1:9" x14ac:dyDescent="0.25">
      <c r="A3550" t="s">
        <v>3158</v>
      </c>
      <c r="B3550" t="s">
        <v>13</v>
      </c>
      <c r="C3550">
        <v>18</v>
      </c>
      <c r="D3550">
        <v>21.5</v>
      </c>
      <c r="E3550" t="s">
        <v>17</v>
      </c>
      <c r="F3550">
        <v>28.72</v>
      </c>
      <c r="G3550">
        <v>26.28</v>
      </c>
      <c r="H3550" t="s">
        <v>17</v>
      </c>
      <c r="I3550" t="str">
        <f>"060846009124"</f>
        <v>060846009124</v>
      </c>
    </row>
    <row r="3551" spans="1:9" x14ac:dyDescent="0.25">
      <c r="A3551" t="s">
        <v>3159</v>
      </c>
      <c r="B3551" t="s">
        <v>13</v>
      </c>
      <c r="C3551">
        <v>55.33</v>
      </c>
      <c r="D3551">
        <v>57.75</v>
      </c>
      <c r="E3551" t="s">
        <v>17</v>
      </c>
      <c r="F3551">
        <v>28.72</v>
      </c>
      <c r="G3551">
        <v>27.08</v>
      </c>
      <c r="H3551" t="s">
        <v>17</v>
      </c>
      <c r="I3551" t="str">
        <f>"063531005982"</f>
        <v>063531005982</v>
      </c>
    </row>
    <row r="3552" spans="1:9" x14ac:dyDescent="0.25">
      <c r="A3552" t="s">
        <v>3160</v>
      </c>
      <c r="B3552" t="s">
        <v>13</v>
      </c>
      <c r="C3552">
        <v>29.2</v>
      </c>
      <c r="D3552">
        <v>30</v>
      </c>
      <c r="E3552" t="s">
        <v>17</v>
      </c>
      <c r="F3552">
        <v>26.58</v>
      </c>
      <c r="G3552">
        <v>26.4</v>
      </c>
      <c r="H3552" t="s">
        <v>17</v>
      </c>
      <c r="I3552" t="str">
        <f>"061111010274"</f>
        <v>061111010274</v>
      </c>
    </row>
    <row r="3553" spans="1:9" x14ac:dyDescent="0.25">
      <c r="A3553" t="s">
        <v>3161</v>
      </c>
      <c r="B3553" t="s">
        <v>13</v>
      </c>
      <c r="C3553">
        <v>1</v>
      </c>
      <c r="D3553" t="str">
        <f>"0.50"</f>
        <v>0.50</v>
      </c>
      <c r="E3553" t="s">
        <v>17</v>
      </c>
      <c r="F3553">
        <v>2</v>
      </c>
      <c r="G3553">
        <v>10</v>
      </c>
      <c r="H3553" t="s">
        <v>17</v>
      </c>
      <c r="I3553" t="str">
        <f>"061509008414"</f>
        <v>061509008414</v>
      </c>
    </row>
    <row r="3554" spans="1:9" x14ac:dyDescent="0.25">
      <c r="A3554" t="s">
        <v>3162</v>
      </c>
      <c r="B3554" t="s">
        <v>13</v>
      </c>
      <c r="C3554">
        <v>16</v>
      </c>
      <c r="D3554">
        <v>19.23</v>
      </c>
      <c r="E3554" t="s">
        <v>17</v>
      </c>
      <c r="F3554">
        <v>23.69</v>
      </c>
      <c r="G3554">
        <v>19.86</v>
      </c>
      <c r="H3554" t="s">
        <v>17</v>
      </c>
      <c r="I3554" t="str">
        <f>"061509001904"</f>
        <v>061509001904</v>
      </c>
    </row>
    <row r="3555" spans="1:9" x14ac:dyDescent="0.25">
      <c r="A3555" t="s">
        <v>3163</v>
      </c>
      <c r="B3555" t="s">
        <v>13</v>
      </c>
      <c r="C3555">
        <v>7</v>
      </c>
      <c r="D3555">
        <v>7</v>
      </c>
      <c r="E3555" t="s">
        <v>17</v>
      </c>
      <c r="F3555">
        <v>10</v>
      </c>
      <c r="G3555">
        <v>9.57</v>
      </c>
      <c r="H3555" t="s">
        <v>17</v>
      </c>
      <c r="I3555" t="str">
        <f>"069102712343"</f>
        <v>069102712343</v>
      </c>
    </row>
    <row r="3556" spans="1:9" x14ac:dyDescent="0.25">
      <c r="A3556" t="s">
        <v>3164</v>
      </c>
      <c r="B3556" t="s">
        <v>13</v>
      </c>
      <c r="C3556">
        <v>20</v>
      </c>
      <c r="D3556">
        <v>25</v>
      </c>
      <c r="E3556" t="s">
        <v>17</v>
      </c>
      <c r="F3556">
        <v>25.1</v>
      </c>
      <c r="G3556">
        <v>25.08</v>
      </c>
      <c r="H3556" t="s">
        <v>17</v>
      </c>
      <c r="I3556" t="str">
        <f>"062271003041"</f>
        <v>062271003041</v>
      </c>
    </row>
    <row r="3557" spans="1:9" x14ac:dyDescent="0.25">
      <c r="A3557" t="s">
        <v>3165</v>
      </c>
      <c r="B3557" t="s">
        <v>13</v>
      </c>
      <c r="C3557">
        <v>21</v>
      </c>
      <c r="D3557">
        <v>24</v>
      </c>
      <c r="E3557" t="s">
        <v>17</v>
      </c>
      <c r="F3557">
        <v>29.14</v>
      </c>
      <c r="G3557">
        <v>26.88</v>
      </c>
      <c r="H3557" t="s">
        <v>17</v>
      </c>
      <c r="I3557" t="str">
        <f>"060903009127"</f>
        <v>060903009127</v>
      </c>
    </row>
    <row r="3558" spans="1:9" x14ac:dyDescent="0.25">
      <c r="A3558" t="s">
        <v>3166</v>
      </c>
      <c r="B3558" t="s">
        <v>13</v>
      </c>
      <c r="C3558" t="s">
        <v>14</v>
      </c>
      <c r="D3558" t="s">
        <v>14</v>
      </c>
      <c r="E3558" t="s">
        <v>17</v>
      </c>
      <c r="F3558" t="s">
        <v>14</v>
      </c>
      <c r="G3558" t="s">
        <v>14</v>
      </c>
      <c r="H3558" t="s">
        <v>17</v>
      </c>
      <c r="I3558" t="str">
        <f>"061515011477"</f>
        <v>061515011477</v>
      </c>
    </row>
    <row r="3559" spans="1:9" x14ac:dyDescent="0.25">
      <c r="A3559" t="s">
        <v>3167</v>
      </c>
      <c r="B3559" t="s">
        <v>13</v>
      </c>
      <c r="C3559">
        <v>7.8</v>
      </c>
      <c r="D3559">
        <v>6.6</v>
      </c>
      <c r="E3559" t="s">
        <v>17</v>
      </c>
      <c r="F3559">
        <v>9.6199999999999992</v>
      </c>
      <c r="G3559">
        <v>10.61</v>
      </c>
      <c r="H3559" t="s">
        <v>17</v>
      </c>
      <c r="I3559" t="str">
        <f>"061515001906"</f>
        <v>061515001906</v>
      </c>
    </row>
    <row r="3560" spans="1:9" x14ac:dyDescent="0.25">
      <c r="A3560" t="s">
        <v>3168</v>
      </c>
      <c r="B3560" t="s">
        <v>13</v>
      </c>
      <c r="C3560">
        <v>6.25</v>
      </c>
      <c r="D3560">
        <v>6</v>
      </c>
      <c r="E3560" t="s">
        <v>17</v>
      </c>
      <c r="F3560">
        <v>19.84</v>
      </c>
      <c r="G3560">
        <v>21.33</v>
      </c>
      <c r="H3560" t="s">
        <v>17</v>
      </c>
      <c r="I3560" t="str">
        <f>"061515001907"</f>
        <v>061515001907</v>
      </c>
    </row>
    <row r="3561" spans="1:9" x14ac:dyDescent="0.25">
      <c r="A3561" t="s">
        <v>3169</v>
      </c>
      <c r="B3561" t="s">
        <v>13</v>
      </c>
      <c r="C3561">
        <v>3.6</v>
      </c>
      <c r="D3561">
        <v>4.5999999999999996</v>
      </c>
      <c r="E3561" t="s">
        <v>17</v>
      </c>
      <c r="F3561">
        <v>16.940000000000001</v>
      </c>
      <c r="G3561">
        <v>12.83</v>
      </c>
      <c r="H3561" t="s">
        <v>17</v>
      </c>
      <c r="I3561" t="str">
        <f>"061515008143"</f>
        <v>061515008143</v>
      </c>
    </row>
    <row r="3562" spans="1:9" x14ac:dyDescent="0.25">
      <c r="A3562" t="s">
        <v>3170</v>
      </c>
      <c r="B3562" t="s">
        <v>13</v>
      </c>
      <c r="C3562">
        <v>49.53</v>
      </c>
      <c r="D3562">
        <v>50.75</v>
      </c>
      <c r="E3562" t="s">
        <v>17</v>
      </c>
      <c r="F3562">
        <v>23.28</v>
      </c>
      <c r="G3562">
        <v>23.55</v>
      </c>
      <c r="H3562" t="s">
        <v>17</v>
      </c>
      <c r="I3562" t="str">
        <f>"063441005580"</f>
        <v>063441005580</v>
      </c>
    </row>
    <row r="3563" spans="1:9" x14ac:dyDescent="0.25">
      <c r="A3563" t="s">
        <v>3171</v>
      </c>
      <c r="B3563" t="s">
        <v>13</v>
      </c>
      <c r="C3563">
        <v>31.86</v>
      </c>
      <c r="D3563">
        <v>30.5</v>
      </c>
      <c r="E3563" t="s">
        <v>17</v>
      </c>
      <c r="F3563">
        <v>23.76</v>
      </c>
      <c r="G3563">
        <v>23.34</v>
      </c>
      <c r="H3563" t="s">
        <v>17</v>
      </c>
      <c r="I3563" t="str">
        <f>"063375005200"</f>
        <v>063375005200</v>
      </c>
    </row>
    <row r="3564" spans="1:9" x14ac:dyDescent="0.25">
      <c r="A3564" t="s">
        <v>3172</v>
      </c>
      <c r="B3564" t="s">
        <v>13</v>
      </c>
      <c r="C3564">
        <v>21</v>
      </c>
      <c r="D3564">
        <v>21</v>
      </c>
      <c r="E3564" t="s">
        <v>17</v>
      </c>
      <c r="F3564">
        <v>27.14</v>
      </c>
      <c r="G3564">
        <v>24.76</v>
      </c>
      <c r="H3564" t="s">
        <v>17</v>
      </c>
      <c r="I3564" t="str">
        <f>"061455001732"</f>
        <v>061455001732</v>
      </c>
    </row>
    <row r="3565" spans="1:9" x14ac:dyDescent="0.25">
      <c r="A3565" t="s">
        <v>3172</v>
      </c>
      <c r="B3565" t="s">
        <v>13</v>
      </c>
      <c r="C3565">
        <v>26.26</v>
      </c>
      <c r="D3565">
        <v>26.15</v>
      </c>
      <c r="E3565" t="s">
        <v>17</v>
      </c>
      <c r="F3565">
        <v>24.03</v>
      </c>
      <c r="G3565">
        <v>25.58</v>
      </c>
      <c r="H3565" t="s">
        <v>17</v>
      </c>
      <c r="I3565" t="str">
        <f>"064308007002"</f>
        <v>064308007002</v>
      </c>
    </row>
    <row r="3566" spans="1:9" x14ac:dyDescent="0.25">
      <c r="A3566" t="s">
        <v>3173</v>
      </c>
      <c r="B3566" t="s">
        <v>13</v>
      </c>
      <c r="C3566">
        <v>26.08</v>
      </c>
      <c r="D3566">
        <v>28.24</v>
      </c>
      <c r="E3566" t="s">
        <v>17</v>
      </c>
      <c r="F3566">
        <v>22.51</v>
      </c>
      <c r="G3566">
        <v>21.03</v>
      </c>
      <c r="H3566" t="s">
        <v>17</v>
      </c>
      <c r="I3566" t="str">
        <f>"061209001350"</f>
        <v>061209001350</v>
      </c>
    </row>
    <row r="3567" spans="1:9" x14ac:dyDescent="0.25">
      <c r="A3567" t="s">
        <v>3174</v>
      </c>
      <c r="B3567" t="s">
        <v>13</v>
      </c>
      <c r="C3567">
        <v>37</v>
      </c>
      <c r="D3567">
        <v>39</v>
      </c>
      <c r="E3567" t="s">
        <v>17</v>
      </c>
      <c r="F3567">
        <v>23.76</v>
      </c>
      <c r="G3567">
        <v>23.54</v>
      </c>
      <c r="H3567" t="s">
        <v>17</v>
      </c>
      <c r="I3567" t="str">
        <f>"061191009533"</f>
        <v>061191009533</v>
      </c>
    </row>
    <row r="3568" spans="1:9" x14ac:dyDescent="0.25">
      <c r="A3568" t="s">
        <v>3175</v>
      </c>
      <c r="B3568" t="s">
        <v>13</v>
      </c>
      <c r="C3568">
        <v>21</v>
      </c>
      <c r="D3568">
        <v>22</v>
      </c>
      <c r="E3568" t="s">
        <v>17</v>
      </c>
      <c r="F3568">
        <v>28.1</v>
      </c>
      <c r="G3568">
        <v>26.68</v>
      </c>
      <c r="H3568" t="s">
        <v>17</v>
      </c>
      <c r="I3568" t="str">
        <f>"061488001846"</f>
        <v>061488001846</v>
      </c>
    </row>
    <row r="3569" spans="1:9" x14ac:dyDescent="0.25">
      <c r="A3569" t="s">
        <v>3176</v>
      </c>
      <c r="B3569" t="s">
        <v>13</v>
      </c>
      <c r="C3569">
        <v>33.25</v>
      </c>
      <c r="D3569">
        <v>34.659999999999997</v>
      </c>
      <c r="E3569" t="s">
        <v>17</v>
      </c>
      <c r="F3569">
        <v>21.77</v>
      </c>
      <c r="G3569">
        <v>18.52</v>
      </c>
      <c r="H3569" t="s">
        <v>17</v>
      </c>
      <c r="I3569" t="str">
        <f>"060263000174"</f>
        <v>060263000174</v>
      </c>
    </row>
    <row r="3570" spans="1:9" x14ac:dyDescent="0.25">
      <c r="A3570" t="s">
        <v>3177</v>
      </c>
      <c r="B3570" t="s">
        <v>13</v>
      </c>
      <c r="C3570">
        <v>65.88</v>
      </c>
      <c r="D3570">
        <v>69.66</v>
      </c>
      <c r="E3570" t="s">
        <v>17</v>
      </c>
      <c r="F3570">
        <v>21.07</v>
      </c>
      <c r="G3570">
        <v>21.17</v>
      </c>
      <c r="H3570" t="s">
        <v>17</v>
      </c>
      <c r="I3570" t="str">
        <f>"061518001911"</f>
        <v>061518001911</v>
      </c>
    </row>
    <row r="3571" spans="1:9" x14ac:dyDescent="0.25">
      <c r="A3571" t="s">
        <v>3178</v>
      </c>
      <c r="B3571" t="s">
        <v>13</v>
      </c>
      <c r="C3571">
        <v>6.6</v>
      </c>
      <c r="D3571">
        <v>5</v>
      </c>
      <c r="E3571" t="s">
        <v>14</v>
      </c>
      <c r="F3571">
        <v>36.67</v>
      </c>
      <c r="G3571">
        <v>35.4</v>
      </c>
      <c r="H3571" t="s">
        <v>14</v>
      </c>
      <c r="I3571" t="str">
        <f>"061518012751"</f>
        <v>061518012751</v>
      </c>
    </row>
    <row r="3572" spans="1:9" x14ac:dyDescent="0.25">
      <c r="A3572" t="s">
        <v>3179</v>
      </c>
      <c r="B3572" t="s">
        <v>13</v>
      </c>
      <c r="C3572">
        <v>21</v>
      </c>
      <c r="D3572">
        <v>20</v>
      </c>
      <c r="E3572" t="s">
        <v>17</v>
      </c>
      <c r="F3572">
        <v>25.62</v>
      </c>
      <c r="G3572">
        <v>25.5</v>
      </c>
      <c r="H3572" t="s">
        <v>17</v>
      </c>
      <c r="I3572" t="str">
        <f>"061422001626"</f>
        <v>061422001626</v>
      </c>
    </row>
    <row r="3573" spans="1:9" x14ac:dyDescent="0.25">
      <c r="A3573" t="s">
        <v>3180</v>
      </c>
      <c r="B3573" t="s">
        <v>13</v>
      </c>
      <c r="C3573">
        <v>5.3</v>
      </c>
      <c r="D3573">
        <v>5.3</v>
      </c>
      <c r="E3573" t="s">
        <v>17</v>
      </c>
      <c r="F3573">
        <v>20.57</v>
      </c>
      <c r="G3573">
        <v>17.739999999999998</v>
      </c>
      <c r="H3573" t="s">
        <v>17</v>
      </c>
      <c r="I3573" t="str">
        <f>"060016010541"</f>
        <v>060016010541</v>
      </c>
    </row>
    <row r="3574" spans="1:9" x14ac:dyDescent="0.25">
      <c r="A3574" t="s">
        <v>3181</v>
      </c>
      <c r="B3574" t="s">
        <v>13</v>
      </c>
      <c r="C3574">
        <v>37.33</v>
      </c>
      <c r="D3574">
        <v>36.4</v>
      </c>
      <c r="E3574" t="s">
        <v>14</v>
      </c>
      <c r="F3574">
        <v>25.05</v>
      </c>
      <c r="G3574">
        <v>24.67</v>
      </c>
      <c r="H3574" t="s">
        <v>14</v>
      </c>
      <c r="I3574" t="str">
        <f>"060797012888"</f>
        <v>060797012888</v>
      </c>
    </row>
    <row r="3575" spans="1:9" x14ac:dyDescent="0.25">
      <c r="A3575" t="s">
        <v>3182</v>
      </c>
      <c r="B3575" t="s">
        <v>13</v>
      </c>
      <c r="C3575">
        <v>19.899999999999999</v>
      </c>
      <c r="D3575">
        <v>22.4</v>
      </c>
      <c r="E3575" t="s">
        <v>17</v>
      </c>
      <c r="F3575">
        <v>25.83</v>
      </c>
      <c r="G3575">
        <v>21.96</v>
      </c>
      <c r="H3575" t="s">
        <v>17</v>
      </c>
      <c r="I3575" t="str">
        <f>"060561000508"</f>
        <v>060561000508</v>
      </c>
    </row>
    <row r="3576" spans="1:9" x14ac:dyDescent="0.25">
      <c r="A3576" t="s">
        <v>3183</v>
      </c>
      <c r="B3576" t="s">
        <v>13</v>
      </c>
      <c r="C3576">
        <v>55.9</v>
      </c>
      <c r="D3576">
        <v>57.1</v>
      </c>
      <c r="E3576" t="s">
        <v>17</v>
      </c>
      <c r="F3576">
        <v>24.44</v>
      </c>
      <c r="G3576">
        <v>24.99</v>
      </c>
      <c r="H3576" t="s">
        <v>17</v>
      </c>
      <c r="I3576" t="str">
        <f>"060360000273"</f>
        <v>060360000273</v>
      </c>
    </row>
    <row r="3577" spans="1:9" x14ac:dyDescent="0.25">
      <c r="A3577" t="s">
        <v>3184</v>
      </c>
      <c r="B3577" t="s">
        <v>13</v>
      </c>
      <c r="C3577">
        <v>17</v>
      </c>
      <c r="D3577">
        <v>18</v>
      </c>
      <c r="E3577" t="s">
        <v>17</v>
      </c>
      <c r="F3577">
        <v>22.35</v>
      </c>
      <c r="G3577">
        <v>22.11</v>
      </c>
      <c r="H3577" t="s">
        <v>17</v>
      </c>
      <c r="I3577" t="str">
        <f>"060360000274"</f>
        <v>060360000274</v>
      </c>
    </row>
    <row r="3578" spans="1:9" x14ac:dyDescent="0.25">
      <c r="A3578" t="s">
        <v>3185</v>
      </c>
      <c r="B3578" t="s">
        <v>13</v>
      </c>
      <c r="C3578">
        <v>22.9</v>
      </c>
      <c r="D3578">
        <v>21.4</v>
      </c>
      <c r="E3578" t="s">
        <v>17</v>
      </c>
      <c r="F3578">
        <v>26.11</v>
      </c>
      <c r="G3578">
        <v>29.3</v>
      </c>
      <c r="H3578" t="s">
        <v>17</v>
      </c>
      <c r="I3578" t="str">
        <f>"060004707398"</f>
        <v>060004707398</v>
      </c>
    </row>
    <row r="3579" spans="1:9" x14ac:dyDescent="0.25">
      <c r="A3579" t="s">
        <v>3186</v>
      </c>
      <c r="B3579" t="s">
        <v>13</v>
      </c>
      <c r="C3579">
        <v>17.5</v>
      </c>
      <c r="D3579">
        <v>19.600000000000001</v>
      </c>
      <c r="E3579" t="s">
        <v>17</v>
      </c>
      <c r="F3579">
        <v>29.49</v>
      </c>
      <c r="G3579">
        <v>29.34</v>
      </c>
      <c r="H3579" t="s">
        <v>17</v>
      </c>
      <c r="I3579" t="str">
        <f>"061674002114"</f>
        <v>061674002114</v>
      </c>
    </row>
    <row r="3580" spans="1:9" x14ac:dyDescent="0.25">
      <c r="A3580" t="s">
        <v>3187</v>
      </c>
      <c r="B3580" t="s">
        <v>13</v>
      </c>
      <c r="C3580">
        <v>23</v>
      </c>
      <c r="D3580">
        <v>25</v>
      </c>
      <c r="E3580" t="s">
        <v>17</v>
      </c>
      <c r="F3580">
        <v>24.43</v>
      </c>
      <c r="G3580">
        <v>22.44</v>
      </c>
      <c r="H3580" t="s">
        <v>17</v>
      </c>
      <c r="I3580" t="str">
        <f>"062271003042"</f>
        <v>062271003042</v>
      </c>
    </row>
    <row r="3581" spans="1:9" x14ac:dyDescent="0.25">
      <c r="A3581" t="s">
        <v>3188</v>
      </c>
      <c r="B3581" t="s">
        <v>13</v>
      </c>
      <c r="C3581">
        <v>24</v>
      </c>
      <c r="D3581">
        <v>26</v>
      </c>
      <c r="E3581" t="s">
        <v>17</v>
      </c>
      <c r="F3581">
        <v>23.13</v>
      </c>
      <c r="G3581">
        <v>22.54</v>
      </c>
      <c r="H3581" t="s">
        <v>17</v>
      </c>
      <c r="I3581" t="str">
        <f>"062271003043"</f>
        <v>062271003043</v>
      </c>
    </row>
    <row r="3582" spans="1:9" x14ac:dyDescent="0.25">
      <c r="A3582" t="s">
        <v>3189</v>
      </c>
      <c r="B3582" t="s">
        <v>13</v>
      </c>
      <c r="C3582">
        <v>64.7</v>
      </c>
      <c r="D3582">
        <v>66.2</v>
      </c>
      <c r="E3582" t="s">
        <v>17</v>
      </c>
      <c r="F3582">
        <v>26.07</v>
      </c>
      <c r="G3582">
        <v>26.24</v>
      </c>
      <c r="H3582" t="s">
        <v>17</v>
      </c>
      <c r="I3582" t="str">
        <f>"061632502072"</f>
        <v>061632502072</v>
      </c>
    </row>
    <row r="3583" spans="1:9" x14ac:dyDescent="0.25">
      <c r="A3583" t="s">
        <v>3190</v>
      </c>
      <c r="B3583" t="s">
        <v>13</v>
      </c>
      <c r="C3583">
        <v>12</v>
      </c>
      <c r="D3583">
        <v>14</v>
      </c>
      <c r="E3583" t="s">
        <v>17</v>
      </c>
      <c r="F3583">
        <v>22</v>
      </c>
      <c r="G3583">
        <v>22.29</v>
      </c>
      <c r="H3583" t="s">
        <v>17</v>
      </c>
      <c r="I3583" t="str">
        <f>"062271003044"</f>
        <v>062271003044</v>
      </c>
    </row>
    <row r="3584" spans="1:9" x14ac:dyDescent="0.25">
      <c r="A3584" t="s">
        <v>3191</v>
      </c>
      <c r="B3584" t="s">
        <v>13</v>
      </c>
      <c r="C3584">
        <v>27</v>
      </c>
      <c r="D3584">
        <v>26.7</v>
      </c>
      <c r="E3584" t="s">
        <v>17</v>
      </c>
      <c r="F3584">
        <v>24.93</v>
      </c>
      <c r="G3584">
        <v>25.02</v>
      </c>
      <c r="H3584" t="s">
        <v>17</v>
      </c>
      <c r="I3584" t="str">
        <f>"061926002310"</f>
        <v>061926002310</v>
      </c>
    </row>
    <row r="3585" spans="1:9" x14ac:dyDescent="0.25">
      <c r="A3585" t="s">
        <v>3192</v>
      </c>
      <c r="B3585" t="s">
        <v>13</v>
      </c>
      <c r="C3585">
        <v>28</v>
      </c>
      <c r="D3585">
        <v>30</v>
      </c>
      <c r="E3585" t="s">
        <v>17</v>
      </c>
      <c r="F3585">
        <v>21.64</v>
      </c>
      <c r="G3585">
        <v>20.23</v>
      </c>
      <c r="H3585" t="s">
        <v>17</v>
      </c>
      <c r="I3585" t="str">
        <f>"063573006107"</f>
        <v>063573006107</v>
      </c>
    </row>
    <row r="3586" spans="1:9" x14ac:dyDescent="0.25">
      <c r="A3586" t="s">
        <v>3193</v>
      </c>
      <c r="B3586" t="s">
        <v>13</v>
      </c>
      <c r="C3586">
        <v>22</v>
      </c>
      <c r="D3586">
        <v>21</v>
      </c>
      <c r="E3586" t="s">
        <v>17</v>
      </c>
      <c r="F3586">
        <v>24.18</v>
      </c>
      <c r="G3586">
        <v>24.1</v>
      </c>
      <c r="H3586" t="s">
        <v>17</v>
      </c>
      <c r="I3586" t="str">
        <f>"064074009455"</f>
        <v>064074009455</v>
      </c>
    </row>
    <row r="3587" spans="1:9" x14ac:dyDescent="0.25">
      <c r="A3587" t="s">
        <v>3194</v>
      </c>
      <c r="B3587" t="s">
        <v>13</v>
      </c>
      <c r="C3587">
        <v>28</v>
      </c>
      <c r="D3587">
        <v>30.5</v>
      </c>
      <c r="E3587" t="s">
        <v>17</v>
      </c>
      <c r="F3587">
        <v>24.5</v>
      </c>
      <c r="G3587">
        <v>23.57</v>
      </c>
      <c r="H3587" t="s">
        <v>17</v>
      </c>
      <c r="I3587" t="str">
        <f>"064214009656"</f>
        <v>064214009656</v>
      </c>
    </row>
    <row r="3588" spans="1:9" x14ac:dyDescent="0.25">
      <c r="A3588" t="s">
        <v>3195</v>
      </c>
      <c r="B3588" t="s">
        <v>13</v>
      </c>
      <c r="C3588">
        <v>17</v>
      </c>
      <c r="D3588">
        <v>17</v>
      </c>
      <c r="E3588" t="s">
        <v>17</v>
      </c>
      <c r="F3588">
        <v>27.47</v>
      </c>
      <c r="G3588">
        <v>27.35</v>
      </c>
      <c r="H3588" t="s">
        <v>17</v>
      </c>
      <c r="I3588" t="str">
        <f>"060807000776"</f>
        <v>060807000776</v>
      </c>
    </row>
    <row r="3589" spans="1:9" x14ac:dyDescent="0.25">
      <c r="A3589" t="s">
        <v>3196</v>
      </c>
      <c r="B3589" t="s">
        <v>13</v>
      </c>
      <c r="C3589">
        <v>19.8</v>
      </c>
      <c r="D3589">
        <v>20</v>
      </c>
      <c r="E3589" t="s">
        <v>17</v>
      </c>
      <c r="F3589">
        <v>24.14</v>
      </c>
      <c r="G3589">
        <v>25.2</v>
      </c>
      <c r="H3589" t="s">
        <v>17</v>
      </c>
      <c r="I3589" t="str">
        <f>"060819000802"</f>
        <v>060819000802</v>
      </c>
    </row>
    <row r="3590" spans="1:9" x14ac:dyDescent="0.25">
      <c r="A3590" t="s">
        <v>3197</v>
      </c>
      <c r="B3590" t="s">
        <v>13</v>
      </c>
      <c r="C3590">
        <v>17.059999999999999</v>
      </c>
      <c r="D3590">
        <v>17</v>
      </c>
      <c r="E3590" t="s">
        <v>17</v>
      </c>
      <c r="F3590">
        <v>19.7</v>
      </c>
      <c r="G3590">
        <v>20.29</v>
      </c>
      <c r="H3590" t="s">
        <v>17</v>
      </c>
      <c r="I3590" t="str">
        <f>"063441005618"</f>
        <v>063441005618</v>
      </c>
    </row>
    <row r="3591" spans="1:9" x14ac:dyDescent="0.25">
      <c r="A3591" t="s">
        <v>3198</v>
      </c>
      <c r="B3591" t="s">
        <v>13</v>
      </c>
      <c r="C3591">
        <v>14</v>
      </c>
      <c r="D3591">
        <v>14</v>
      </c>
      <c r="E3591" t="s">
        <v>17</v>
      </c>
      <c r="F3591">
        <v>7.5</v>
      </c>
      <c r="G3591">
        <v>8</v>
      </c>
      <c r="H3591" t="s">
        <v>17</v>
      </c>
      <c r="I3591" t="str">
        <f>"069100909223"</f>
        <v>069100909223</v>
      </c>
    </row>
    <row r="3592" spans="1:9" x14ac:dyDescent="0.25">
      <c r="A3592" t="s">
        <v>3199</v>
      </c>
      <c r="B3592" t="s">
        <v>13</v>
      </c>
      <c r="C3592">
        <v>24</v>
      </c>
      <c r="D3592">
        <v>25</v>
      </c>
      <c r="E3592" t="s">
        <v>17</v>
      </c>
      <c r="F3592">
        <v>26</v>
      </c>
      <c r="G3592">
        <v>24.92</v>
      </c>
      <c r="H3592" t="s">
        <v>17</v>
      </c>
      <c r="I3592" t="str">
        <f>"061518001912"</f>
        <v>061518001912</v>
      </c>
    </row>
    <row r="3593" spans="1:9" x14ac:dyDescent="0.25">
      <c r="A3593" t="s">
        <v>3199</v>
      </c>
      <c r="B3593" t="s">
        <v>13</v>
      </c>
      <c r="C3593">
        <v>30</v>
      </c>
      <c r="D3593">
        <v>30</v>
      </c>
      <c r="E3593" t="s">
        <v>17</v>
      </c>
      <c r="F3593">
        <v>23.87</v>
      </c>
      <c r="G3593">
        <v>24.7</v>
      </c>
      <c r="H3593" t="s">
        <v>17</v>
      </c>
      <c r="I3593" t="str">
        <f>"061288001455"</f>
        <v>061288001455</v>
      </c>
    </row>
    <row r="3594" spans="1:9" x14ac:dyDescent="0.25">
      <c r="A3594" t="s">
        <v>3200</v>
      </c>
      <c r="B3594" t="s">
        <v>13</v>
      </c>
      <c r="C3594">
        <v>6.13</v>
      </c>
      <c r="D3594">
        <v>6.97</v>
      </c>
      <c r="E3594" t="s">
        <v>17</v>
      </c>
      <c r="F3594">
        <v>16.48</v>
      </c>
      <c r="G3594">
        <v>12.63</v>
      </c>
      <c r="H3594" t="s">
        <v>17</v>
      </c>
      <c r="I3594" t="str">
        <f>"060429008261"</f>
        <v>060429008261</v>
      </c>
    </row>
    <row r="3595" spans="1:9" x14ac:dyDescent="0.25">
      <c r="A3595" t="s">
        <v>3201</v>
      </c>
      <c r="B3595" t="s">
        <v>13</v>
      </c>
      <c r="C3595">
        <v>15.39</v>
      </c>
      <c r="D3595">
        <v>14.18</v>
      </c>
      <c r="E3595" t="s">
        <v>17</v>
      </c>
      <c r="F3595">
        <v>25.02</v>
      </c>
      <c r="G3595">
        <v>25.39</v>
      </c>
      <c r="H3595" t="s">
        <v>17</v>
      </c>
      <c r="I3595" t="str">
        <f>"063386005299"</f>
        <v>063386005299</v>
      </c>
    </row>
    <row r="3596" spans="1:9" x14ac:dyDescent="0.25">
      <c r="A3596" t="s">
        <v>3202</v>
      </c>
      <c r="B3596" t="s">
        <v>13</v>
      </c>
      <c r="C3596" t="s">
        <v>14</v>
      </c>
      <c r="D3596" t="s">
        <v>14</v>
      </c>
      <c r="E3596" t="s">
        <v>17</v>
      </c>
      <c r="F3596" t="s">
        <v>14</v>
      </c>
      <c r="G3596" t="s">
        <v>14</v>
      </c>
      <c r="H3596" t="s">
        <v>17</v>
      </c>
      <c r="I3596" t="str">
        <f>"062637003948"</f>
        <v>062637003948</v>
      </c>
    </row>
    <row r="3597" spans="1:9" x14ac:dyDescent="0.25">
      <c r="A3597" t="s">
        <v>3203</v>
      </c>
      <c r="B3597" t="s">
        <v>13</v>
      </c>
      <c r="C3597">
        <v>110.74</v>
      </c>
      <c r="D3597">
        <v>118.6</v>
      </c>
      <c r="E3597" t="s">
        <v>17</v>
      </c>
      <c r="F3597">
        <v>25.25</v>
      </c>
      <c r="G3597">
        <v>23.93</v>
      </c>
      <c r="H3597" t="s">
        <v>17</v>
      </c>
      <c r="I3597" t="str">
        <f>"061524001931"</f>
        <v>061524001931</v>
      </c>
    </row>
    <row r="3598" spans="1:9" x14ac:dyDescent="0.25">
      <c r="A3598" t="s">
        <v>3204</v>
      </c>
      <c r="B3598" t="s">
        <v>13</v>
      </c>
      <c r="C3598">
        <v>87.12</v>
      </c>
      <c r="D3598">
        <v>86.92</v>
      </c>
      <c r="E3598" t="s">
        <v>17</v>
      </c>
      <c r="F3598">
        <v>27.58</v>
      </c>
      <c r="G3598">
        <v>28.49</v>
      </c>
      <c r="H3598" t="s">
        <v>17</v>
      </c>
      <c r="I3598" t="str">
        <f>"061527001953"</f>
        <v>061527001953</v>
      </c>
    </row>
    <row r="3599" spans="1:9" x14ac:dyDescent="0.25">
      <c r="A3599" t="s">
        <v>3205</v>
      </c>
      <c r="B3599" t="s">
        <v>13</v>
      </c>
      <c r="C3599">
        <v>15</v>
      </c>
      <c r="D3599">
        <v>18</v>
      </c>
      <c r="E3599" t="s">
        <v>17</v>
      </c>
      <c r="F3599">
        <v>26.47</v>
      </c>
      <c r="G3599">
        <v>23.72</v>
      </c>
      <c r="H3599" t="s">
        <v>17</v>
      </c>
      <c r="I3599" t="str">
        <f>"062271003045"</f>
        <v>062271003045</v>
      </c>
    </row>
    <row r="3600" spans="1:9" x14ac:dyDescent="0.25">
      <c r="A3600" t="s">
        <v>3206</v>
      </c>
      <c r="B3600" t="s">
        <v>13</v>
      </c>
      <c r="C3600">
        <v>16</v>
      </c>
      <c r="D3600">
        <v>14.5</v>
      </c>
      <c r="E3600" t="s">
        <v>17</v>
      </c>
      <c r="F3600">
        <v>29.75</v>
      </c>
      <c r="G3600">
        <v>31.66</v>
      </c>
      <c r="H3600" t="s">
        <v>17</v>
      </c>
      <c r="I3600" t="str">
        <f>"063066004761"</f>
        <v>063066004761</v>
      </c>
    </row>
    <row r="3601" spans="1:9" x14ac:dyDescent="0.25">
      <c r="A3601" t="s">
        <v>3207</v>
      </c>
      <c r="B3601" t="s">
        <v>13</v>
      </c>
      <c r="C3601">
        <v>22.05</v>
      </c>
      <c r="D3601">
        <v>23.34</v>
      </c>
      <c r="E3601" t="s">
        <v>17</v>
      </c>
      <c r="F3601">
        <v>26.21</v>
      </c>
      <c r="G3601">
        <v>25.88</v>
      </c>
      <c r="H3601" t="s">
        <v>17</v>
      </c>
      <c r="I3601" t="str">
        <f>"060846000841"</f>
        <v>060846000841</v>
      </c>
    </row>
    <row r="3602" spans="1:9" x14ac:dyDescent="0.25">
      <c r="A3602" t="s">
        <v>3208</v>
      </c>
      <c r="B3602" t="s">
        <v>13</v>
      </c>
      <c r="C3602">
        <v>28</v>
      </c>
      <c r="D3602">
        <v>27</v>
      </c>
      <c r="E3602" t="s">
        <v>17</v>
      </c>
      <c r="F3602">
        <v>23.14</v>
      </c>
      <c r="G3602">
        <v>24.11</v>
      </c>
      <c r="H3602" t="s">
        <v>17</v>
      </c>
      <c r="I3602" t="str">
        <f>"061440001663"</f>
        <v>061440001663</v>
      </c>
    </row>
    <row r="3603" spans="1:9" x14ac:dyDescent="0.25">
      <c r="A3603" t="s">
        <v>3209</v>
      </c>
      <c r="B3603" t="s">
        <v>13</v>
      </c>
      <c r="C3603" t="str">
        <f>"0.65"</f>
        <v>0.65</v>
      </c>
      <c r="D3603">
        <v>1</v>
      </c>
      <c r="E3603" t="s">
        <v>17</v>
      </c>
      <c r="F3603">
        <v>15.38</v>
      </c>
      <c r="G3603">
        <v>11</v>
      </c>
      <c r="H3603" t="s">
        <v>17</v>
      </c>
      <c r="I3603" t="str">
        <f>"069100807086"</f>
        <v>069100807086</v>
      </c>
    </row>
    <row r="3604" spans="1:9" x14ac:dyDescent="0.25">
      <c r="A3604" t="s">
        <v>3210</v>
      </c>
      <c r="B3604" t="s">
        <v>13</v>
      </c>
      <c r="C3604">
        <v>8.6</v>
      </c>
      <c r="D3604">
        <v>7</v>
      </c>
      <c r="E3604" t="s">
        <v>17</v>
      </c>
      <c r="F3604">
        <v>3.84</v>
      </c>
      <c r="G3604">
        <v>4.1399999999999997</v>
      </c>
      <c r="H3604" t="s">
        <v>17</v>
      </c>
      <c r="I3604" t="str">
        <f>"069100803076"</f>
        <v>069100803076</v>
      </c>
    </row>
    <row r="3605" spans="1:9" x14ac:dyDescent="0.25">
      <c r="A3605" t="s">
        <v>3211</v>
      </c>
      <c r="B3605" t="s">
        <v>13</v>
      </c>
      <c r="C3605" t="s">
        <v>17</v>
      </c>
      <c r="D3605" t="s">
        <v>17</v>
      </c>
      <c r="E3605" t="s">
        <v>17</v>
      </c>
      <c r="F3605" t="s">
        <v>17</v>
      </c>
      <c r="G3605" t="s">
        <v>17</v>
      </c>
      <c r="H3605" t="s">
        <v>17</v>
      </c>
      <c r="I3605" t="str">
        <f>"060009910791"</f>
        <v>060009910791</v>
      </c>
    </row>
    <row r="3606" spans="1:9" x14ac:dyDescent="0.25">
      <c r="A3606" t="s">
        <v>3212</v>
      </c>
      <c r="B3606" t="s">
        <v>13</v>
      </c>
      <c r="C3606">
        <v>6</v>
      </c>
      <c r="D3606">
        <v>6</v>
      </c>
      <c r="E3606" t="s">
        <v>17</v>
      </c>
      <c r="F3606">
        <v>10.17</v>
      </c>
      <c r="G3606">
        <v>10.5</v>
      </c>
      <c r="H3606" t="s">
        <v>17</v>
      </c>
      <c r="I3606" t="str">
        <f>"069100809221"</f>
        <v>069100809221</v>
      </c>
    </row>
    <row r="3607" spans="1:9" x14ac:dyDescent="0.25">
      <c r="A3607" t="s">
        <v>3213</v>
      </c>
      <c r="B3607" t="s">
        <v>13</v>
      </c>
      <c r="C3607">
        <v>32.33</v>
      </c>
      <c r="D3607">
        <v>38.01</v>
      </c>
      <c r="E3607" t="s">
        <v>17</v>
      </c>
      <c r="F3607">
        <v>21.13</v>
      </c>
      <c r="G3607">
        <v>18.34</v>
      </c>
      <c r="H3607" t="s">
        <v>17</v>
      </c>
      <c r="I3607" t="str">
        <f>"062271002944"</f>
        <v>062271002944</v>
      </c>
    </row>
    <row r="3608" spans="1:9" x14ac:dyDescent="0.25">
      <c r="A3608" t="s">
        <v>3214</v>
      </c>
      <c r="B3608" t="s">
        <v>13</v>
      </c>
      <c r="C3608">
        <v>21</v>
      </c>
      <c r="D3608">
        <v>23</v>
      </c>
      <c r="E3608" t="s">
        <v>17</v>
      </c>
      <c r="F3608">
        <v>25.19</v>
      </c>
      <c r="G3608">
        <v>24.87</v>
      </c>
      <c r="H3608" t="s">
        <v>17</v>
      </c>
      <c r="I3608" t="str">
        <f>"061524001932"</f>
        <v>061524001932</v>
      </c>
    </row>
    <row r="3609" spans="1:9" x14ac:dyDescent="0.25">
      <c r="A3609" t="s">
        <v>3215</v>
      </c>
      <c r="B3609" t="s">
        <v>13</v>
      </c>
      <c r="C3609">
        <v>19.600000000000001</v>
      </c>
      <c r="D3609">
        <v>20.2</v>
      </c>
      <c r="E3609" t="s">
        <v>17</v>
      </c>
      <c r="F3609">
        <v>25.77</v>
      </c>
      <c r="G3609">
        <v>25.54</v>
      </c>
      <c r="H3609" t="s">
        <v>17</v>
      </c>
      <c r="I3609" t="str">
        <f>"063877004954"</f>
        <v>063877004954</v>
      </c>
    </row>
    <row r="3610" spans="1:9" x14ac:dyDescent="0.25">
      <c r="A3610" t="s">
        <v>3216</v>
      </c>
      <c r="B3610" t="s">
        <v>13</v>
      </c>
      <c r="C3610">
        <v>17</v>
      </c>
      <c r="D3610">
        <v>17.010000000000002</v>
      </c>
      <c r="E3610" t="s">
        <v>17</v>
      </c>
      <c r="F3610">
        <v>27.47</v>
      </c>
      <c r="G3610">
        <v>27.45</v>
      </c>
      <c r="H3610" t="s">
        <v>17</v>
      </c>
      <c r="I3610" t="str">
        <f>"062805004266"</f>
        <v>062805004266</v>
      </c>
    </row>
    <row r="3611" spans="1:9" x14ac:dyDescent="0.25">
      <c r="A3611" t="s">
        <v>3216</v>
      </c>
      <c r="B3611" t="s">
        <v>13</v>
      </c>
      <c r="C3611">
        <v>14</v>
      </c>
      <c r="D3611">
        <v>15.5</v>
      </c>
      <c r="E3611" t="s">
        <v>17</v>
      </c>
      <c r="F3611">
        <v>32.71</v>
      </c>
      <c r="G3611">
        <v>31.1</v>
      </c>
      <c r="H3611" t="s">
        <v>17</v>
      </c>
      <c r="I3611" t="str">
        <f>"063066004762"</f>
        <v>063066004762</v>
      </c>
    </row>
    <row r="3612" spans="1:9" x14ac:dyDescent="0.25">
      <c r="A3612" t="s">
        <v>3217</v>
      </c>
      <c r="B3612" t="s">
        <v>13</v>
      </c>
      <c r="C3612">
        <v>18</v>
      </c>
      <c r="D3612">
        <v>20</v>
      </c>
      <c r="E3612" t="s">
        <v>17</v>
      </c>
      <c r="F3612">
        <v>22.22</v>
      </c>
      <c r="G3612">
        <v>20.7</v>
      </c>
      <c r="H3612" t="s">
        <v>17</v>
      </c>
      <c r="I3612" t="str">
        <f>"060964001012"</f>
        <v>060964001012</v>
      </c>
    </row>
    <row r="3613" spans="1:9" x14ac:dyDescent="0.25">
      <c r="A3613" t="s">
        <v>3217</v>
      </c>
      <c r="B3613" t="s">
        <v>13</v>
      </c>
      <c r="C3613">
        <v>22</v>
      </c>
      <c r="D3613">
        <v>22</v>
      </c>
      <c r="E3613" t="s">
        <v>17</v>
      </c>
      <c r="F3613">
        <v>21.14</v>
      </c>
      <c r="G3613">
        <v>21.95</v>
      </c>
      <c r="H3613" t="s">
        <v>17</v>
      </c>
      <c r="I3613" t="str">
        <f>"062271003046"</f>
        <v>062271003046</v>
      </c>
    </row>
    <row r="3614" spans="1:9" x14ac:dyDescent="0.25">
      <c r="A3614" t="s">
        <v>3217</v>
      </c>
      <c r="B3614" t="s">
        <v>13</v>
      </c>
      <c r="C3614">
        <v>18.2</v>
      </c>
      <c r="D3614">
        <v>17.8</v>
      </c>
      <c r="E3614" t="s">
        <v>17</v>
      </c>
      <c r="F3614">
        <v>25.66</v>
      </c>
      <c r="G3614">
        <v>26.07</v>
      </c>
      <c r="H3614" t="s">
        <v>17</v>
      </c>
      <c r="I3614" t="str">
        <f>"063324003736"</f>
        <v>063324003736</v>
      </c>
    </row>
    <row r="3615" spans="1:9" x14ac:dyDescent="0.25">
      <c r="A3615" t="s">
        <v>3217</v>
      </c>
      <c r="B3615" t="s">
        <v>13</v>
      </c>
      <c r="C3615">
        <v>15.33</v>
      </c>
      <c r="D3615">
        <v>16.329999999999998</v>
      </c>
      <c r="E3615" t="s">
        <v>17</v>
      </c>
      <c r="F3615">
        <v>23.94</v>
      </c>
      <c r="G3615">
        <v>23.27</v>
      </c>
      <c r="H3615" t="s">
        <v>17</v>
      </c>
      <c r="I3615" t="str">
        <f>"062181002586"</f>
        <v>062181002586</v>
      </c>
    </row>
    <row r="3616" spans="1:9" x14ac:dyDescent="0.25">
      <c r="A3616" t="s">
        <v>3217</v>
      </c>
      <c r="B3616" t="s">
        <v>13</v>
      </c>
      <c r="C3616">
        <v>19</v>
      </c>
      <c r="D3616">
        <v>19</v>
      </c>
      <c r="E3616" t="s">
        <v>17</v>
      </c>
      <c r="F3616">
        <v>21.37</v>
      </c>
      <c r="G3616">
        <v>21.47</v>
      </c>
      <c r="H3616" t="s">
        <v>17</v>
      </c>
      <c r="I3616" t="str">
        <f>"063509005935"</f>
        <v>063509005935</v>
      </c>
    </row>
    <row r="3617" spans="1:9" x14ac:dyDescent="0.25">
      <c r="A3617" t="s">
        <v>3218</v>
      </c>
      <c r="B3617" t="s">
        <v>13</v>
      </c>
      <c r="C3617">
        <v>22.5</v>
      </c>
      <c r="D3617">
        <v>24</v>
      </c>
      <c r="E3617" t="s">
        <v>17</v>
      </c>
      <c r="F3617">
        <v>30.44</v>
      </c>
      <c r="G3617">
        <v>26.96</v>
      </c>
      <c r="H3617" t="s">
        <v>17</v>
      </c>
      <c r="I3617" t="str">
        <f>"062781004214"</f>
        <v>062781004214</v>
      </c>
    </row>
    <row r="3618" spans="1:9" x14ac:dyDescent="0.25">
      <c r="A3618" t="s">
        <v>3219</v>
      </c>
      <c r="B3618" t="s">
        <v>13</v>
      </c>
      <c r="C3618">
        <v>12</v>
      </c>
      <c r="D3618">
        <v>12</v>
      </c>
      <c r="E3618" t="s">
        <v>17</v>
      </c>
      <c r="F3618">
        <v>19.75</v>
      </c>
      <c r="G3618">
        <v>20</v>
      </c>
      <c r="H3618" t="s">
        <v>17</v>
      </c>
      <c r="I3618" t="str">
        <f>"062271011931"</f>
        <v>062271011931</v>
      </c>
    </row>
    <row r="3619" spans="1:9" x14ac:dyDescent="0.25">
      <c r="A3619" t="s">
        <v>3220</v>
      </c>
      <c r="B3619" t="s">
        <v>13</v>
      </c>
      <c r="C3619" t="s">
        <v>17</v>
      </c>
      <c r="D3619" t="s">
        <v>14</v>
      </c>
      <c r="E3619" t="s">
        <v>14</v>
      </c>
      <c r="F3619" t="s">
        <v>17</v>
      </c>
      <c r="G3619" t="s">
        <v>14</v>
      </c>
      <c r="H3619" t="s">
        <v>14</v>
      </c>
      <c r="I3619" t="str">
        <f>"062271013212"</f>
        <v>062271013212</v>
      </c>
    </row>
    <row r="3620" spans="1:9" x14ac:dyDescent="0.25">
      <c r="A3620" t="s">
        <v>3221</v>
      </c>
      <c r="B3620" t="s">
        <v>13</v>
      </c>
      <c r="C3620">
        <v>18</v>
      </c>
      <c r="D3620">
        <v>16</v>
      </c>
      <c r="E3620" t="s">
        <v>17</v>
      </c>
      <c r="F3620">
        <v>23.06</v>
      </c>
      <c r="G3620">
        <v>22.31</v>
      </c>
      <c r="H3620" t="s">
        <v>17</v>
      </c>
      <c r="I3620" t="str">
        <f>"062805012053"</f>
        <v>062805012053</v>
      </c>
    </row>
    <row r="3621" spans="1:9" x14ac:dyDescent="0.25">
      <c r="A3621" t="s">
        <v>3222</v>
      </c>
      <c r="B3621" t="s">
        <v>13</v>
      </c>
      <c r="C3621">
        <v>6.3</v>
      </c>
      <c r="D3621">
        <v>3.6</v>
      </c>
      <c r="E3621" t="s">
        <v>17</v>
      </c>
      <c r="F3621">
        <v>20</v>
      </c>
      <c r="G3621">
        <v>16.940000000000001</v>
      </c>
      <c r="H3621" t="s">
        <v>17</v>
      </c>
      <c r="I3621" t="str">
        <f>"060790011081"</f>
        <v>060790011081</v>
      </c>
    </row>
    <row r="3622" spans="1:9" x14ac:dyDescent="0.25">
      <c r="A3622" t="s">
        <v>3223</v>
      </c>
      <c r="B3622" t="s">
        <v>13</v>
      </c>
      <c r="C3622">
        <v>18.11</v>
      </c>
      <c r="D3622">
        <v>17.11</v>
      </c>
      <c r="E3622" t="s">
        <v>17</v>
      </c>
      <c r="F3622">
        <v>23.58</v>
      </c>
      <c r="G3622">
        <v>24.02</v>
      </c>
      <c r="H3622" t="s">
        <v>17</v>
      </c>
      <c r="I3622" t="str">
        <f>"062886004471"</f>
        <v>062886004471</v>
      </c>
    </row>
    <row r="3623" spans="1:9" x14ac:dyDescent="0.25">
      <c r="A3623" t="s">
        <v>3224</v>
      </c>
      <c r="B3623" t="s">
        <v>13</v>
      </c>
      <c r="C3623">
        <v>36.79</v>
      </c>
      <c r="D3623">
        <v>36.47</v>
      </c>
      <c r="E3623" t="s">
        <v>17</v>
      </c>
      <c r="F3623">
        <v>25.6</v>
      </c>
      <c r="G3623">
        <v>25.61</v>
      </c>
      <c r="H3623" t="s">
        <v>17</v>
      </c>
      <c r="I3623" t="str">
        <f>"061527001954"</f>
        <v>061527001954</v>
      </c>
    </row>
    <row r="3624" spans="1:9" x14ac:dyDescent="0.25">
      <c r="A3624" t="s">
        <v>3225</v>
      </c>
      <c r="B3624" t="s">
        <v>13</v>
      </c>
      <c r="C3624">
        <v>20</v>
      </c>
      <c r="D3624">
        <v>21.5</v>
      </c>
      <c r="E3624" t="s">
        <v>17</v>
      </c>
      <c r="F3624">
        <v>26.4</v>
      </c>
      <c r="G3624">
        <v>26</v>
      </c>
      <c r="H3624" t="s">
        <v>17</v>
      </c>
      <c r="I3624" t="str">
        <f>"063738006316"</f>
        <v>063738006316</v>
      </c>
    </row>
    <row r="3625" spans="1:9" x14ac:dyDescent="0.25">
      <c r="A3625" t="s">
        <v>3226</v>
      </c>
      <c r="B3625" t="s">
        <v>13</v>
      </c>
      <c r="C3625">
        <v>16.5</v>
      </c>
      <c r="D3625">
        <v>13</v>
      </c>
      <c r="E3625" t="s">
        <v>17</v>
      </c>
      <c r="F3625">
        <v>19.03</v>
      </c>
      <c r="G3625">
        <v>25.08</v>
      </c>
      <c r="H3625" t="s">
        <v>17</v>
      </c>
      <c r="I3625" t="str">
        <f>"062271012215"</f>
        <v>062271012215</v>
      </c>
    </row>
    <row r="3626" spans="1:9" x14ac:dyDescent="0.25">
      <c r="A3626" t="s">
        <v>3227</v>
      </c>
      <c r="B3626" t="s">
        <v>13</v>
      </c>
      <c r="C3626" t="s">
        <v>14</v>
      </c>
      <c r="D3626">
        <v>2.6</v>
      </c>
      <c r="E3626" t="s">
        <v>17</v>
      </c>
      <c r="F3626" t="s">
        <v>17</v>
      </c>
      <c r="G3626">
        <v>21.15</v>
      </c>
      <c r="H3626" t="s">
        <v>17</v>
      </c>
      <c r="I3626" t="str">
        <f>"061539010768"</f>
        <v>061539010768</v>
      </c>
    </row>
    <row r="3627" spans="1:9" x14ac:dyDescent="0.25">
      <c r="A3627" t="s">
        <v>3228</v>
      </c>
      <c r="B3627" t="s">
        <v>13</v>
      </c>
      <c r="C3627">
        <v>12.9</v>
      </c>
      <c r="D3627">
        <v>13.8</v>
      </c>
      <c r="E3627" t="s">
        <v>17</v>
      </c>
      <c r="F3627">
        <v>23.88</v>
      </c>
      <c r="G3627">
        <v>23.55</v>
      </c>
      <c r="H3627" t="s">
        <v>17</v>
      </c>
      <c r="I3627" t="str">
        <f>"061539001962"</f>
        <v>061539001962</v>
      </c>
    </row>
    <row r="3628" spans="1:9" x14ac:dyDescent="0.25">
      <c r="A3628" t="s">
        <v>3229</v>
      </c>
      <c r="B3628" t="s">
        <v>13</v>
      </c>
      <c r="C3628">
        <v>25</v>
      </c>
      <c r="D3628">
        <v>25</v>
      </c>
      <c r="E3628" t="s">
        <v>17</v>
      </c>
      <c r="F3628">
        <v>25.24</v>
      </c>
      <c r="G3628">
        <v>23.6</v>
      </c>
      <c r="H3628" t="s">
        <v>17</v>
      </c>
      <c r="I3628" t="str">
        <f>"061389007611"</f>
        <v>061389007611</v>
      </c>
    </row>
    <row r="3629" spans="1:9" x14ac:dyDescent="0.25">
      <c r="A3629" t="s">
        <v>3230</v>
      </c>
      <c r="B3629" t="s">
        <v>13</v>
      </c>
      <c r="C3629">
        <v>25.81</v>
      </c>
      <c r="D3629">
        <v>27.8</v>
      </c>
      <c r="E3629" t="s">
        <v>17</v>
      </c>
      <c r="F3629">
        <v>28.36</v>
      </c>
      <c r="G3629">
        <v>25.86</v>
      </c>
      <c r="H3629" t="s">
        <v>17</v>
      </c>
      <c r="I3629" t="str">
        <f>"063462002560"</f>
        <v>063462002560</v>
      </c>
    </row>
    <row r="3630" spans="1:9" x14ac:dyDescent="0.25">
      <c r="A3630" t="s">
        <v>3231</v>
      </c>
      <c r="B3630" t="s">
        <v>13</v>
      </c>
      <c r="C3630" t="s">
        <v>14</v>
      </c>
      <c r="D3630" t="s">
        <v>14</v>
      </c>
      <c r="E3630" t="s">
        <v>17</v>
      </c>
      <c r="F3630" t="s">
        <v>14</v>
      </c>
      <c r="G3630" t="s">
        <v>14</v>
      </c>
      <c r="H3630" t="s">
        <v>17</v>
      </c>
      <c r="I3630" t="str">
        <f>"062682009952"</f>
        <v>062682009952</v>
      </c>
    </row>
    <row r="3631" spans="1:9" x14ac:dyDescent="0.25">
      <c r="A3631" t="s">
        <v>3232</v>
      </c>
      <c r="B3631" t="s">
        <v>13</v>
      </c>
      <c r="C3631">
        <v>18.25</v>
      </c>
      <c r="D3631">
        <v>16.809999999999999</v>
      </c>
      <c r="E3631" t="s">
        <v>17</v>
      </c>
      <c r="F3631">
        <v>20.16</v>
      </c>
      <c r="G3631">
        <v>18.079999999999998</v>
      </c>
      <c r="H3631" t="s">
        <v>17</v>
      </c>
      <c r="I3631" t="str">
        <f>"063828011827"</f>
        <v>063828011827</v>
      </c>
    </row>
    <row r="3632" spans="1:9" x14ac:dyDescent="0.25">
      <c r="A3632" t="s">
        <v>3233</v>
      </c>
      <c r="B3632" t="s">
        <v>13</v>
      </c>
      <c r="C3632" t="s">
        <v>14</v>
      </c>
      <c r="D3632">
        <v>10.4</v>
      </c>
      <c r="E3632" t="s">
        <v>17</v>
      </c>
      <c r="F3632" t="s">
        <v>17</v>
      </c>
      <c r="G3632">
        <v>20.77</v>
      </c>
      <c r="H3632" t="s">
        <v>17</v>
      </c>
      <c r="I3632" t="str">
        <f>"064338007025"</f>
        <v>064338007025</v>
      </c>
    </row>
    <row r="3633" spans="1:9" x14ac:dyDescent="0.25">
      <c r="A3633" t="s">
        <v>3234</v>
      </c>
      <c r="B3633" t="s">
        <v>13</v>
      </c>
      <c r="C3633">
        <v>3</v>
      </c>
      <c r="D3633">
        <v>3</v>
      </c>
      <c r="E3633" t="s">
        <v>17</v>
      </c>
      <c r="F3633">
        <v>15</v>
      </c>
      <c r="G3633">
        <v>15.33</v>
      </c>
      <c r="H3633" t="s">
        <v>17</v>
      </c>
      <c r="I3633" t="str">
        <f>"060687000627"</f>
        <v>060687000627</v>
      </c>
    </row>
    <row r="3634" spans="1:9" x14ac:dyDescent="0.25">
      <c r="A3634" t="s">
        <v>3235</v>
      </c>
      <c r="B3634" t="s">
        <v>13</v>
      </c>
      <c r="C3634">
        <v>14.2</v>
      </c>
      <c r="D3634">
        <v>12.4</v>
      </c>
      <c r="E3634" t="s">
        <v>17</v>
      </c>
      <c r="F3634">
        <v>21.97</v>
      </c>
      <c r="G3634">
        <v>23.15</v>
      </c>
      <c r="H3634" t="s">
        <v>17</v>
      </c>
      <c r="I3634" t="str">
        <f>"061545001963"</f>
        <v>061545001963</v>
      </c>
    </row>
    <row r="3635" spans="1:9" x14ac:dyDescent="0.25">
      <c r="A3635" t="s">
        <v>3236</v>
      </c>
      <c r="B3635" t="s">
        <v>13</v>
      </c>
      <c r="C3635">
        <v>16.920000000000002</v>
      </c>
      <c r="D3635">
        <v>13.97</v>
      </c>
      <c r="E3635" t="s">
        <v>17</v>
      </c>
      <c r="F3635">
        <v>18.79</v>
      </c>
      <c r="G3635">
        <v>23.26</v>
      </c>
      <c r="H3635" t="s">
        <v>17</v>
      </c>
      <c r="I3635" t="str">
        <f>"069103812203"</f>
        <v>069103812203</v>
      </c>
    </row>
    <row r="3636" spans="1:9" x14ac:dyDescent="0.25">
      <c r="A3636" t="s">
        <v>3237</v>
      </c>
      <c r="B3636" t="s">
        <v>13</v>
      </c>
      <c r="C3636">
        <v>27</v>
      </c>
      <c r="D3636">
        <v>26.5</v>
      </c>
      <c r="E3636" t="s">
        <v>17</v>
      </c>
      <c r="F3636">
        <v>29.37</v>
      </c>
      <c r="G3636">
        <v>29.85</v>
      </c>
      <c r="H3636" t="s">
        <v>17</v>
      </c>
      <c r="I3636" t="str">
        <f>"063066004763"</f>
        <v>063066004763</v>
      </c>
    </row>
    <row r="3637" spans="1:9" x14ac:dyDescent="0.25">
      <c r="A3637" t="s">
        <v>3238</v>
      </c>
      <c r="B3637" t="s">
        <v>13</v>
      </c>
      <c r="C3637">
        <v>20</v>
      </c>
      <c r="D3637">
        <v>21.7</v>
      </c>
      <c r="E3637" t="s">
        <v>17</v>
      </c>
      <c r="F3637">
        <v>30.1</v>
      </c>
      <c r="G3637">
        <v>29.82</v>
      </c>
      <c r="H3637" t="s">
        <v>17</v>
      </c>
      <c r="I3637" t="str">
        <f>"063384005245"</f>
        <v>063384005245</v>
      </c>
    </row>
    <row r="3638" spans="1:9" x14ac:dyDescent="0.25">
      <c r="A3638" t="s">
        <v>3239</v>
      </c>
      <c r="B3638" t="s">
        <v>13</v>
      </c>
      <c r="C3638">
        <v>1</v>
      </c>
      <c r="D3638">
        <v>1</v>
      </c>
      <c r="E3638" t="s">
        <v>17</v>
      </c>
      <c r="F3638">
        <v>2</v>
      </c>
      <c r="G3638">
        <v>4</v>
      </c>
      <c r="H3638" t="s">
        <v>17</v>
      </c>
      <c r="I3638" t="str">
        <f>"061548008684"</f>
        <v>061548008684</v>
      </c>
    </row>
    <row r="3639" spans="1:9" x14ac:dyDescent="0.25">
      <c r="A3639" t="s">
        <v>3240</v>
      </c>
      <c r="B3639" t="s">
        <v>13</v>
      </c>
      <c r="C3639">
        <v>9</v>
      </c>
      <c r="D3639">
        <v>10</v>
      </c>
      <c r="E3639" t="s">
        <v>17</v>
      </c>
      <c r="F3639">
        <v>14.33</v>
      </c>
      <c r="G3639">
        <v>14.5</v>
      </c>
      <c r="H3639" t="s">
        <v>17</v>
      </c>
      <c r="I3639" t="str">
        <f>"069100510472"</f>
        <v>069100510472</v>
      </c>
    </row>
    <row r="3640" spans="1:9" x14ac:dyDescent="0.25">
      <c r="A3640" t="s">
        <v>3241</v>
      </c>
      <c r="B3640" t="s">
        <v>13</v>
      </c>
      <c r="C3640">
        <v>27.25</v>
      </c>
      <c r="D3640">
        <v>27.5</v>
      </c>
      <c r="E3640" t="s">
        <v>17</v>
      </c>
      <c r="F3640">
        <v>27.12</v>
      </c>
      <c r="G3640">
        <v>27.35</v>
      </c>
      <c r="H3640" t="s">
        <v>17</v>
      </c>
      <c r="I3640" t="str">
        <f>"061473001793"</f>
        <v>061473001793</v>
      </c>
    </row>
    <row r="3641" spans="1:9" x14ac:dyDescent="0.25">
      <c r="A3641" t="s">
        <v>3242</v>
      </c>
      <c r="B3641" t="s">
        <v>13</v>
      </c>
      <c r="C3641">
        <v>29</v>
      </c>
      <c r="D3641">
        <v>31</v>
      </c>
      <c r="E3641" t="s">
        <v>17</v>
      </c>
      <c r="F3641">
        <v>16.690000000000001</v>
      </c>
      <c r="G3641">
        <v>15.97</v>
      </c>
      <c r="H3641" t="s">
        <v>17</v>
      </c>
      <c r="I3641" t="str">
        <f>"063432011157"</f>
        <v>063432011157</v>
      </c>
    </row>
    <row r="3642" spans="1:9" x14ac:dyDescent="0.25">
      <c r="A3642" t="s">
        <v>3243</v>
      </c>
      <c r="B3642" t="s">
        <v>13</v>
      </c>
      <c r="C3642">
        <v>24</v>
      </c>
      <c r="D3642">
        <v>25</v>
      </c>
      <c r="E3642" t="s">
        <v>17</v>
      </c>
      <c r="F3642">
        <v>26.54</v>
      </c>
      <c r="G3642">
        <v>26.16</v>
      </c>
      <c r="H3642" t="s">
        <v>17</v>
      </c>
      <c r="I3642" t="str">
        <f>"063888008994"</f>
        <v>063888008994</v>
      </c>
    </row>
    <row r="3643" spans="1:9" x14ac:dyDescent="0.25">
      <c r="A3643" t="s">
        <v>3243</v>
      </c>
      <c r="B3643" t="s">
        <v>13</v>
      </c>
      <c r="C3643">
        <v>12.33</v>
      </c>
      <c r="D3643">
        <v>12.33</v>
      </c>
      <c r="E3643" t="s">
        <v>17</v>
      </c>
      <c r="F3643">
        <v>23.03</v>
      </c>
      <c r="G3643">
        <v>23.2</v>
      </c>
      <c r="H3643" t="s">
        <v>17</v>
      </c>
      <c r="I3643" t="str">
        <f>"062954011570"</f>
        <v>062954011570</v>
      </c>
    </row>
    <row r="3644" spans="1:9" x14ac:dyDescent="0.25">
      <c r="A3644" t="s">
        <v>3244</v>
      </c>
      <c r="B3644" t="s">
        <v>13</v>
      </c>
      <c r="C3644">
        <v>5.25</v>
      </c>
      <c r="D3644">
        <v>7</v>
      </c>
      <c r="E3644" t="s">
        <v>14</v>
      </c>
      <c r="F3644">
        <v>7.43</v>
      </c>
      <c r="G3644">
        <v>12.71</v>
      </c>
      <c r="H3644" t="s">
        <v>14</v>
      </c>
      <c r="I3644" t="str">
        <f>"069104612685"</f>
        <v>069104612685</v>
      </c>
    </row>
    <row r="3645" spans="1:9" x14ac:dyDescent="0.25">
      <c r="A3645" t="s">
        <v>3245</v>
      </c>
      <c r="B3645" t="s">
        <v>13</v>
      </c>
      <c r="C3645">
        <v>4.75</v>
      </c>
      <c r="D3645" t="s">
        <v>14</v>
      </c>
      <c r="E3645" t="s">
        <v>14</v>
      </c>
      <c r="F3645">
        <v>8.6300000000000008</v>
      </c>
      <c r="G3645" t="s">
        <v>14</v>
      </c>
      <c r="H3645" t="s">
        <v>14</v>
      </c>
      <c r="I3645" t="str">
        <f>"063321013124"</f>
        <v>063321013124</v>
      </c>
    </row>
    <row r="3646" spans="1:9" x14ac:dyDescent="0.25">
      <c r="A3646" t="s">
        <v>3246</v>
      </c>
      <c r="B3646" t="s">
        <v>13</v>
      </c>
      <c r="C3646">
        <v>18</v>
      </c>
      <c r="D3646">
        <v>18</v>
      </c>
      <c r="E3646" t="s">
        <v>17</v>
      </c>
      <c r="F3646">
        <v>27.17</v>
      </c>
      <c r="G3646">
        <v>26.39</v>
      </c>
      <c r="H3646" t="s">
        <v>17</v>
      </c>
      <c r="I3646" t="str">
        <f>"063822012288"</f>
        <v>063822012288</v>
      </c>
    </row>
    <row r="3647" spans="1:9" x14ac:dyDescent="0.25">
      <c r="A3647" t="s">
        <v>3247</v>
      </c>
      <c r="B3647" t="s">
        <v>13</v>
      </c>
      <c r="C3647">
        <v>19</v>
      </c>
      <c r="D3647">
        <v>21</v>
      </c>
      <c r="E3647" t="s">
        <v>17</v>
      </c>
      <c r="F3647">
        <v>30.16</v>
      </c>
      <c r="G3647">
        <v>28.62</v>
      </c>
      <c r="H3647" t="s">
        <v>17</v>
      </c>
      <c r="I3647" t="str">
        <f>"064116009007"</f>
        <v>064116009007</v>
      </c>
    </row>
    <row r="3648" spans="1:9" x14ac:dyDescent="0.25">
      <c r="A3648" t="s">
        <v>3247</v>
      </c>
      <c r="B3648" t="s">
        <v>13</v>
      </c>
      <c r="C3648">
        <v>32</v>
      </c>
      <c r="D3648">
        <v>38.78</v>
      </c>
      <c r="E3648" t="s">
        <v>17</v>
      </c>
      <c r="F3648">
        <v>26.78</v>
      </c>
      <c r="G3648">
        <v>21.97</v>
      </c>
      <c r="H3648" t="s">
        <v>17</v>
      </c>
      <c r="I3648" t="str">
        <f>"062145009566"</f>
        <v>062145009566</v>
      </c>
    </row>
    <row r="3649" spans="1:9" x14ac:dyDescent="0.25">
      <c r="A3649" t="s">
        <v>3248</v>
      </c>
      <c r="B3649" t="s">
        <v>13</v>
      </c>
      <c r="C3649">
        <v>8</v>
      </c>
      <c r="D3649">
        <v>7</v>
      </c>
      <c r="E3649" t="s">
        <v>17</v>
      </c>
      <c r="F3649">
        <v>22.75</v>
      </c>
      <c r="G3649">
        <v>22.57</v>
      </c>
      <c r="H3649" t="s">
        <v>17</v>
      </c>
      <c r="I3649" t="str">
        <f>"061674012426"</f>
        <v>061674012426</v>
      </c>
    </row>
    <row r="3650" spans="1:9" x14ac:dyDescent="0.25">
      <c r="A3650" t="s">
        <v>3249</v>
      </c>
      <c r="B3650" t="s">
        <v>13</v>
      </c>
      <c r="C3650">
        <v>27.02</v>
      </c>
      <c r="D3650">
        <v>28.05</v>
      </c>
      <c r="E3650" t="s">
        <v>17</v>
      </c>
      <c r="F3650">
        <v>28.98</v>
      </c>
      <c r="G3650">
        <v>27.17</v>
      </c>
      <c r="H3650" t="s">
        <v>17</v>
      </c>
      <c r="I3650" t="str">
        <f>"062958008727"</f>
        <v>062958008727</v>
      </c>
    </row>
    <row r="3651" spans="1:9" x14ac:dyDescent="0.25">
      <c r="A3651" t="s">
        <v>3250</v>
      </c>
      <c r="B3651" t="s">
        <v>13</v>
      </c>
      <c r="C3651">
        <v>2</v>
      </c>
      <c r="D3651">
        <v>2</v>
      </c>
      <c r="E3651" t="s">
        <v>17</v>
      </c>
      <c r="F3651">
        <v>8</v>
      </c>
      <c r="G3651">
        <v>11.5</v>
      </c>
      <c r="H3651" t="s">
        <v>17</v>
      </c>
      <c r="I3651" t="str">
        <f>"069100607386"</f>
        <v>069100607386</v>
      </c>
    </row>
    <row r="3652" spans="1:9" x14ac:dyDescent="0.25">
      <c r="A3652" t="s">
        <v>3251</v>
      </c>
      <c r="B3652" t="s">
        <v>13</v>
      </c>
      <c r="C3652">
        <v>32.9</v>
      </c>
      <c r="D3652">
        <v>25.9</v>
      </c>
      <c r="E3652" t="s">
        <v>17</v>
      </c>
      <c r="F3652">
        <v>19.54</v>
      </c>
      <c r="G3652">
        <v>20.190000000000001</v>
      </c>
      <c r="H3652" t="s">
        <v>17</v>
      </c>
      <c r="I3652" t="str">
        <f>"060524000495"</f>
        <v>060524000495</v>
      </c>
    </row>
    <row r="3653" spans="1:9" x14ac:dyDescent="0.25">
      <c r="A3653" t="s">
        <v>3252</v>
      </c>
      <c r="B3653" t="s">
        <v>13</v>
      </c>
      <c r="C3653">
        <v>24.86</v>
      </c>
      <c r="D3653">
        <v>27.5</v>
      </c>
      <c r="E3653" t="s">
        <v>17</v>
      </c>
      <c r="F3653">
        <v>24.86</v>
      </c>
      <c r="G3653">
        <v>23.78</v>
      </c>
      <c r="H3653" t="s">
        <v>17</v>
      </c>
      <c r="I3653" t="str">
        <f>"063132004843"</f>
        <v>063132004843</v>
      </c>
    </row>
    <row r="3654" spans="1:9" x14ac:dyDescent="0.25">
      <c r="A3654" t="s">
        <v>3253</v>
      </c>
      <c r="B3654" t="s">
        <v>13</v>
      </c>
      <c r="C3654" t="s">
        <v>14</v>
      </c>
      <c r="D3654" t="s">
        <v>14</v>
      </c>
      <c r="E3654" t="s">
        <v>14</v>
      </c>
      <c r="F3654" t="s">
        <v>17</v>
      </c>
      <c r="G3654" t="s">
        <v>14</v>
      </c>
      <c r="H3654" t="s">
        <v>14</v>
      </c>
      <c r="I3654" t="str">
        <f>"062778013028"</f>
        <v>062778013028</v>
      </c>
    </row>
    <row r="3655" spans="1:9" x14ac:dyDescent="0.25">
      <c r="A3655" t="s">
        <v>3254</v>
      </c>
      <c r="B3655" t="s">
        <v>13</v>
      </c>
      <c r="C3655">
        <v>1.6</v>
      </c>
      <c r="D3655">
        <v>3.7</v>
      </c>
      <c r="E3655" t="s">
        <v>17</v>
      </c>
      <c r="F3655">
        <v>25.63</v>
      </c>
      <c r="G3655">
        <v>8.92</v>
      </c>
      <c r="H3655" t="s">
        <v>17</v>
      </c>
      <c r="I3655" t="str">
        <f>"060140912729"</f>
        <v>060140912729</v>
      </c>
    </row>
    <row r="3656" spans="1:9" x14ac:dyDescent="0.25">
      <c r="A3656" t="s">
        <v>3255</v>
      </c>
      <c r="B3656" t="s">
        <v>13</v>
      </c>
      <c r="C3656">
        <v>25</v>
      </c>
      <c r="D3656">
        <v>26.5</v>
      </c>
      <c r="E3656" t="s">
        <v>17</v>
      </c>
      <c r="F3656">
        <v>26.72</v>
      </c>
      <c r="G3656">
        <v>25.21</v>
      </c>
      <c r="H3656" t="s">
        <v>17</v>
      </c>
      <c r="I3656" t="str">
        <f>"062472010451"</f>
        <v>062472010451</v>
      </c>
    </row>
    <row r="3657" spans="1:9" x14ac:dyDescent="0.25">
      <c r="A3657" t="s">
        <v>3256</v>
      </c>
      <c r="B3657" t="s">
        <v>13</v>
      </c>
      <c r="C3657">
        <v>15.5</v>
      </c>
      <c r="D3657">
        <v>17.64</v>
      </c>
      <c r="E3657" t="s">
        <v>17</v>
      </c>
      <c r="F3657">
        <v>26.77</v>
      </c>
      <c r="G3657">
        <v>21.94</v>
      </c>
      <c r="H3657" t="s">
        <v>17</v>
      </c>
      <c r="I3657" t="str">
        <f>"063462011902"</f>
        <v>063462011902</v>
      </c>
    </row>
    <row r="3658" spans="1:9" x14ac:dyDescent="0.25">
      <c r="A3658" t="s">
        <v>3257</v>
      </c>
      <c r="B3658" t="s">
        <v>13</v>
      </c>
      <c r="C3658">
        <v>32</v>
      </c>
      <c r="D3658">
        <v>32</v>
      </c>
      <c r="E3658" t="s">
        <v>17</v>
      </c>
      <c r="F3658">
        <v>20.56</v>
      </c>
      <c r="G3658">
        <v>20.84</v>
      </c>
      <c r="H3658" t="s">
        <v>17</v>
      </c>
      <c r="I3658" t="str">
        <f>"061035005511"</f>
        <v>061035005511</v>
      </c>
    </row>
    <row r="3659" spans="1:9" x14ac:dyDescent="0.25">
      <c r="A3659" t="s">
        <v>3258</v>
      </c>
      <c r="B3659" t="s">
        <v>13</v>
      </c>
      <c r="C3659">
        <v>95.72</v>
      </c>
      <c r="D3659">
        <v>92.93</v>
      </c>
      <c r="E3659" t="s">
        <v>17</v>
      </c>
      <c r="F3659">
        <v>25.57</v>
      </c>
      <c r="G3659">
        <v>27.17</v>
      </c>
      <c r="H3659" t="s">
        <v>17</v>
      </c>
      <c r="I3659" t="str">
        <f>"061954011297"</f>
        <v>061954011297</v>
      </c>
    </row>
    <row r="3660" spans="1:9" x14ac:dyDescent="0.25">
      <c r="A3660" t="s">
        <v>3258</v>
      </c>
      <c r="B3660" t="s">
        <v>13</v>
      </c>
      <c r="C3660">
        <v>87.85</v>
      </c>
      <c r="D3660">
        <v>85.75</v>
      </c>
      <c r="E3660" t="s">
        <v>17</v>
      </c>
      <c r="F3660">
        <v>24.86</v>
      </c>
      <c r="G3660">
        <v>25.94</v>
      </c>
      <c r="H3660" t="s">
        <v>17</v>
      </c>
      <c r="I3660" t="str">
        <f>"064251010912"</f>
        <v>064251010912</v>
      </c>
    </row>
    <row r="3661" spans="1:9" x14ac:dyDescent="0.25">
      <c r="A3661" t="s">
        <v>3258</v>
      </c>
      <c r="B3661" t="s">
        <v>13</v>
      </c>
      <c r="C3661">
        <v>87</v>
      </c>
      <c r="D3661">
        <v>89.7</v>
      </c>
      <c r="E3661" t="s">
        <v>17</v>
      </c>
      <c r="F3661">
        <v>24.72</v>
      </c>
      <c r="G3661">
        <v>23.92</v>
      </c>
      <c r="H3661" t="s">
        <v>17</v>
      </c>
      <c r="I3661" t="str">
        <f>"062466003308"</f>
        <v>062466003308</v>
      </c>
    </row>
    <row r="3662" spans="1:9" x14ac:dyDescent="0.25">
      <c r="A3662" t="s">
        <v>3259</v>
      </c>
      <c r="B3662" t="s">
        <v>13</v>
      </c>
      <c r="C3662">
        <v>36.86</v>
      </c>
      <c r="D3662">
        <v>44</v>
      </c>
      <c r="E3662" t="s">
        <v>17</v>
      </c>
      <c r="F3662">
        <v>26.37</v>
      </c>
      <c r="G3662">
        <v>23.93</v>
      </c>
      <c r="H3662" t="s">
        <v>17</v>
      </c>
      <c r="I3662" t="str">
        <f>"063417005361"</f>
        <v>063417005361</v>
      </c>
    </row>
    <row r="3663" spans="1:9" x14ac:dyDescent="0.25">
      <c r="A3663" t="s">
        <v>3260</v>
      </c>
      <c r="B3663" t="s">
        <v>13</v>
      </c>
      <c r="C3663">
        <v>5</v>
      </c>
      <c r="D3663">
        <v>4</v>
      </c>
      <c r="E3663" t="s">
        <v>17</v>
      </c>
      <c r="F3663">
        <v>11.2</v>
      </c>
      <c r="G3663">
        <v>12</v>
      </c>
      <c r="H3663" t="s">
        <v>17</v>
      </c>
      <c r="I3663" t="str">
        <f>"062472012513"</f>
        <v>062472012513</v>
      </c>
    </row>
    <row r="3664" spans="1:9" x14ac:dyDescent="0.25">
      <c r="A3664" t="s">
        <v>3261</v>
      </c>
      <c r="B3664" t="s">
        <v>13</v>
      </c>
      <c r="C3664">
        <v>25.1</v>
      </c>
      <c r="D3664">
        <v>23.5</v>
      </c>
      <c r="E3664" t="s">
        <v>17</v>
      </c>
      <c r="F3664">
        <v>22.67</v>
      </c>
      <c r="G3664">
        <v>23.11</v>
      </c>
      <c r="H3664" t="s">
        <v>17</v>
      </c>
      <c r="I3664" t="str">
        <f>"063513009631"</f>
        <v>063513009631</v>
      </c>
    </row>
    <row r="3665" spans="1:9" x14ac:dyDescent="0.25">
      <c r="A3665" t="s">
        <v>3261</v>
      </c>
      <c r="B3665" t="s">
        <v>13</v>
      </c>
      <c r="C3665">
        <v>20.85</v>
      </c>
      <c r="D3665">
        <v>21</v>
      </c>
      <c r="E3665" t="s">
        <v>17</v>
      </c>
      <c r="F3665">
        <v>27.15</v>
      </c>
      <c r="G3665">
        <v>25.1</v>
      </c>
      <c r="H3665" t="s">
        <v>17</v>
      </c>
      <c r="I3665" t="str">
        <f>"062814004332"</f>
        <v>062814004332</v>
      </c>
    </row>
    <row r="3666" spans="1:9" x14ac:dyDescent="0.25">
      <c r="A3666" t="s">
        <v>3262</v>
      </c>
      <c r="B3666" t="s">
        <v>13</v>
      </c>
      <c r="C3666">
        <v>23.1</v>
      </c>
      <c r="D3666">
        <v>24.1</v>
      </c>
      <c r="E3666" t="s">
        <v>17</v>
      </c>
      <c r="F3666">
        <v>25.67</v>
      </c>
      <c r="G3666">
        <v>25.35</v>
      </c>
      <c r="H3666" t="s">
        <v>17</v>
      </c>
      <c r="I3666" t="str">
        <f>"062361003579"</f>
        <v>062361003579</v>
      </c>
    </row>
    <row r="3667" spans="1:9" x14ac:dyDescent="0.25">
      <c r="A3667" t="s">
        <v>3263</v>
      </c>
      <c r="B3667" t="s">
        <v>13</v>
      </c>
      <c r="C3667">
        <v>69.069999999999993</v>
      </c>
      <c r="D3667">
        <v>72.069999999999993</v>
      </c>
      <c r="E3667" t="s">
        <v>17</v>
      </c>
      <c r="F3667">
        <v>23.69</v>
      </c>
      <c r="G3667">
        <v>23.52</v>
      </c>
      <c r="H3667" t="s">
        <v>17</v>
      </c>
      <c r="I3667" t="str">
        <f>"064116006792"</f>
        <v>064116006792</v>
      </c>
    </row>
    <row r="3668" spans="1:9" x14ac:dyDescent="0.25">
      <c r="A3668" t="s">
        <v>3264</v>
      </c>
      <c r="B3668" t="s">
        <v>13</v>
      </c>
      <c r="C3668">
        <v>34.21</v>
      </c>
      <c r="D3668">
        <v>33.64</v>
      </c>
      <c r="E3668" t="s">
        <v>17</v>
      </c>
      <c r="F3668">
        <v>24.67</v>
      </c>
      <c r="G3668">
        <v>25.95</v>
      </c>
      <c r="H3668" t="s">
        <v>17</v>
      </c>
      <c r="I3668" t="str">
        <f>"063963006596"</f>
        <v>063963006596</v>
      </c>
    </row>
    <row r="3669" spans="1:9" x14ac:dyDescent="0.25">
      <c r="A3669" t="s">
        <v>3265</v>
      </c>
      <c r="B3669" t="s">
        <v>13</v>
      </c>
      <c r="C3669">
        <v>31</v>
      </c>
      <c r="D3669">
        <v>31.01</v>
      </c>
      <c r="E3669" t="s">
        <v>14</v>
      </c>
      <c r="F3669">
        <v>27.97</v>
      </c>
      <c r="G3669">
        <v>26.7</v>
      </c>
      <c r="H3669" t="s">
        <v>14</v>
      </c>
      <c r="I3669" t="str">
        <f>"061949012756"</f>
        <v>061949012756</v>
      </c>
    </row>
    <row r="3670" spans="1:9" x14ac:dyDescent="0.25">
      <c r="A3670" t="s">
        <v>3266</v>
      </c>
      <c r="B3670" t="s">
        <v>13</v>
      </c>
      <c r="C3670">
        <v>38</v>
      </c>
      <c r="D3670">
        <v>36</v>
      </c>
      <c r="E3670" t="s">
        <v>14</v>
      </c>
      <c r="F3670">
        <v>23.16</v>
      </c>
      <c r="G3670">
        <v>22.67</v>
      </c>
      <c r="H3670" t="s">
        <v>14</v>
      </c>
      <c r="I3670" t="str">
        <f>"060141406020"</f>
        <v>060141406020</v>
      </c>
    </row>
    <row r="3671" spans="1:9" x14ac:dyDescent="0.25">
      <c r="A3671" t="s">
        <v>3266</v>
      </c>
      <c r="B3671" t="s">
        <v>13</v>
      </c>
      <c r="C3671" t="s">
        <v>14</v>
      </c>
      <c r="D3671" t="s">
        <v>14</v>
      </c>
      <c r="E3671" t="s">
        <v>17</v>
      </c>
      <c r="F3671" t="s">
        <v>14</v>
      </c>
      <c r="G3671" t="s">
        <v>14</v>
      </c>
      <c r="H3671" t="s">
        <v>17</v>
      </c>
      <c r="I3671" t="str">
        <f>"063537006020"</f>
        <v>063537006020</v>
      </c>
    </row>
    <row r="3672" spans="1:9" x14ac:dyDescent="0.25">
      <c r="A3672" t="s">
        <v>3267</v>
      </c>
      <c r="B3672" t="s">
        <v>13</v>
      </c>
      <c r="C3672">
        <v>10.1</v>
      </c>
      <c r="D3672">
        <v>10</v>
      </c>
      <c r="E3672" t="s">
        <v>17</v>
      </c>
      <c r="F3672">
        <v>19.11</v>
      </c>
      <c r="G3672">
        <v>18.399999999999999</v>
      </c>
      <c r="H3672" t="s">
        <v>17</v>
      </c>
      <c r="I3672" t="str">
        <f>"063255005031"</f>
        <v>063255005031</v>
      </c>
    </row>
    <row r="3673" spans="1:9" x14ac:dyDescent="0.25">
      <c r="A3673" t="s">
        <v>3268</v>
      </c>
      <c r="B3673" t="s">
        <v>13</v>
      </c>
      <c r="C3673">
        <v>29.52</v>
      </c>
      <c r="D3673">
        <v>31.86</v>
      </c>
      <c r="E3673" t="s">
        <v>17</v>
      </c>
      <c r="F3673">
        <v>26.19</v>
      </c>
      <c r="G3673">
        <v>26.24</v>
      </c>
      <c r="H3673" t="s">
        <v>17</v>
      </c>
      <c r="I3673" t="str">
        <f>"062250002717"</f>
        <v>062250002717</v>
      </c>
    </row>
    <row r="3674" spans="1:9" x14ac:dyDescent="0.25">
      <c r="A3674" t="s">
        <v>3269</v>
      </c>
      <c r="B3674" t="s">
        <v>13</v>
      </c>
      <c r="C3674">
        <v>55.39</v>
      </c>
      <c r="D3674">
        <v>48.65</v>
      </c>
      <c r="E3674" t="s">
        <v>17</v>
      </c>
      <c r="F3674">
        <v>17.37</v>
      </c>
      <c r="G3674">
        <v>19.3</v>
      </c>
      <c r="H3674" t="s">
        <v>17</v>
      </c>
      <c r="I3674" t="str">
        <f>"063432012386"</f>
        <v>063432012386</v>
      </c>
    </row>
    <row r="3675" spans="1:9" x14ac:dyDescent="0.25">
      <c r="A3675" t="s">
        <v>3270</v>
      </c>
      <c r="B3675" t="s">
        <v>13</v>
      </c>
      <c r="C3675">
        <v>24.5</v>
      </c>
      <c r="D3675">
        <v>24.5</v>
      </c>
      <c r="E3675" t="s">
        <v>17</v>
      </c>
      <c r="F3675">
        <v>25.84</v>
      </c>
      <c r="G3675">
        <v>25.96</v>
      </c>
      <c r="H3675" t="s">
        <v>17</v>
      </c>
      <c r="I3675" t="str">
        <f>"060162000015"</f>
        <v>060162000015</v>
      </c>
    </row>
    <row r="3676" spans="1:9" x14ac:dyDescent="0.25">
      <c r="A3676" t="s">
        <v>3271</v>
      </c>
      <c r="B3676" t="s">
        <v>13</v>
      </c>
      <c r="C3676">
        <v>34.200000000000003</v>
      </c>
      <c r="D3676">
        <v>33.700000000000003</v>
      </c>
      <c r="E3676" t="s">
        <v>17</v>
      </c>
      <c r="F3676">
        <v>22.16</v>
      </c>
      <c r="G3676">
        <v>22.46</v>
      </c>
      <c r="H3676" t="s">
        <v>17</v>
      </c>
      <c r="I3676" t="str">
        <f>"060004607183"</f>
        <v>060004607183</v>
      </c>
    </row>
    <row r="3677" spans="1:9" x14ac:dyDescent="0.25">
      <c r="A3677" t="s">
        <v>3272</v>
      </c>
      <c r="B3677" t="s">
        <v>13</v>
      </c>
      <c r="C3677">
        <v>9</v>
      </c>
      <c r="D3677">
        <v>10</v>
      </c>
      <c r="E3677" t="s">
        <v>17</v>
      </c>
      <c r="F3677">
        <v>10.33</v>
      </c>
      <c r="G3677">
        <v>7.4</v>
      </c>
      <c r="H3677" t="s">
        <v>17</v>
      </c>
      <c r="I3677" t="str">
        <f>"069107812804"</f>
        <v>069107812804</v>
      </c>
    </row>
    <row r="3678" spans="1:9" x14ac:dyDescent="0.25">
      <c r="A3678" t="s">
        <v>3273</v>
      </c>
      <c r="B3678" t="s">
        <v>13</v>
      </c>
      <c r="C3678">
        <v>46.83</v>
      </c>
      <c r="D3678">
        <v>47.76</v>
      </c>
      <c r="E3678" t="s">
        <v>17</v>
      </c>
      <c r="F3678">
        <v>29.92</v>
      </c>
      <c r="G3678">
        <v>29.54</v>
      </c>
      <c r="H3678" t="s">
        <v>17</v>
      </c>
      <c r="I3678" t="str">
        <f>"063531008548"</f>
        <v>063531008548</v>
      </c>
    </row>
    <row r="3679" spans="1:9" x14ac:dyDescent="0.25">
      <c r="A3679" t="s">
        <v>3274</v>
      </c>
      <c r="B3679" t="s">
        <v>13</v>
      </c>
      <c r="C3679">
        <v>35</v>
      </c>
      <c r="D3679">
        <v>34</v>
      </c>
      <c r="E3679" t="s">
        <v>17</v>
      </c>
      <c r="F3679">
        <v>18.46</v>
      </c>
      <c r="G3679">
        <v>20.88</v>
      </c>
      <c r="H3679" t="s">
        <v>17</v>
      </c>
      <c r="I3679" t="str">
        <f>"063018004710"</f>
        <v>063018004710</v>
      </c>
    </row>
    <row r="3680" spans="1:9" x14ac:dyDescent="0.25">
      <c r="A3680" t="s">
        <v>3275</v>
      </c>
      <c r="B3680" t="s">
        <v>13</v>
      </c>
      <c r="C3680">
        <v>20.399999999999999</v>
      </c>
      <c r="D3680">
        <v>22.3</v>
      </c>
      <c r="E3680" t="s">
        <v>17</v>
      </c>
      <c r="F3680">
        <v>18.920000000000002</v>
      </c>
      <c r="G3680">
        <v>19.78</v>
      </c>
      <c r="H3680" t="s">
        <v>17</v>
      </c>
      <c r="I3680" t="str">
        <f>"063697206778"</f>
        <v>063697206778</v>
      </c>
    </row>
    <row r="3681" spans="1:9" x14ac:dyDescent="0.25">
      <c r="A3681" t="s">
        <v>3276</v>
      </c>
      <c r="B3681" t="s">
        <v>13</v>
      </c>
      <c r="C3681" t="s">
        <v>14</v>
      </c>
      <c r="D3681">
        <v>1</v>
      </c>
      <c r="E3681" t="s">
        <v>17</v>
      </c>
      <c r="F3681" t="s">
        <v>17</v>
      </c>
      <c r="G3681">
        <v>15</v>
      </c>
      <c r="H3681" t="s">
        <v>17</v>
      </c>
      <c r="I3681" t="str">
        <f>"063697212530"</f>
        <v>063697212530</v>
      </c>
    </row>
    <row r="3682" spans="1:9" x14ac:dyDescent="0.25">
      <c r="A3682" t="s">
        <v>3277</v>
      </c>
      <c r="B3682" t="s">
        <v>13</v>
      </c>
      <c r="C3682">
        <v>33</v>
      </c>
      <c r="D3682">
        <v>34</v>
      </c>
      <c r="E3682" t="s">
        <v>17</v>
      </c>
      <c r="F3682">
        <v>27.97</v>
      </c>
      <c r="G3682">
        <v>28.03</v>
      </c>
      <c r="H3682" t="s">
        <v>17</v>
      </c>
      <c r="I3682" t="str">
        <f>"060636000552"</f>
        <v>060636000552</v>
      </c>
    </row>
    <row r="3683" spans="1:9" x14ac:dyDescent="0.25">
      <c r="A3683" t="s">
        <v>3278</v>
      </c>
      <c r="B3683" t="s">
        <v>13</v>
      </c>
      <c r="C3683" t="s">
        <v>14</v>
      </c>
      <c r="D3683" t="s">
        <v>14</v>
      </c>
      <c r="E3683" t="s">
        <v>17</v>
      </c>
      <c r="F3683" t="s">
        <v>14</v>
      </c>
      <c r="G3683" t="s">
        <v>14</v>
      </c>
      <c r="H3683" t="s">
        <v>17</v>
      </c>
      <c r="I3683" t="str">
        <f>"060002706274"</f>
        <v>060002706274</v>
      </c>
    </row>
    <row r="3684" spans="1:9" x14ac:dyDescent="0.25">
      <c r="A3684" t="s">
        <v>3279</v>
      </c>
      <c r="B3684" t="s">
        <v>13</v>
      </c>
      <c r="C3684">
        <v>5</v>
      </c>
      <c r="D3684">
        <v>5</v>
      </c>
      <c r="E3684" t="s">
        <v>17</v>
      </c>
      <c r="F3684">
        <v>19.8</v>
      </c>
      <c r="G3684">
        <v>19.600000000000001</v>
      </c>
      <c r="H3684" t="s">
        <v>17</v>
      </c>
      <c r="I3684" t="str">
        <f>"061560001979"</f>
        <v>061560001979</v>
      </c>
    </row>
    <row r="3685" spans="1:9" x14ac:dyDescent="0.25">
      <c r="A3685" t="s">
        <v>3280</v>
      </c>
      <c r="B3685" t="s">
        <v>13</v>
      </c>
      <c r="C3685">
        <v>74.650000000000006</v>
      </c>
      <c r="D3685">
        <v>74.650000000000006</v>
      </c>
      <c r="E3685" t="s">
        <v>17</v>
      </c>
      <c r="F3685">
        <v>21.98</v>
      </c>
      <c r="G3685">
        <v>20.62</v>
      </c>
      <c r="H3685" t="s">
        <v>17</v>
      </c>
      <c r="I3685" t="str">
        <f>"061560008502"</f>
        <v>061560008502</v>
      </c>
    </row>
    <row r="3686" spans="1:9" x14ac:dyDescent="0.25">
      <c r="A3686" t="s">
        <v>3281</v>
      </c>
      <c r="B3686" t="s">
        <v>13</v>
      </c>
      <c r="C3686">
        <v>20</v>
      </c>
      <c r="D3686">
        <v>20</v>
      </c>
      <c r="E3686" t="s">
        <v>17</v>
      </c>
      <c r="F3686">
        <v>31.1</v>
      </c>
      <c r="G3686">
        <v>27.2</v>
      </c>
      <c r="H3686" t="s">
        <v>17</v>
      </c>
      <c r="I3686" t="str">
        <f>"064116006793"</f>
        <v>064116006793</v>
      </c>
    </row>
    <row r="3687" spans="1:9" x14ac:dyDescent="0.25">
      <c r="A3687" t="s">
        <v>3282</v>
      </c>
      <c r="B3687" t="s">
        <v>13</v>
      </c>
      <c r="C3687">
        <v>43</v>
      </c>
      <c r="D3687">
        <v>43</v>
      </c>
      <c r="E3687" t="s">
        <v>17</v>
      </c>
      <c r="F3687">
        <v>7.7</v>
      </c>
      <c r="G3687">
        <v>7.77</v>
      </c>
      <c r="H3687" t="s">
        <v>17</v>
      </c>
      <c r="I3687" t="str">
        <f>"069101707126"</f>
        <v>069101707126</v>
      </c>
    </row>
    <row r="3688" spans="1:9" x14ac:dyDescent="0.25">
      <c r="A3688" t="s">
        <v>3283</v>
      </c>
      <c r="B3688" t="s">
        <v>13</v>
      </c>
      <c r="C3688">
        <v>4.3</v>
      </c>
      <c r="D3688">
        <v>3.3</v>
      </c>
      <c r="E3688" t="s">
        <v>17</v>
      </c>
      <c r="F3688">
        <v>15.12</v>
      </c>
      <c r="G3688">
        <v>21.21</v>
      </c>
      <c r="H3688" t="s">
        <v>17</v>
      </c>
      <c r="I3688" t="str">
        <f>"063583005446"</f>
        <v>063583005446</v>
      </c>
    </row>
    <row r="3689" spans="1:9" x14ac:dyDescent="0.25">
      <c r="A3689" t="s">
        <v>3284</v>
      </c>
      <c r="B3689" t="s">
        <v>13</v>
      </c>
      <c r="C3689">
        <v>19.2</v>
      </c>
      <c r="D3689">
        <v>18</v>
      </c>
      <c r="E3689" t="s">
        <v>17</v>
      </c>
      <c r="F3689">
        <v>24.17</v>
      </c>
      <c r="G3689">
        <v>24.67</v>
      </c>
      <c r="H3689" t="s">
        <v>17</v>
      </c>
      <c r="I3689" t="str">
        <f>"064030010957"</f>
        <v>064030010957</v>
      </c>
    </row>
    <row r="3690" spans="1:9" x14ac:dyDescent="0.25">
      <c r="A3690" t="s">
        <v>3285</v>
      </c>
      <c r="B3690" t="s">
        <v>13</v>
      </c>
      <c r="C3690">
        <v>63.24</v>
      </c>
      <c r="D3690">
        <v>73.959999999999994</v>
      </c>
      <c r="E3690" t="s">
        <v>17</v>
      </c>
      <c r="F3690">
        <v>22.58</v>
      </c>
      <c r="G3690">
        <v>23.69</v>
      </c>
      <c r="H3690" t="s">
        <v>17</v>
      </c>
      <c r="I3690" t="str">
        <f>"062515003739"</f>
        <v>062515003739</v>
      </c>
    </row>
    <row r="3691" spans="1:9" x14ac:dyDescent="0.25">
      <c r="A3691" t="s">
        <v>3286</v>
      </c>
      <c r="B3691" t="s">
        <v>13</v>
      </c>
      <c r="C3691">
        <v>17</v>
      </c>
      <c r="D3691">
        <v>20</v>
      </c>
      <c r="E3691" t="s">
        <v>17</v>
      </c>
      <c r="F3691">
        <v>24.88</v>
      </c>
      <c r="G3691">
        <v>20.85</v>
      </c>
      <c r="H3691" t="s">
        <v>17</v>
      </c>
      <c r="I3691" t="str">
        <f>"060561000509"</f>
        <v>060561000509</v>
      </c>
    </row>
    <row r="3692" spans="1:9" x14ac:dyDescent="0.25">
      <c r="A3692" t="s">
        <v>3287</v>
      </c>
      <c r="B3692" t="s">
        <v>13</v>
      </c>
      <c r="C3692">
        <v>13.8</v>
      </c>
      <c r="D3692">
        <v>13.8</v>
      </c>
      <c r="E3692" t="s">
        <v>17</v>
      </c>
      <c r="F3692">
        <v>26.01</v>
      </c>
      <c r="G3692">
        <v>24.42</v>
      </c>
      <c r="H3692" t="s">
        <v>17</v>
      </c>
      <c r="I3692" t="str">
        <f>"064074007368"</f>
        <v>064074007368</v>
      </c>
    </row>
    <row r="3693" spans="1:9" x14ac:dyDescent="0.25">
      <c r="A3693" t="s">
        <v>3288</v>
      </c>
      <c r="B3693" t="s">
        <v>13</v>
      </c>
      <c r="C3693">
        <v>18</v>
      </c>
      <c r="D3693">
        <v>18</v>
      </c>
      <c r="E3693" t="s">
        <v>17</v>
      </c>
      <c r="F3693">
        <v>22.39</v>
      </c>
      <c r="G3693">
        <v>21.06</v>
      </c>
      <c r="H3693" t="s">
        <v>17</v>
      </c>
      <c r="I3693" t="str">
        <f>"063573006108"</f>
        <v>063573006108</v>
      </c>
    </row>
    <row r="3694" spans="1:9" x14ac:dyDescent="0.25">
      <c r="A3694" t="s">
        <v>3289</v>
      </c>
      <c r="B3694" t="s">
        <v>13</v>
      </c>
      <c r="C3694">
        <v>5</v>
      </c>
      <c r="D3694">
        <v>5</v>
      </c>
      <c r="E3694" t="s">
        <v>17</v>
      </c>
      <c r="F3694">
        <v>18.399999999999999</v>
      </c>
      <c r="G3694">
        <v>19.399999999999999</v>
      </c>
      <c r="H3694" t="s">
        <v>17</v>
      </c>
      <c r="I3694" t="str">
        <f>"060699000645"</f>
        <v>060699000645</v>
      </c>
    </row>
    <row r="3695" spans="1:9" x14ac:dyDescent="0.25">
      <c r="A3695" t="s">
        <v>3290</v>
      </c>
      <c r="B3695" t="s">
        <v>13</v>
      </c>
      <c r="C3695">
        <v>38</v>
      </c>
      <c r="D3695">
        <v>37.5</v>
      </c>
      <c r="E3695" t="s">
        <v>17</v>
      </c>
      <c r="F3695">
        <v>23.5</v>
      </c>
      <c r="G3695">
        <v>25.49</v>
      </c>
      <c r="H3695" t="s">
        <v>17</v>
      </c>
      <c r="I3695" t="str">
        <f>"062622007789"</f>
        <v>062622007789</v>
      </c>
    </row>
    <row r="3696" spans="1:9" x14ac:dyDescent="0.25">
      <c r="A3696" t="s">
        <v>3291</v>
      </c>
      <c r="B3696" t="s">
        <v>13</v>
      </c>
      <c r="C3696" t="s">
        <v>17</v>
      </c>
      <c r="D3696" t="s">
        <v>14</v>
      </c>
      <c r="E3696" t="s">
        <v>14</v>
      </c>
      <c r="F3696" t="s">
        <v>17</v>
      </c>
      <c r="G3696" t="s">
        <v>14</v>
      </c>
      <c r="H3696" t="s">
        <v>14</v>
      </c>
      <c r="I3696" t="str">
        <f>"063417013143"</f>
        <v>063417013143</v>
      </c>
    </row>
    <row r="3697" spans="1:9" x14ac:dyDescent="0.25">
      <c r="A3697" t="s">
        <v>3292</v>
      </c>
      <c r="B3697" t="s">
        <v>13</v>
      </c>
      <c r="C3697">
        <v>31</v>
      </c>
      <c r="D3697">
        <v>34.01</v>
      </c>
      <c r="E3697" t="s">
        <v>17</v>
      </c>
      <c r="F3697">
        <v>25.45</v>
      </c>
      <c r="G3697">
        <v>24.4</v>
      </c>
      <c r="H3697" t="s">
        <v>17</v>
      </c>
      <c r="I3697" t="str">
        <f>"062271003048"</f>
        <v>062271003048</v>
      </c>
    </row>
    <row r="3698" spans="1:9" x14ac:dyDescent="0.25">
      <c r="A3698" t="s">
        <v>3293</v>
      </c>
      <c r="B3698" t="s">
        <v>13</v>
      </c>
      <c r="C3698">
        <v>19</v>
      </c>
      <c r="D3698">
        <v>18.510000000000002</v>
      </c>
      <c r="E3698" t="s">
        <v>17</v>
      </c>
      <c r="F3698">
        <v>21.32</v>
      </c>
      <c r="G3698">
        <v>24.04</v>
      </c>
      <c r="H3698" t="s">
        <v>17</v>
      </c>
      <c r="I3698" t="str">
        <f>"062271003049"</f>
        <v>062271003049</v>
      </c>
    </row>
    <row r="3699" spans="1:9" x14ac:dyDescent="0.25">
      <c r="A3699" t="s">
        <v>3294</v>
      </c>
      <c r="B3699" t="s">
        <v>13</v>
      </c>
      <c r="C3699">
        <v>22.66</v>
      </c>
      <c r="D3699">
        <v>25.66</v>
      </c>
      <c r="E3699" t="s">
        <v>17</v>
      </c>
      <c r="F3699">
        <v>23.3</v>
      </c>
      <c r="G3699">
        <v>20.97</v>
      </c>
      <c r="H3699" t="s">
        <v>17</v>
      </c>
      <c r="I3699" t="str">
        <f>"060015310938"</f>
        <v>060015310938</v>
      </c>
    </row>
    <row r="3700" spans="1:9" x14ac:dyDescent="0.25">
      <c r="A3700" t="s">
        <v>3295</v>
      </c>
      <c r="B3700" t="s">
        <v>13</v>
      </c>
      <c r="C3700">
        <v>3.2</v>
      </c>
      <c r="D3700">
        <v>2</v>
      </c>
      <c r="E3700" t="s">
        <v>17</v>
      </c>
      <c r="F3700">
        <v>13.13</v>
      </c>
      <c r="G3700">
        <v>24.5</v>
      </c>
      <c r="H3700" t="s">
        <v>17</v>
      </c>
      <c r="I3700" t="str">
        <f>"062127009563"</f>
        <v>062127009563</v>
      </c>
    </row>
    <row r="3701" spans="1:9" x14ac:dyDescent="0.25">
      <c r="A3701" t="s">
        <v>3295</v>
      </c>
      <c r="B3701" t="s">
        <v>13</v>
      </c>
      <c r="C3701">
        <v>87.38</v>
      </c>
      <c r="D3701">
        <v>87.14</v>
      </c>
      <c r="E3701" t="s">
        <v>17</v>
      </c>
      <c r="F3701">
        <v>23.98</v>
      </c>
      <c r="G3701">
        <v>24.39</v>
      </c>
      <c r="H3701" t="s">
        <v>17</v>
      </c>
      <c r="I3701" t="str">
        <f>"062211002626"</f>
        <v>062211002626</v>
      </c>
    </row>
    <row r="3702" spans="1:9" x14ac:dyDescent="0.25">
      <c r="A3702" t="s">
        <v>3296</v>
      </c>
      <c r="B3702" t="s">
        <v>13</v>
      </c>
      <c r="C3702">
        <v>162.51</v>
      </c>
      <c r="D3702">
        <v>173</v>
      </c>
      <c r="E3702" t="s">
        <v>17</v>
      </c>
      <c r="F3702">
        <v>25.99</v>
      </c>
      <c r="G3702">
        <v>24.28</v>
      </c>
      <c r="H3702" t="s">
        <v>17</v>
      </c>
      <c r="I3702" t="str">
        <f>"062271003050"</f>
        <v>062271003050</v>
      </c>
    </row>
    <row r="3703" spans="1:9" x14ac:dyDescent="0.25">
      <c r="A3703" t="s">
        <v>3297</v>
      </c>
      <c r="B3703" t="s">
        <v>13</v>
      </c>
      <c r="C3703">
        <v>47.07</v>
      </c>
      <c r="D3703">
        <v>49.65</v>
      </c>
      <c r="E3703" t="s">
        <v>17</v>
      </c>
      <c r="F3703">
        <v>22.52</v>
      </c>
      <c r="G3703">
        <v>22.11</v>
      </c>
      <c r="H3703" t="s">
        <v>17</v>
      </c>
      <c r="I3703" t="str">
        <f>"061185001314"</f>
        <v>061185001314</v>
      </c>
    </row>
    <row r="3704" spans="1:9" x14ac:dyDescent="0.25">
      <c r="A3704" t="s">
        <v>3298</v>
      </c>
      <c r="B3704" t="s">
        <v>13</v>
      </c>
      <c r="C3704">
        <v>3.75</v>
      </c>
      <c r="D3704">
        <v>3.75</v>
      </c>
      <c r="E3704" t="s">
        <v>17</v>
      </c>
      <c r="F3704">
        <v>20.8</v>
      </c>
      <c r="G3704">
        <v>21.07</v>
      </c>
      <c r="H3704" t="s">
        <v>17</v>
      </c>
      <c r="I3704" t="str">
        <f>"063036004735"</f>
        <v>063036004735</v>
      </c>
    </row>
    <row r="3705" spans="1:9" x14ac:dyDescent="0.25">
      <c r="A3705" t="s">
        <v>3299</v>
      </c>
      <c r="B3705" t="s">
        <v>13</v>
      </c>
      <c r="C3705">
        <v>16.5</v>
      </c>
      <c r="D3705">
        <v>19.829999999999998</v>
      </c>
      <c r="E3705" t="s">
        <v>17</v>
      </c>
      <c r="F3705">
        <v>17.64</v>
      </c>
      <c r="G3705">
        <v>18.309999999999999</v>
      </c>
      <c r="H3705" t="s">
        <v>17</v>
      </c>
      <c r="I3705" t="str">
        <f>"061495002880"</f>
        <v>061495002880</v>
      </c>
    </row>
    <row r="3706" spans="1:9" x14ac:dyDescent="0.25">
      <c r="A3706" t="s">
        <v>3299</v>
      </c>
      <c r="B3706" t="s">
        <v>13</v>
      </c>
      <c r="C3706">
        <v>13.02</v>
      </c>
      <c r="D3706">
        <v>16</v>
      </c>
      <c r="E3706" t="s">
        <v>17</v>
      </c>
      <c r="F3706">
        <v>25.58</v>
      </c>
      <c r="G3706">
        <v>24.31</v>
      </c>
      <c r="H3706" t="s">
        <v>17</v>
      </c>
      <c r="I3706" t="str">
        <f>"063462005781"</f>
        <v>063462005781</v>
      </c>
    </row>
    <row r="3707" spans="1:9" x14ac:dyDescent="0.25">
      <c r="A3707" t="s">
        <v>3300</v>
      </c>
      <c r="B3707" t="s">
        <v>13</v>
      </c>
      <c r="C3707">
        <v>30.83</v>
      </c>
      <c r="D3707">
        <v>31</v>
      </c>
      <c r="E3707" t="s">
        <v>17</v>
      </c>
      <c r="F3707">
        <v>23.58</v>
      </c>
      <c r="G3707">
        <v>22.42</v>
      </c>
      <c r="H3707" t="s">
        <v>17</v>
      </c>
      <c r="I3707" t="str">
        <f>"060939000949"</f>
        <v>060939000949</v>
      </c>
    </row>
    <row r="3708" spans="1:9" x14ac:dyDescent="0.25">
      <c r="A3708" t="s">
        <v>3301</v>
      </c>
      <c r="B3708" t="s">
        <v>13</v>
      </c>
      <c r="C3708">
        <v>70.27</v>
      </c>
      <c r="D3708" t="s">
        <v>14</v>
      </c>
      <c r="E3708" t="s">
        <v>14</v>
      </c>
      <c r="F3708">
        <v>24.65</v>
      </c>
      <c r="G3708" t="s">
        <v>14</v>
      </c>
      <c r="H3708" t="s">
        <v>14</v>
      </c>
      <c r="I3708" t="str">
        <f>"060939012987"</f>
        <v>060939012987</v>
      </c>
    </row>
    <row r="3709" spans="1:9" x14ac:dyDescent="0.25">
      <c r="A3709" t="s">
        <v>3302</v>
      </c>
      <c r="B3709" t="s">
        <v>13</v>
      </c>
      <c r="C3709">
        <v>25</v>
      </c>
      <c r="D3709">
        <v>22.02</v>
      </c>
      <c r="E3709" t="s">
        <v>17</v>
      </c>
      <c r="F3709">
        <v>20.56</v>
      </c>
      <c r="G3709">
        <v>24.3</v>
      </c>
      <c r="H3709" t="s">
        <v>17</v>
      </c>
      <c r="I3709" t="str">
        <f>"062271003051"</f>
        <v>062271003051</v>
      </c>
    </row>
    <row r="3710" spans="1:9" x14ac:dyDescent="0.25">
      <c r="A3710" t="s">
        <v>3303</v>
      </c>
      <c r="B3710" t="s">
        <v>13</v>
      </c>
      <c r="C3710">
        <v>30</v>
      </c>
      <c r="D3710">
        <v>30</v>
      </c>
      <c r="E3710" t="s">
        <v>17</v>
      </c>
      <c r="F3710">
        <v>24.83</v>
      </c>
      <c r="G3710">
        <v>24.6</v>
      </c>
      <c r="H3710" t="s">
        <v>17</v>
      </c>
      <c r="I3710" t="str">
        <f>"060002503573"</f>
        <v>060002503573</v>
      </c>
    </row>
    <row r="3711" spans="1:9" x14ac:dyDescent="0.25">
      <c r="A3711" t="s">
        <v>3303</v>
      </c>
      <c r="B3711" t="s">
        <v>13</v>
      </c>
      <c r="C3711">
        <v>15.5</v>
      </c>
      <c r="D3711">
        <v>16</v>
      </c>
      <c r="E3711" t="s">
        <v>17</v>
      </c>
      <c r="F3711">
        <v>25.23</v>
      </c>
      <c r="G3711">
        <v>25.13</v>
      </c>
      <c r="H3711" t="s">
        <v>17</v>
      </c>
      <c r="I3711" t="str">
        <f>"060006501237"</f>
        <v>060006501237</v>
      </c>
    </row>
    <row r="3712" spans="1:9" x14ac:dyDescent="0.25">
      <c r="A3712" t="s">
        <v>3304</v>
      </c>
      <c r="B3712" t="s">
        <v>13</v>
      </c>
      <c r="C3712">
        <v>17.48</v>
      </c>
      <c r="D3712">
        <v>19.100000000000001</v>
      </c>
      <c r="E3712" t="s">
        <v>17</v>
      </c>
      <c r="F3712">
        <v>25.46</v>
      </c>
      <c r="G3712">
        <v>23.56</v>
      </c>
      <c r="H3712" t="s">
        <v>17</v>
      </c>
      <c r="I3712" t="str">
        <f>"063261001130"</f>
        <v>063261001130</v>
      </c>
    </row>
    <row r="3713" spans="1:9" x14ac:dyDescent="0.25">
      <c r="A3713" t="s">
        <v>3305</v>
      </c>
      <c r="B3713" t="s">
        <v>13</v>
      </c>
      <c r="C3713">
        <v>34</v>
      </c>
      <c r="D3713">
        <v>35</v>
      </c>
      <c r="E3713" t="s">
        <v>17</v>
      </c>
      <c r="F3713">
        <v>20.149999999999999</v>
      </c>
      <c r="G3713">
        <v>21.11</v>
      </c>
      <c r="H3713" t="s">
        <v>17</v>
      </c>
      <c r="I3713" t="str">
        <f>"061632511364"</f>
        <v>061632511364</v>
      </c>
    </row>
    <row r="3714" spans="1:9" x14ac:dyDescent="0.25">
      <c r="A3714" t="s">
        <v>3306</v>
      </c>
      <c r="B3714" t="s">
        <v>13</v>
      </c>
      <c r="C3714">
        <v>48.15</v>
      </c>
      <c r="D3714">
        <v>34.450000000000003</v>
      </c>
      <c r="E3714" t="s">
        <v>17</v>
      </c>
      <c r="F3714">
        <v>23.93</v>
      </c>
      <c r="G3714">
        <v>24.24</v>
      </c>
      <c r="H3714" t="s">
        <v>17</v>
      </c>
      <c r="I3714" t="str">
        <f>"061336001521"</f>
        <v>061336001521</v>
      </c>
    </row>
    <row r="3715" spans="1:9" x14ac:dyDescent="0.25">
      <c r="A3715" t="s">
        <v>3307</v>
      </c>
      <c r="B3715" t="s">
        <v>13</v>
      </c>
      <c r="C3715">
        <v>42.41</v>
      </c>
      <c r="D3715">
        <v>43.5</v>
      </c>
      <c r="E3715" t="s">
        <v>17</v>
      </c>
      <c r="F3715">
        <v>24.97</v>
      </c>
      <c r="G3715">
        <v>24.62</v>
      </c>
      <c r="H3715" t="s">
        <v>17</v>
      </c>
      <c r="I3715" t="str">
        <f>"063864006482"</f>
        <v>063864006482</v>
      </c>
    </row>
    <row r="3716" spans="1:9" x14ac:dyDescent="0.25">
      <c r="A3716" t="s">
        <v>3308</v>
      </c>
      <c r="B3716" t="s">
        <v>13</v>
      </c>
      <c r="C3716">
        <v>89.76</v>
      </c>
      <c r="D3716">
        <v>88.12</v>
      </c>
      <c r="E3716" t="s">
        <v>17</v>
      </c>
      <c r="F3716">
        <v>23.86</v>
      </c>
      <c r="G3716">
        <v>24.56</v>
      </c>
      <c r="H3716" t="s">
        <v>17</v>
      </c>
      <c r="I3716" t="str">
        <f>"063363006168"</f>
        <v>063363006168</v>
      </c>
    </row>
    <row r="3717" spans="1:9" x14ac:dyDescent="0.25">
      <c r="A3717" t="s">
        <v>3309</v>
      </c>
      <c r="B3717" t="s">
        <v>13</v>
      </c>
      <c r="C3717">
        <v>31</v>
      </c>
      <c r="D3717">
        <v>31.5</v>
      </c>
      <c r="E3717" t="s">
        <v>17</v>
      </c>
      <c r="F3717">
        <v>24.19</v>
      </c>
      <c r="G3717">
        <v>23.68</v>
      </c>
      <c r="H3717" t="s">
        <v>17</v>
      </c>
      <c r="I3717" t="str">
        <f>"061926000992"</f>
        <v>061926000992</v>
      </c>
    </row>
    <row r="3718" spans="1:9" x14ac:dyDescent="0.25">
      <c r="A3718" t="s">
        <v>3310</v>
      </c>
      <c r="B3718" t="s">
        <v>13</v>
      </c>
      <c r="C3718">
        <v>66.66</v>
      </c>
      <c r="D3718">
        <v>68.66</v>
      </c>
      <c r="E3718" t="s">
        <v>17</v>
      </c>
      <c r="F3718">
        <v>25.25</v>
      </c>
      <c r="G3718">
        <v>27.06</v>
      </c>
      <c r="H3718" t="s">
        <v>17</v>
      </c>
      <c r="I3718" t="str">
        <f>"060001708297"</f>
        <v>060001708297</v>
      </c>
    </row>
    <row r="3719" spans="1:9" x14ac:dyDescent="0.25">
      <c r="A3719" t="s">
        <v>3310</v>
      </c>
      <c r="B3719" t="s">
        <v>13</v>
      </c>
      <c r="C3719">
        <v>97.88</v>
      </c>
      <c r="D3719">
        <v>103.36</v>
      </c>
      <c r="E3719" t="s">
        <v>17</v>
      </c>
      <c r="F3719">
        <v>27.44</v>
      </c>
      <c r="G3719">
        <v>26.63</v>
      </c>
      <c r="H3719" t="s">
        <v>17</v>
      </c>
      <c r="I3719" t="str">
        <f>"061623002020"</f>
        <v>061623002020</v>
      </c>
    </row>
    <row r="3720" spans="1:9" x14ac:dyDescent="0.25">
      <c r="A3720" t="s">
        <v>3310</v>
      </c>
      <c r="B3720" t="s">
        <v>13</v>
      </c>
      <c r="C3720">
        <v>47.97</v>
      </c>
      <c r="D3720">
        <v>47.53</v>
      </c>
      <c r="E3720" t="s">
        <v>17</v>
      </c>
      <c r="F3720">
        <v>22.81</v>
      </c>
      <c r="G3720">
        <v>22.41</v>
      </c>
      <c r="H3720" t="s">
        <v>17</v>
      </c>
      <c r="I3720" t="str">
        <f>"060006408426"</f>
        <v>060006408426</v>
      </c>
    </row>
    <row r="3721" spans="1:9" x14ac:dyDescent="0.25">
      <c r="A3721" t="s">
        <v>3311</v>
      </c>
      <c r="B3721" t="s">
        <v>13</v>
      </c>
      <c r="C3721">
        <v>42.8</v>
      </c>
      <c r="D3721">
        <v>42.4</v>
      </c>
      <c r="E3721" t="s">
        <v>17</v>
      </c>
      <c r="F3721">
        <v>21.54</v>
      </c>
      <c r="G3721">
        <v>21.08</v>
      </c>
      <c r="H3721" t="s">
        <v>17</v>
      </c>
      <c r="I3721" t="str">
        <f>"060001308257"</f>
        <v>060001308257</v>
      </c>
    </row>
    <row r="3722" spans="1:9" x14ac:dyDescent="0.25">
      <c r="A3722" t="s">
        <v>3312</v>
      </c>
      <c r="B3722" t="s">
        <v>13</v>
      </c>
      <c r="C3722">
        <v>34</v>
      </c>
      <c r="D3722">
        <v>33</v>
      </c>
      <c r="E3722" t="s">
        <v>17</v>
      </c>
      <c r="F3722">
        <v>28.85</v>
      </c>
      <c r="G3722">
        <v>28.67</v>
      </c>
      <c r="H3722" t="s">
        <v>17</v>
      </c>
      <c r="I3722" t="str">
        <f>"061605012269"</f>
        <v>061605012269</v>
      </c>
    </row>
    <row r="3723" spans="1:9" x14ac:dyDescent="0.25">
      <c r="A3723" t="s">
        <v>3313</v>
      </c>
      <c r="B3723" t="s">
        <v>13</v>
      </c>
      <c r="C3723">
        <v>45.83</v>
      </c>
      <c r="D3723">
        <v>32.01</v>
      </c>
      <c r="E3723" t="s">
        <v>17</v>
      </c>
      <c r="F3723">
        <v>25.97</v>
      </c>
      <c r="G3723">
        <v>37.39</v>
      </c>
      <c r="H3723" t="s">
        <v>17</v>
      </c>
      <c r="I3723" t="str">
        <f>"060903012015"</f>
        <v>060903012015</v>
      </c>
    </row>
    <row r="3724" spans="1:9" x14ac:dyDescent="0.25">
      <c r="A3724" t="s">
        <v>3314</v>
      </c>
      <c r="B3724" t="s">
        <v>13</v>
      </c>
      <c r="C3724">
        <v>15</v>
      </c>
      <c r="D3724">
        <v>14.5</v>
      </c>
      <c r="E3724" t="s">
        <v>17</v>
      </c>
      <c r="F3724">
        <v>24.2</v>
      </c>
      <c r="G3724">
        <v>24.97</v>
      </c>
      <c r="H3724" t="s">
        <v>17</v>
      </c>
      <c r="I3724" t="str">
        <f>"060005201479"</f>
        <v>060005201479</v>
      </c>
    </row>
    <row r="3725" spans="1:9" x14ac:dyDescent="0.25">
      <c r="A3725" t="s">
        <v>3314</v>
      </c>
      <c r="B3725" t="s">
        <v>13</v>
      </c>
      <c r="C3725">
        <v>36</v>
      </c>
      <c r="D3725">
        <v>38.799999999999997</v>
      </c>
      <c r="E3725" t="s">
        <v>17</v>
      </c>
      <c r="F3725">
        <v>29.72</v>
      </c>
      <c r="G3725">
        <v>28.04</v>
      </c>
      <c r="H3725" t="s">
        <v>17</v>
      </c>
      <c r="I3725" t="str">
        <f>"062250002718"</f>
        <v>062250002718</v>
      </c>
    </row>
    <row r="3726" spans="1:9" x14ac:dyDescent="0.25">
      <c r="A3726" t="s">
        <v>3314</v>
      </c>
      <c r="B3726" t="s">
        <v>13</v>
      </c>
      <c r="C3726">
        <v>26</v>
      </c>
      <c r="D3726">
        <v>28</v>
      </c>
      <c r="E3726" t="s">
        <v>17</v>
      </c>
      <c r="F3726">
        <v>23.15</v>
      </c>
      <c r="G3726">
        <v>24.46</v>
      </c>
      <c r="H3726" t="s">
        <v>17</v>
      </c>
      <c r="I3726" t="str">
        <f>"062271003053"</f>
        <v>062271003053</v>
      </c>
    </row>
    <row r="3727" spans="1:9" x14ac:dyDescent="0.25">
      <c r="A3727" t="s">
        <v>3314</v>
      </c>
      <c r="B3727" t="s">
        <v>13</v>
      </c>
      <c r="C3727">
        <v>26</v>
      </c>
      <c r="D3727">
        <v>27</v>
      </c>
      <c r="E3727" t="s">
        <v>17</v>
      </c>
      <c r="F3727">
        <v>24.85</v>
      </c>
      <c r="G3727">
        <v>23.07</v>
      </c>
      <c r="H3727" t="s">
        <v>17</v>
      </c>
      <c r="I3727" t="str">
        <f>"063570006091"</f>
        <v>063570006091</v>
      </c>
    </row>
    <row r="3728" spans="1:9" x14ac:dyDescent="0.25">
      <c r="A3728" t="s">
        <v>3314</v>
      </c>
      <c r="B3728" t="s">
        <v>13</v>
      </c>
      <c r="C3728">
        <v>29.13</v>
      </c>
      <c r="D3728">
        <v>29.23</v>
      </c>
      <c r="E3728" t="s">
        <v>17</v>
      </c>
      <c r="F3728">
        <v>20.97</v>
      </c>
      <c r="G3728">
        <v>20.46</v>
      </c>
      <c r="H3728" t="s">
        <v>17</v>
      </c>
      <c r="I3728" t="str">
        <f>"061569001980"</f>
        <v>061569001980</v>
      </c>
    </row>
    <row r="3729" spans="1:9" x14ac:dyDescent="0.25">
      <c r="A3729" t="s">
        <v>3314</v>
      </c>
      <c r="B3729" t="s">
        <v>13</v>
      </c>
      <c r="C3729">
        <v>17.3</v>
      </c>
      <c r="D3729">
        <v>17.3</v>
      </c>
      <c r="E3729" t="s">
        <v>17</v>
      </c>
      <c r="F3729">
        <v>23.24</v>
      </c>
      <c r="G3729">
        <v>22.77</v>
      </c>
      <c r="H3729" t="s">
        <v>17</v>
      </c>
      <c r="I3729" t="str">
        <f>"063023004717"</f>
        <v>063023004717</v>
      </c>
    </row>
    <row r="3730" spans="1:9" x14ac:dyDescent="0.25">
      <c r="A3730" t="s">
        <v>3314</v>
      </c>
      <c r="B3730" t="s">
        <v>13</v>
      </c>
      <c r="C3730">
        <v>22</v>
      </c>
      <c r="D3730">
        <v>25</v>
      </c>
      <c r="E3730" t="s">
        <v>17</v>
      </c>
      <c r="F3730">
        <v>27.45</v>
      </c>
      <c r="G3730">
        <v>24.2</v>
      </c>
      <c r="H3730" t="s">
        <v>17</v>
      </c>
      <c r="I3730" t="str">
        <f>"063255005032"</f>
        <v>063255005032</v>
      </c>
    </row>
    <row r="3731" spans="1:9" x14ac:dyDescent="0.25">
      <c r="A3731" t="s">
        <v>3314</v>
      </c>
      <c r="B3731" t="s">
        <v>13</v>
      </c>
      <c r="C3731">
        <v>25.35</v>
      </c>
      <c r="D3731">
        <v>23.75</v>
      </c>
      <c r="E3731" t="s">
        <v>17</v>
      </c>
      <c r="F3731">
        <v>23.75</v>
      </c>
      <c r="G3731">
        <v>24.21</v>
      </c>
      <c r="H3731" t="s">
        <v>17</v>
      </c>
      <c r="I3731" t="str">
        <f>"063459005714"</f>
        <v>063459005714</v>
      </c>
    </row>
    <row r="3732" spans="1:9" x14ac:dyDescent="0.25">
      <c r="A3732" t="s">
        <v>3314</v>
      </c>
      <c r="B3732" t="s">
        <v>13</v>
      </c>
      <c r="C3732">
        <v>20.6</v>
      </c>
      <c r="D3732">
        <v>21.3</v>
      </c>
      <c r="E3732" t="s">
        <v>17</v>
      </c>
      <c r="F3732">
        <v>24.66</v>
      </c>
      <c r="G3732">
        <v>23.43</v>
      </c>
      <c r="H3732" t="s">
        <v>17</v>
      </c>
      <c r="I3732" t="str">
        <f>"060285007492"</f>
        <v>060285007492</v>
      </c>
    </row>
    <row r="3733" spans="1:9" x14ac:dyDescent="0.25">
      <c r="A3733" t="s">
        <v>3314</v>
      </c>
      <c r="B3733" t="s">
        <v>13</v>
      </c>
      <c r="C3733">
        <v>18.600000000000001</v>
      </c>
      <c r="D3733">
        <v>17.53</v>
      </c>
      <c r="E3733" t="s">
        <v>17</v>
      </c>
      <c r="F3733">
        <v>22.58</v>
      </c>
      <c r="G3733">
        <v>22.08</v>
      </c>
      <c r="H3733" t="s">
        <v>17</v>
      </c>
      <c r="I3733" t="str">
        <f>"063471007485"</f>
        <v>063471007485</v>
      </c>
    </row>
    <row r="3734" spans="1:9" x14ac:dyDescent="0.25">
      <c r="A3734" t="s">
        <v>3315</v>
      </c>
      <c r="B3734" t="s">
        <v>13</v>
      </c>
      <c r="C3734">
        <v>31.9</v>
      </c>
      <c r="D3734">
        <v>29.9</v>
      </c>
      <c r="E3734" t="s">
        <v>17</v>
      </c>
      <c r="F3734">
        <v>20.38</v>
      </c>
      <c r="G3734">
        <v>20</v>
      </c>
      <c r="H3734" t="s">
        <v>17</v>
      </c>
      <c r="I3734" t="str">
        <f>"063432005469"</f>
        <v>063432005469</v>
      </c>
    </row>
    <row r="3735" spans="1:9" x14ac:dyDescent="0.25">
      <c r="A3735" t="s">
        <v>3316</v>
      </c>
      <c r="B3735" t="s">
        <v>13</v>
      </c>
      <c r="C3735">
        <v>92.61</v>
      </c>
      <c r="D3735">
        <v>90.41</v>
      </c>
      <c r="E3735" t="s">
        <v>17</v>
      </c>
      <c r="F3735">
        <v>20.78</v>
      </c>
      <c r="G3735">
        <v>22.4</v>
      </c>
      <c r="H3735" t="s">
        <v>17</v>
      </c>
      <c r="I3735" t="str">
        <f>"060133201987"</f>
        <v>060133201987</v>
      </c>
    </row>
    <row r="3736" spans="1:9" x14ac:dyDescent="0.25">
      <c r="A3736" t="s">
        <v>3317</v>
      </c>
      <c r="B3736" t="s">
        <v>13</v>
      </c>
      <c r="C3736">
        <v>27.5</v>
      </c>
      <c r="D3736">
        <v>27</v>
      </c>
      <c r="E3736" t="s">
        <v>17</v>
      </c>
      <c r="F3736">
        <v>23.38</v>
      </c>
      <c r="G3736">
        <v>23.26</v>
      </c>
      <c r="H3736" t="s">
        <v>17</v>
      </c>
      <c r="I3736" t="str">
        <f>"062271003054"</f>
        <v>062271003054</v>
      </c>
    </row>
    <row r="3737" spans="1:9" x14ac:dyDescent="0.25">
      <c r="A3737" t="s">
        <v>3318</v>
      </c>
      <c r="B3737" t="s">
        <v>13</v>
      </c>
      <c r="C3737">
        <v>23</v>
      </c>
      <c r="D3737">
        <v>22</v>
      </c>
      <c r="E3737" t="s">
        <v>17</v>
      </c>
      <c r="F3737">
        <v>27.39</v>
      </c>
      <c r="G3737">
        <v>27.05</v>
      </c>
      <c r="H3737" t="s">
        <v>17</v>
      </c>
      <c r="I3737" t="str">
        <f>"061296010609"</f>
        <v>061296010609</v>
      </c>
    </row>
    <row r="3738" spans="1:9" x14ac:dyDescent="0.25">
      <c r="A3738" t="s">
        <v>3319</v>
      </c>
      <c r="B3738" t="s">
        <v>13</v>
      </c>
      <c r="C3738">
        <v>28</v>
      </c>
      <c r="D3738">
        <v>27</v>
      </c>
      <c r="E3738" t="s">
        <v>17</v>
      </c>
      <c r="F3738">
        <v>23.07</v>
      </c>
      <c r="G3738">
        <v>23.67</v>
      </c>
      <c r="H3738" t="s">
        <v>17</v>
      </c>
      <c r="I3738" t="str">
        <f>"064119006818"</f>
        <v>064119006818</v>
      </c>
    </row>
    <row r="3739" spans="1:9" x14ac:dyDescent="0.25">
      <c r="A3739" t="s">
        <v>3320</v>
      </c>
      <c r="B3739" t="s">
        <v>13</v>
      </c>
      <c r="C3739">
        <v>24</v>
      </c>
      <c r="D3739">
        <v>19.690000000000001</v>
      </c>
      <c r="E3739" t="s">
        <v>17</v>
      </c>
      <c r="F3739">
        <v>18.670000000000002</v>
      </c>
      <c r="G3739">
        <v>19.399999999999999</v>
      </c>
      <c r="H3739" t="s">
        <v>17</v>
      </c>
      <c r="I3739" t="str">
        <f>"061578002267"</f>
        <v>061578002267</v>
      </c>
    </row>
    <row r="3740" spans="1:9" x14ac:dyDescent="0.25">
      <c r="A3740" t="s">
        <v>3321</v>
      </c>
      <c r="B3740" t="s">
        <v>13</v>
      </c>
      <c r="C3740">
        <v>15</v>
      </c>
      <c r="D3740">
        <v>9.6</v>
      </c>
      <c r="E3740" t="s">
        <v>17</v>
      </c>
      <c r="F3740">
        <v>17.27</v>
      </c>
      <c r="G3740">
        <v>26.56</v>
      </c>
      <c r="H3740" t="s">
        <v>17</v>
      </c>
      <c r="I3740" t="str">
        <f>"062805004269"</f>
        <v>062805004269</v>
      </c>
    </row>
    <row r="3741" spans="1:9" x14ac:dyDescent="0.25">
      <c r="A3741" t="s">
        <v>3322</v>
      </c>
      <c r="B3741" t="s">
        <v>13</v>
      </c>
      <c r="C3741" t="s">
        <v>17</v>
      </c>
      <c r="D3741" t="s">
        <v>14</v>
      </c>
      <c r="E3741" t="s">
        <v>14</v>
      </c>
      <c r="F3741" t="s">
        <v>17</v>
      </c>
      <c r="G3741" t="s">
        <v>14</v>
      </c>
      <c r="H3741" t="s">
        <v>14</v>
      </c>
      <c r="I3741" t="str">
        <f>"061578013228"</f>
        <v>061578013228</v>
      </c>
    </row>
    <row r="3742" spans="1:9" x14ac:dyDescent="0.25">
      <c r="A3742" t="s">
        <v>3323</v>
      </c>
      <c r="B3742" t="s">
        <v>13</v>
      </c>
      <c r="C3742">
        <v>19</v>
      </c>
      <c r="D3742">
        <v>20</v>
      </c>
      <c r="E3742" t="s">
        <v>17</v>
      </c>
      <c r="F3742">
        <v>20.53</v>
      </c>
      <c r="G3742">
        <v>19.399999999999999</v>
      </c>
      <c r="H3742" t="s">
        <v>17</v>
      </c>
      <c r="I3742" t="str">
        <f>"063441005620"</f>
        <v>063441005620</v>
      </c>
    </row>
    <row r="3743" spans="1:9" x14ac:dyDescent="0.25">
      <c r="A3743" t="s">
        <v>3324</v>
      </c>
      <c r="B3743" t="s">
        <v>13</v>
      </c>
      <c r="C3743" t="s">
        <v>17</v>
      </c>
      <c r="D3743">
        <v>4</v>
      </c>
      <c r="E3743" t="s">
        <v>17</v>
      </c>
      <c r="F3743" t="s">
        <v>17</v>
      </c>
      <c r="G3743">
        <v>18.25</v>
      </c>
      <c r="H3743" t="s">
        <v>17</v>
      </c>
      <c r="I3743" t="str">
        <f>"061581012452"</f>
        <v>061581012452</v>
      </c>
    </row>
    <row r="3744" spans="1:9" x14ac:dyDescent="0.25">
      <c r="A3744" t="s">
        <v>3325</v>
      </c>
      <c r="B3744" t="s">
        <v>13</v>
      </c>
      <c r="C3744" t="s">
        <v>17</v>
      </c>
      <c r="D3744">
        <v>4</v>
      </c>
      <c r="E3744" t="s">
        <v>17</v>
      </c>
      <c r="F3744" t="s">
        <v>17</v>
      </c>
      <c r="G3744">
        <v>12.75</v>
      </c>
      <c r="H3744" t="s">
        <v>17</v>
      </c>
      <c r="I3744" t="str">
        <f>"061581001999"</f>
        <v>061581001999</v>
      </c>
    </row>
    <row r="3745" spans="1:9" x14ac:dyDescent="0.25">
      <c r="A3745" t="s">
        <v>3326</v>
      </c>
      <c r="B3745" t="s">
        <v>13</v>
      </c>
      <c r="C3745">
        <v>28</v>
      </c>
      <c r="D3745">
        <v>28</v>
      </c>
      <c r="E3745" t="s">
        <v>17</v>
      </c>
      <c r="F3745">
        <v>21.82</v>
      </c>
      <c r="G3745">
        <v>22.25</v>
      </c>
      <c r="H3745" t="s">
        <v>17</v>
      </c>
      <c r="I3745" t="str">
        <f>"062271005887"</f>
        <v>062271005887</v>
      </c>
    </row>
    <row r="3746" spans="1:9" x14ac:dyDescent="0.25">
      <c r="A3746" t="s">
        <v>3327</v>
      </c>
      <c r="B3746" t="s">
        <v>13</v>
      </c>
      <c r="C3746">
        <v>1</v>
      </c>
      <c r="D3746">
        <v>1</v>
      </c>
      <c r="E3746" t="s">
        <v>17</v>
      </c>
      <c r="F3746" t="s">
        <v>14</v>
      </c>
      <c r="G3746">
        <v>1</v>
      </c>
      <c r="H3746" t="s">
        <v>17</v>
      </c>
      <c r="I3746" t="str">
        <f>"061584010684"</f>
        <v>061584010684</v>
      </c>
    </row>
    <row r="3747" spans="1:9" x14ac:dyDescent="0.25">
      <c r="A3747" t="s">
        <v>3328</v>
      </c>
      <c r="B3747" t="s">
        <v>13</v>
      </c>
      <c r="C3747">
        <v>21</v>
      </c>
      <c r="D3747">
        <v>22</v>
      </c>
      <c r="E3747" t="s">
        <v>17</v>
      </c>
      <c r="F3747">
        <v>18.329999999999998</v>
      </c>
      <c r="G3747">
        <v>19.36</v>
      </c>
      <c r="H3747" t="s">
        <v>17</v>
      </c>
      <c r="I3747" t="str">
        <f>"061584002000"</f>
        <v>061584002000</v>
      </c>
    </row>
    <row r="3748" spans="1:9" x14ac:dyDescent="0.25">
      <c r="A3748" t="s">
        <v>3329</v>
      </c>
      <c r="B3748" t="s">
        <v>13</v>
      </c>
      <c r="C3748">
        <v>2</v>
      </c>
      <c r="D3748" t="s">
        <v>14</v>
      </c>
      <c r="E3748" t="s">
        <v>14</v>
      </c>
      <c r="F3748">
        <v>14.5</v>
      </c>
      <c r="G3748" t="s">
        <v>14</v>
      </c>
      <c r="H3748" t="s">
        <v>14</v>
      </c>
      <c r="I3748" t="str">
        <f>"061584013100"</f>
        <v>061584013100</v>
      </c>
    </row>
    <row r="3749" spans="1:9" x14ac:dyDescent="0.25">
      <c r="A3749" t="s">
        <v>3330</v>
      </c>
      <c r="B3749" t="s">
        <v>13</v>
      </c>
      <c r="C3749">
        <v>1.8</v>
      </c>
      <c r="D3749">
        <v>2</v>
      </c>
      <c r="E3749" t="s">
        <v>17</v>
      </c>
      <c r="F3749">
        <v>11.67</v>
      </c>
      <c r="G3749">
        <v>14</v>
      </c>
      <c r="H3749" t="s">
        <v>17</v>
      </c>
      <c r="I3749" t="str">
        <f>"061587002002"</f>
        <v>061587002002</v>
      </c>
    </row>
    <row r="3750" spans="1:9" x14ac:dyDescent="0.25">
      <c r="A3750" t="s">
        <v>3331</v>
      </c>
      <c r="B3750" t="s">
        <v>13</v>
      </c>
      <c r="C3750">
        <v>35.409999999999997</v>
      </c>
      <c r="D3750">
        <v>36.549999999999997</v>
      </c>
      <c r="E3750" t="s">
        <v>17</v>
      </c>
      <c r="F3750">
        <v>19.37</v>
      </c>
      <c r="G3750">
        <v>18.39</v>
      </c>
      <c r="H3750" t="s">
        <v>17</v>
      </c>
      <c r="I3750" t="str">
        <f>"064347007033"</f>
        <v>064347007033</v>
      </c>
    </row>
    <row r="3751" spans="1:9" x14ac:dyDescent="0.25">
      <c r="A3751" t="s">
        <v>3332</v>
      </c>
      <c r="B3751" t="s">
        <v>13</v>
      </c>
      <c r="C3751">
        <v>12</v>
      </c>
      <c r="D3751">
        <v>12</v>
      </c>
      <c r="E3751" t="s">
        <v>17</v>
      </c>
      <c r="F3751">
        <v>21.67</v>
      </c>
      <c r="G3751">
        <v>21.92</v>
      </c>
      <c r="H3751" t="s">
        <v>17</v>
      </c>
      <c r="I3751" t="str">
        <f>"063003004699"</f>
        <v>063003004699</v>
      </c>
    </row>
    <row r="3752" spans="1:9" x14ac:dyDescent="0.25">
      <c r="A3752" t="s">
        <v>3333</v>
      </c>
      <c r="B3752" t="s">
        <v>13</v>
      </c>
      <c r="C3752">
        <v>28.32</v>
      </c>
      <c r="D3752">
        <v>29.72</v>
      </c>
      <c r="E3752" t="s">
        <v>17</v>
      </c>
      <c r="F3752">
        <v>26.77</v>
      </c>
      <c r="G3752">
        <v>26.04</v>
      </c>
      <c r="H3752" t="s">
        <v>17</v>
      </c>
      <c r="I3752" t="str">
        <f>"063459005715"</f>
        <v>063459005715</v>
      </c>
    </row>
    <row r="3753" spans="1:9" x14ac:dyDescent="0.25">
      <c r="A3753" t="s">
        <v>3334</v>
      </c>
      <c r="B3753" t="s">
        <v>13</v>
      </c>
      <c r="C3753">
        <v>26.6</v>
      </c>
      <c r="D3753">
        <v>27</v>
      </c>
      <c r="E3753" t="s">
        <v>17</v>
      </c>
      <c r="F3753">
        <v>22.86</v>
      </c>
      <c r="G3753">
        <v>23</v>
      </c>
      <c r="H3753" t="s">
        <v>17</v>
      </c>
      <c r="I3753" t="str">
        <f>"061632502046"</f>
        <v>061632502046</v>
      </c>
    </row>
    <row r="3754" spans="1:9" x14ac:dyDescent="0.25">
      <c r="A3754" t="s">
        <v>3335</v>
      </c>
      <c r="B3754" t="s">
        <v>13</v>
      </c>
      <c r="C3754" t="s">
        <v>17</v>
      </c>
      <c r="D3754" t="s">
        <v>17</v>
      </c>
      <c r="E3754" t="s">
        <v>17</v>
      </c>
      <c r="F3754" t="s">
        <v>17</v>
      </c>
      <c r="G3754" t="s">
        <v>17</v>
      </c>
      <c r="H3754" t="s">
        <v>17</v>
      </c>
      <c r="I3754" t="str">
        <f>"063852002231"</f>
        <v>063852002231</v>
      </c>
    </row>
    <row r="3755" spans="1:9" x14ac:dyDescent="0.25">
      <c r="A3755" t="s">
        <v>3336</v>
      </c>
      <c r="B3755" t="s">
        <v>13</v>
      </c>
      <c r="C3755">
        <v>132.43</v>
      </c>
      <c r="D3755">
        <v>131.03</v>
      </c>
      <c r="E3755" t="s">
        <v>17</v>
      </c>
      <c r="F3755">
        <v>27.3</v>
      </c>
      <c r="G3755">
        <v>26.47</v>
      </c>
      <c r="H3755" t="s">
        <v>17</v>
      </c>
      <c r="I3755" t="str">
        <f>"060002811038"</f>
        <v>060002811038</v>
      </c>
    </row>
    <row r="3756" spans="1:9" x14ac:dyDescent="0.25">
      <c r="A3756" t="s">
        <v>3337</v>
      </c>
      <c r="B3756" t="s">
        <v>13</v>
      </c>
      <c r="C3756">
        <v>6</v>
      </c>
      <c r="D3756">
        <v>6</v>
      </c>
      <c r="E3756" t="s">
        <v>17</v>
      </c>
      <c r="F3756">
        <v>11.67</v>
      </c>
      <c r="G3756">
        <v>11</v>
      </c>
      <c r="H3756" t="s">
        <v>17</v>
      </c>
      <c r="I3756" t="str">
        <f>"061495012116"</f>
        <v>061495012116</v>
      </c>
    </row>
    <row r="3757" spans="1:9" x14ac:dyDescent="0.25">
      <c r="A3757" t="s">
        <v>3338</v>
      </c>
      <c r="B3757" t="s">
        <v>13</v>
      </c>
      <c r="C3757">
        <v>34.200000000000003</v>
      </c>
      <c r="D3757">
        <v>32.700000000000003</v>
      </c>
      <c r="E3757" t="s">
        <v>17</v>
      </c>
      <c r="F3757">
        <v>21.96</v>
      </c>
      <c r="G3757">
        <v>20.73</v>
      </c>
      <c r="H3757" t="s">
        <v>17</v>
      </c>
      <c r="I3757" t="str">
        <f>"069104112249"</f>
        <v>069104112249</v>
      </c>
    </row>
    <row r="3758" spans="1:9" x14ac:dyDescent="0.25">
      <c r="A3758" t="s">
        <v>3339</v>
      </c>
      <c r="B3758" t="s">
        <v>13</v>
      </c>
      <c r="C3758">
        <v>25.03</v>
      </c>
      <c r="D3758">
        <v>19.53</v>
      </c>
      <c r="E3758" t="s">
        <v>14</v>
      </c>
      <c r="F3758">
        <v>22.25</v>
      </c>
      <c r="G3758">
        <v>22.27</v>
      </c>
      <c r="H3758" t="s">
        <v>14</v>
      </c>
      <c r="I3758" t="str">
        <f>"062703012945"</f>
        <v>062703012945</v>
      </c>
    </row>
    <row r="3759" spans="1:9" x14ac:dyDescent="0.25">
      <c r="A3759" t="s">
        <v>3340</v>
      </c>
      <c r="B3759" t="s">
        <v>13</v>
      </c>
      <c r="C3759">
        <v>41</v>
      </c>
      <c r="D3759">
        <v>43.5</v>
      </c>
      <c r="E3759" t="s">
        <v>17</v>
      </c>
      <c r="F3759">
        <v>28.32</v>
      </c>
      <c r="G3759">
        <v>28.39</v>
      </c>
      <c r="H3759" t="s">
        <v>17</v>
      </c>
      <c r="I3759" t="str">
        <f>"062361007749"</f>
        <v>062361007749</v>
      </c>
    </row>
    <row r="3760" spans="1:9" x14ac:dyDescent="0.25">
      <c r="A3760" t="s">
        <v>3341</v>
      </c>
      <c r="B3760" t="s">
        <v>13</v>
      </c>
      <c r="C3760">
        <v>14</v>
      </c>
      <c r="D3760">
        <v>12.75</v>
      </c>
      <c r="E3760" t="s">
        <v>17</v>
      </c>
      <c r="F3760">
        <v>27.29</v>
      </c>
      <c r="G3760">
        <v>27.53</v>
      </c>
      <c r="H3760" t="s">
        <v>17</v>
      </c>
      <c r="I3760" t="str">
        <f>"061970002367"</f>
        <v>061970002367</v>
      </c>
    </row>
    <row r="3761" spans="1:9" x14ac:dyDescent="0.25">
      <c r="A3761" t="s">
        <v>3342</v>
      </c>
      <c r="B3761" t="s">
        <v>13</v>
      </c>
      <c r="C3761">
        <v>22.91</v>
      </c>
      <c r="D3761">
        <v>21</v>
      </c>
      <c r="E3761" t="s">
        <v>17</v>
      </c>
      <c r="F3761">
        <v>21.43</v>
      </c>
      <c r="G3761">
        <v>22.76</v>
      </c>
      <c r="H3761" t="s">
        <v>17</v>
      </c>
      <c r="I3761" t="str">
        <f>"061873008302"</f>
        <v>061873008302</v>
      </c>
    </row>
    <row r="3762" spans="1:9" x14ac:dyDescent="0.25">
      <c r="A3762" t="s">
        <v>3343</v>
      </c>
      <c r="B3762" t="s">
        <v>13</v>
      </c>
      <c r="C3762">
        <v>20</v>
      </c>
      <c r="D3762">
        <v>21.2</v>
      </c>
      <c r="E3762" t="s">
        <v>17</v>
      </c>
      <c r="F3762">
        <v>20.05</v>
      </c>
      <c r="G3762">
        <v>18.54</v>
      </c>
      <c r="H3762" t="s">
        <v>17</v>
      </c>
      <c r="I3762" t="str">
        <f>"062199002611"</f>
        <v>062199002611</v>
      </c>
    </row>
    <row r="3763" spans="1:9" x14ac:dyDescent="0.25">
      <c r="A3763" t="s">
        <v>3344</v>
      </c>
      <c r="B3763" t="s">
        <v>13</v>
      </c>
      <c r="C3763">
        <v>49.34</v>
      </c>
      <c r="D3763">
        <v>44.84</v>
      </c>
      <c r="E3763" t="s">
        <v>17</v>
      </c>
      <c r="F3763">
        <v>24.58</v>
      </c>
      <c r="G3763">
        <v>25.91</v>
      </c>
      <c r="H3763" t="s">
        <v>17</v>
      </c>
      <c r="I3763" t="str">
        <f>"064116006794"</f>
        <v>064116006794</v>
      </c>
    </row>
    <row r="3764" spans="1:9" x14ac:dyDescent="0.25">
      <c r="A3764" t="s">
        <v>3345</v>
      </c>
      <c r="B3764" t="s">
        <v>13</v>
      </c>
      <c r="C3764">
        <v>13.72</v>
      </c>
      <c r="D3764">
        <v>12.4</v>
      </c>
      <c r="E3764" t="s">
        <v>14</v>
      </c>
      <c r="F3764">
        <v>31.71</v>
      </c>
      <c r="G3764">
        <v>25.56</v>
      </c>
      <c r="H3764" t="s">
        <v>14</v>
      </c>
      <c r="I3764" t="str">
        <f>"062271012937"</f>
        <v>062271012937</v>
      </c>
    </row>
    <row r="3765" spans="1:9" x14ac:dyDescent="0.25">
      <c r="A3765" t="s">
        <v>3346</v>
      </c>
      <c r="B3765" t="s">
        <v>13</v>
      </c>
      <c r="C3765">
        <v>23</v>
      </c>
      <c r="D3765">
        <v>23</v>
      </c>
      <c r="E3765" t="s">
        <v>17</v>
      </c>
      <c r="F3765">
        <v>22</v>
      </c>
      <c r="G3765">
        <v>21.61</v>
      </c>
      <c r="H3765" t="s">
        <v>17</v>
      </c>
      <c r="I3765" t="str">
        <f>"063432005471"</f>
        <v>063432005471</v>
      </c>
    </row>
    <row r="3766" spans="1:9" x14ac:dyDescent="0.25">
      <c r="A3766" t="s">
        <v>3347</v>
      </c>
      <c r="B3766" t="s">
        <v>13</v>
      </c>
      <c r="C3766">
        <v>13.9</v>
      </c>
      <c r="D3766">
        <v>13.5</v>
      </c>
      <c r="E3766" t="s">
        <v>17</v>
      </c>
      <c r="F3766">
        <v>27.7</v>
      </c>
      <c r="G3766">
        <v>27.63</v>
      </c>
      <c r="H3766" t="s">
        <v>17</v>
      </c>
      <c r="I3766" t="str">
        <f>"062490003717"</f>
        <v>062490003717</v>
      </c>
    </row>
    <row r="3767" spans="1:9" x14ac:dyDescent="0.25">
      <c r="A3767" t="s">
        <v>3348</v>
      </c>
      <c r="B3767" t="s">
        <v>13</v>
      </c>
      <c r="C3767">
        <v>14.8</v>
      </c>
      <c r="D3767">
        <v>27</v>
      </c>
      <c r="E3767" t="s">
        <v>17</v>
      </c>
      <c r="F3767">
        <v>21.35</v>
      </c>
      <c r="G3767">
        <v>19.809999999999999</v>
      </c>
      <c r="H3767" t="s">
        <v>17</v>
      </c>
      <c r="I3767" t="str">
        <f>"063186004025"</f>
        <v>063186004025</v>
      </c>
    </row>
    <row r="3768" spans="1:9" x14ac:dyDescent="0.25">
      <c r="A3768" t="s">
        <v>3349</v>
      </c>
      <c r="B3768" t="s">
        <v>13</v>
      </c>
      <c r="C3768">
        <v>17.04</v>
      </c>
      <c r="D3768">
        <v>16.5</v>
      </c>
      <c r="E3768" t="s">
        <v>17</v>
      </c>
      <c r="F3768">
        <v>30.28</v>
      </c>
      <c r="G3768">
        <v>30.73</v>
      </c>
      <c r="H3768" t="s">
        <v>17</v>
      </c>
      <c r="I3768" t="str">
        <f>"063462005782"</f>
        <v>063462005782</v>
      </c>
    </row>
    <row r="3769" spans="1:9" x14ac:dyDescent="0.25">
      <c r="A3769" t="s">
        <v>3350</v>
      </c>
      <c r="B3769" t="s">
        <v>13</v>
      </c>
      <c r="C3769">
        <v>1.58</v>
      </c>
      <c r="D3769">
        <v>1.2</v>
      </c>
      <c r="E3769" t="s">
        <v>17</v>
      </c>
      <c r="F3769">
        <v>3.16</v>
      </c>
      <c r="G3769">
        <v>7.5</v>
      </c>
      <c r="H3769" t="s">
        <v>17</v>
      </c>
      <c r="I3769" t="str">
        <f>"061599002003"</f>
        <v>061599002003</v>
      </c>
    </row>
    <row r="3770" spans="1:9" x14ac:dyDescent="0.25">
      <c r="A3770" t="s">
        <v>3351</v>
      </c>
      <c r="B3770" t="s">
        <v>13</v>
      </c>
      <c r="C3770">
        <v>22</v>
      </c>
      <c r="D3770">
        <v>23</v>
      </c>
      <c r="E3770" t="s">
        <v>17</v>
      </c>
      <c r="F3770">
        <v>30.32</v>
      </c>
      <c r="G3770">
        <v>27.35</v>
      </c>
      <c r="H3770" t="s">
        <v>17</v>
      </c>
      <c r="I3770" t="str">
        <f>"064104001135"</f>
        <v>064104001135</v>
      </c>
    </row>
    <row r="3771" spans="1:9" x14ac:dyDescent="0.25">
      <c r="A3771" t="s">
        <v>3352</v>
      </c>
      <c r="B3771" t="s">
        <v>13</v>
      </c>
      <c r="C3771">
        <v>4</v>
      </c>
      <c r="D3771" t="s">
        <v>14</v>
      </c>
      <c r="E3771" t="s">
        <v>14</v>
      </c>
      <c r="F3771">
        <v>18.75</v>
      </c>
      <c r="G3771" t="s">
        <v>14</v>
      </c>
      <c r="H3771" t="s">
        <v>14</v>
      </c>
      <c r="I3771" t="str">
        <f>"062274013026"</f>
        <v>062274013026</v>
      </c>
    </row>
    <row r="3772" spans="1:9" x14ac:dyDescent="0.25">
      <c r="A3772" t="s">
        <v>3353</v>
      </c>
      <c r="B3772" t="s">
        <v>13</v>
      </c>
      <c r="C3772">
        <v>24.39</v>
      </c>
      <c r="D3772">
        <v>26.05</v>
      </c>
      <c r="E3772" t="s">
        <v>17</v>
      </c>
      <c r="F3772">
        <v>24.48</v>
      </c>
      <c r="G3772">
        <v>25.26</v>
      </c>
      <c r="H3772" t="s">
        <v>17</v>
      </c>
      <c r="I3772" t="str">
        <f>"063231004982"</f>
        <v>063231004982</v>
      </c>
    </row>
    <row r="3773" spans="1:9" x14ac:dyDescent="0.25">
      <c r="A3773" t="s">
        <v>3353</v>
      </c>
      <c r="B3773" t="s">
        <v>13</v>
      </c>
      <c r="C3773">
        <v>25.86</v>
      </c>
      <c r="D3773">
        <v>27.13</v>
      </c>
      <c r="E3773" t="s">
        <v>17</v>
      </c>
      <c r="F3773">
        <v>22.51</v>
      </c>
      <c r="G3773">
        <v>22.23</v>
      </c>
      <c r="H3773" t="s">
        <v>17</v>
      </c>
      <c r="I3773" t="str">
        <f>"063513005947"</f>
        <v>063513005947</v>
      </c>
    </row>
    <row r="3774" spans="1:9" x14ac:dyDescent="0.25">
      <c r="A3774" t="s">
        <v>3354</v>
      </c>
      <c r="B3774" t="s">
        <v>13</v>
      </c>
      <c r="C3774">
        <v>6</v>
      </c>
      <c r="D3774">
        <v>5</v>
      </c>
      <c r="E3774" t="s">
        <v>17</v>
      </c>
      <c r="F3774">
        <v>19.170000000000002</v>
      </c>
      <c r="G3774">
        <v>22.6</v>
      </c>
      <c r="H3774" t="s">
        <v>17</v>
      </c>
      <c r="I3774" t="str">
        <f>"064356007044"</f>
        <v>064356007044</v>
      </c>
    </row>
    <row r="3775" spans="1:9" x14ac:dyDescent="0.25">
      <c r="A3775" t="s">
        <v>3355</v>
      </c>
      <c r="B3775" t="s">
        <v>13</v>
      </c>
      <c r="C3775">
        <v>2.5</v>
      </c>
      <c r="D3775">
        <v>3</v>
      </c>
      <c r="E3775" t="s">
        <v>17</v>
      </c>
      <c r="F3775">
        <v>18</v>
      </c>
      <c r="G3775">
        <v>24.67</v>
      </c>
      <c r="H3775" t="s">
        <v>17</v>
      </c>
      <c r="I3775" t="str">
        <f>"064356011215"</f>
        <v>064356011215</v>
      </c>
    </row>
    <row r="3776" spans="1:9" x14ac:dyDescent="0.25">
      <c r="A3776" t="s">
        <v>3356</v>
      </c>
      <c r="B3776" t="s">
        <v>13</v>
      </c>
      <c r="C3776">
        <v>32.700000000000003</v>
      </c>
      <c r="D3776">
        <v>32.1</v>
      </c>
      <c r="E3776" t="s">
        <v>17</v>
      </c>
      <c r="F3776">
        <v>26.27</v>
      </c>
      <c r="G3776">
        <v>26.48</v>
      </c>
      <c r="H3776" t="s">
        <v>17</v>
      </c>
      <c r="I3776" t="str">
        <f>"061336001522"</f>
        <v>061336001522</v>
      </c>
    </row>
    <row r="3777" spans="1:9" x14ac:dyDescent="0.25">
      <c r="A3777" t="s">
        <v>3357</v>
      </c>
      <c r="B3777" t="s">
        <v>13</v>
      </c>
      <c r="C3777" t="s">
        <v>17</v>
      </c>
      <c r="D3777" t="s">
        <v>14</v>
      </c>
      <c r="E3777" t="s">
        <v>14</v>
      </c>
      <c r="F3777" t="s">
        <v>17</v>
      </c>
      <c r="G3777" t="s">
        <v>14</v>
      </c>
      <c r="H3777" t="s">
        <v>14</v>
      </c>
      <c r="I3777" t="str">
        <f>"060768013157"</f>
        <v>060768013157</v>
      </c>
    </row>
    <row r="3778" spans="1:9" x14ac:dyDescent="0.25">
      <c r="A3778" t="s">
        <v>3358</v>
      </c>
      <c r="B3778" t="s">
        <v>13</v>
      </c>
      <c r="C3778">
        <v>25.9</v>
      </c>
      <c r="D3778">
        <v>26.8</v>
      </c>
      <c r="E3778" t="s">
        <v>17</v>
      </c>
      <c r="F3778">
        <v>24.83</v>
      </c>
      <c r="G3778">
        <v>24.1</v>
      </c>
      <c r="H3778" t="s">
        <v>17</v>
      </c>
      <c r="I3778" t="str">
        <f>"063513005948"</f>
        <v>063513005948</v>
      </c>
    </row>
    <row r="3779" spans="1:9" x14ac:dyDescent="0.25">
      <c r="A3779" t="s">
        <v>3359</v>
      </c>
      <c r="B3779" t="s">
        <v>13</v>
      </c>
      <c r="C3779">
        <v>4</v>
      </c>
      <c r="D3779">
        <v>3</v>
      </c>
      <c r="E3779" t="s">
        <v>17</v>
      </c>
      <c r="F3779">
        <v>16.5</v>
      </c>
      <c r="G3779">
        <v>20.67</v>
      </c>
      <c r="H3779" t="s">
        <v>17</v>
      </c>
      <c r="I3779" t="str">
        <f>"062961007797"</f>
        <v>062961007797</v>
      </c>
    </row>
    <row r="3780" spans="1:9" x14ac:dyDescent="0.25">
      <c r="A3780" t="s">
        <v>3360</v>
      </c>
      <c r="B3780" t="s">
        <v>13</v>
      </c>
      <c r="C3780">
        <v>4</v>
      </c>
      <c r="D3780">
        <v>5</v>
      </c>
      <c r="E3780" t="s">
        <v>17</v>
      </c>
      <c r="F3780">
        <v>6.5</v>
      </c>
      <c r="G3780">
        <v>9.4</v>
      </c>
      <c r="H3780" t="s">
        <v>17</v>
      </c>
      <c r="I3780" t="str">
        <f>"061605012448"</f>
        <v>061605012448</v>
      </c>
    </row>
    <row r="3781" spans="1:9" x14ac:dyDescent="0.25">
      <c r="A3781" t="s">
        <v>3361</v>
      </c>
      <c r="B3781" t="s">
        <v>13</v>
      </c>
      <c r="C3781" t="s">
        <v>14</v>
      </c>
      <c r="D3781" t="s">
        <v>14</v>
      </c>
      <c r="E3781" t="s">
        <v>17</v>
      </c>
      <c r="F3781" t="s">
        <v>14</v>
      </c>
      <c r="G3781" t="s">
        <v>14</v>
      </c>
      <c r="H3781" t="s">
        <v>17</v>
      </c>
      <c r="I3781" t="str">
        <f>"061608012470"</f>
        <v>061608012470</v>
      </c>
    </row>
    <row r="3782" spans="1:9" x14ac:dyDescent="0.25">
      <c r="A3782" t="s">
        <v>3362</v>
      </c>
      <c r="B3782" t="s">
        <v>13</v>
      </c>
      <c r="C3782">
        <v>33.69</v>
      </c>
      <c r="D3782">
        <v>34.409999999999997</v>
      </c>
      <c r="E3782" t="s">
        <v>17</v>
      </c>
      <c r="F3782">
        <v>27.31</v>
      </c>
      <c r="G3782">
        <v>25.11</v>
      </c>
      <c r="H3782" t="s">
        <v>17</v>
      </c>
      <c r="I3782" t="str">
        <f>"061965008221"</f>
        <v>061965008221</v>
      </c>
    </row>
    <row r="3783" spans="1:9" x14ac:dyDescent="0.25">
      <c r="A3783" t="s">
        <v>3363</v>
      </c>
      <c r="B3783" t="s">
        <v>13</v>
      </c>
      <c r="C3783">
        <v>25.9</v>
      </c>
      <c r="D3783">
        <v>26.7</v>
      </c>
      <c r="E3783" t="s">
        <v>17</v>
      </c>
      <c r="F3783">
        <v>25.33</v>
      </c>
      <c r="G3783">
        <v>24.46</v>
      </c>
      <c r="H3783" t="s">
        <v>17</v>
      </c>
      <c r="I3783" t="str">
        <f>"060681000615"</f>
        <v>060681000615</v>
      </c>
    </row>
    <row r="3784" spans="1:9" x14ac:dyDescent="0.25">
      <c r="A3784" t="s">
        <v>3363</v>
      </c>
      <c r="B3784" t="s">
        <v>13</v>
      </c>
      <c r="C3784">
        <v>37.51</v>
      </c>
      <c r="D3784">
        <v>37.5</v>
      </c>
      <c r="E3784" t="s">
        <v>17</v>
      </c>
      <c r="F3784">
        <v>23.89</v>
      </c>
      <c r="G3784">
        <v>20.399999999999999</v>
      </c>
      <c r="H3784" t="s">
        <v>17</v>
      </c>
      <c r="I3784" t="str">
        <f>"061605002005"</f>
        <v>061605002005</v>
      </c>
    </row>
    <row r="3785" spans="1:9" x14ac:dyDescent="0.25">
      <c r="A3785" t="s">
        <v>3364</v>
      </c>
      <c r="B3785" t="s">
        <v>13</v>
      </c>
      <c r="C3785">
        <v>21.17</v>
      </c>
      <c r="D3785">
        <v>21.84</v>
      </c>
      <c r="E3785" t="s">
        <v>17</v>
      </c>
      <c r="F3785">
        <v>19.41</v>
      </c>
      <c r="G3785">
        <v>20.28</v>
      </c>
      <c r="H3785" t="s">
        <v>17</v>
      </c>
      <c r="I3785" t="str">
        <f>"061308001489"</f>
        <v>061308001489</v>
      </c>
    </row>
    <row r="3786" spans="1:9" x14ac:dyDescent="0.25">
      <c r="A3786" t="s">
        <v>3365</v>
      </c>
      <c r="B3786" t="s">
        <v>13</v>
      </c>
      <c r="C3786">
        <v>22.8</v>
      </c>
      <c r="D3786">
        <v>18.010000000000002</v>
      </c>
      <c r="E3786" t="s">
        <v>17</v>
      </c>
      <c r="F3786">
        <v>21.97</v>
      </c>
      <c r="G3786">
        <v>23.82</v>
      </c>
      <c r="H3786" t="s">
        <v>17</v>
      </c>
      <c r="I3786" t="str">
        <f>"062805012055"</f>
        <v>062805012055</v>
      </c>
    </row>
    <row r="3787" spans="1:9" x14ac:dyDescent="0.25">
      <c r="A3787" t="s">
        <v>3366</v>
      </c>
      <c r="B3787" t="s">
        <v>13</v>
      </c>
      <c r="C3787">
        <v>19</v>
      </c>
      <c r="D3787">
        <v>16</v>
      </c>
      <c r="E3787" t="s">
        <v>17</v>
      </c>
      <c r="F3787">
        <v>28.53</v>
      </c>
      <c r="G3787">
        <v>30.5</v>
      </c>
      <c r="H3787" t="s">
        <v>17</v>
      </c>
      <c r="I3787" t="str">
        <f>"068450007058"</f>
        <v>068450007058</v>
      </c>
    </row>
    <row r="3788" spans="1:9" x14ac:dyDescent="0.25">
      <c r="A3788" t="s">
        <v>3367</v>
      </c>
      <c r="B3788" t="s">
        <v>13</v>
      </c>
      <c r="C3788">
        <v>37</v>
      </c>
      <c r="D3788">
        <v>38.5</v>
      </c>
      <c r="E3788" t="s">
        <v>17</v>
      </c>
      <c r="F3788">
        <v>29.32</v>
      </c>
      <c r="G3788">
        <v>27.4</v>
      </c>
      <c r="H3788" t="s">
        <v>17</v>
      </c>
      <c r="I3788" t="str">
        <f>"063531005987"</f>
        <v>063531005987</v>
      </c>
    </row>
    <row r="3789" spans="1:9" x14ac:dyDescent="0.25">
      <c r="A3789" t="s">
        <v>3368</v>
      </c>
      <c r="B3789" t="s">
        <v>13</v>
      </c>
      <c r="C3789">
        <v>9.5</v>
      </c>
      <c r="D3789" t="s">
        <v>17</v>
      </c>
      <c r="E3789" t="s">
        <v>17</v>
      </c>
      <c r="F3789">
        <v>10.74</v>
      </c>
      <c r="G3789" t="s">
        <v>17</v>
      </c>
      <c r="H3789" t="s">
        <v>17</v>
      </c>
      <c r="I3789" t="str">
        <f>"063117004821"</f>
        <v>063117004821</v>
      </c>
    </row>
    <row r="3790" spans="1:9" x14ac:dyDescent="0.25">
      <c r="A3790" t="s">
        <v>3369</v>
      </c>
      <c r="B3790" t="s">
        <v>13</v>
      </c>
      <c r="C3790">
        <v>35.5</v>
      </c>
      <c r="D3790">
        <v>39</v>
      </c>
      <c r="E3790" t="s">
        <v>17</v>
      </c>
      <c r="F3790">
        <v>30.06</v>
      </c>
      <c r="G3790">
        <v>26.77</v>
      </c>
      <c r="H3790" t="s">
        <v>17</v>
      </c>
      <c r="I3790" t="str">
        <f>"062547003798"</f>
        <v>062547003798</v>
      </c>
    </row>
    <row r="3791" spans="1:9" x14ac:dyDescent="0.25">
      <c r="A3791" t="s">
        <v>3369</v>
      </c>
      <c r="B3791" t="s">
        <v>13</v>
      </c>
      <c r="C3791" t="s">
        <v>17</v>
      </c>
      <c r="D3791" t="s">
        <v>17</v>
      </c>
      <c r="E3791" t="s">
        <v>17</v>
      </c>
      <c r="F3791" t="s">
        <v>17</v>
      </c>
      <c r="G3791" t="s">
        <v>17</v>
      </c>
      <c r="H3791" t="s">
        <v>17</v>
      </c>
      <c r="I3791" t="str">
        <f>"062448003657"</f>
        <v>062448003657</v>
      </c>
    </row>
    <row r="3792" spans="1:9" x14ac:dyDescent="0.25">
      <c r="A3792" t="s">
        <v>3370</v>
      </c>
      <c r="B3792" t="s">
        <v>13</v>
      </c>
      <c r="C3792">
        <v>20.03</v>
      </c>
      <c r="D3792">
        <v>22.1</v>
      </c>
      <c r="E3792" t="s">
        <v>17</v>
      </c>
      <c r="F3792">
        <v>24.71</v>
      </c>
      <c r="G3792">
        <v>20.81</v>
      </c>
      <c r="H3792" t="s">
        <v>17</v>
      </c>
      <c r="I3792" t="str">
        <f>"063462005783"</f>
        <v>063462005783</v>
      </c>
    </row>
    <row r="3793" spans="1:9" x14ac:dyDescent="0.25">
      <c r="A3793" t="s">
        <v>3371</v>
      </c>
      <c r="B3793" t="s">
        <v>13</v>
      </c>
      <c r="C3793">
        <v>31</v>
      </c>
      <c r="D3793" t="s">
        <v>14</v>
      </c>
      <c r="E3793" t="s">
        <v>14</v>
      </c>
      <c r="F3793">
        <v>27.81</v>
      </c>
      <c r="G3793" t="s">
        <v>14</v>
      </c>
      <c r="H3793" t="s">
        <v>14</v>
      </c>
      <c r="I3793" t="str">
        <f>"064212013142"</f>
        <v>064212013142</v>
      </c>
    </row>
    <row r="3794" spans="1:9" x14ac:dyDescent="0.25">
      <c r="A3794" t="s">
        <v>3372</v>
      </c>
      <c r="B3794" t="s">
        <v>13</v>
      </c>
      <c r="C3794">
        <v>15.7</v>
      </c>
      <c r="D3794">
        <v>15.2</v>
      </c>
      <c r="E3794" t="s">
        <v>17</v>
      </c>
      <c r="F3794">
        <v>24.71</v>
      </c>
      <c r="G3794">
        <v>25.59</v>
      </c>
      <c r="H3794" t="s">
        <v>17</v>
      </c>
      <c r="I3794" t="str">
        <f>"062637002956"</f>
        <v>062637002956</v>
      </c>
    </row>
    <row r="3795" spans="1:9" x14ac:dyDescent="0.25">
      <c r="A3795" t="s">
        <v>3373</v>
      </c>
      <c r="B3795" t="s">
        <v>13</v>
      </c>
      <c r="C3795" t="s">
        <v>17</v>
      </c>
      <c r="D3795" t="s">
        <v>17</v>
      </c>
      <c r="E3795" t="s">
        <v>17</v>
      </c>
      <c r="F3795" t="s">
        <v>17</v>
      </c>
      <c r="G3795" t="s">
        <v>17</v>
      </c>
      <c r="H3795" t="s">
        <v>17</v>
      </c>
      <c r="I3795" t="str">
        <f>"061611007447"</f>
        <v>061611007447</v>
      </c>
    </row>
    <row r="3796" spans="1:9" x14ac:dyDescent="0.25">
      <c r="A3796" t="s">
        <v>3374</v>
      </c>
      <c r="B3796" t="s">
        <v>13</v>
      </c>
      <c r="C3796">
        <v>10.4</v>
      </c>
      <c r="D3796">
        <v>9.1</v>
      </c>
      <c r="E3796" t="s">
        <v>17</v>
      </c>
      <c r="F3796">
        <v>17.02</v>
      </c>
      <c r="G3796">
        <v>17.8</v>
      </c>
      <c r="H3796" t="s">
        <v>17</v>
      </c>
      <c r="I3796" t="str">
        <f>"061611002011"</f>
        <v>061611002011</v>
      </c>
    </row>
    <row r="3797" spans="1:9" x14ac:dyDescent="0.25">
      <c r="A3797" t="s">
        <v>3375</v>
      </c>
      <c r="B3797" t="s">
        <v>13</v>
      </c>
      <c r="C3797">
        <v>21</v>
      </c>
      <c r="D3797">
        <v>21.75</v>
      </c>
      <c r="E3797" t="s">
        <v>17</v>
      </c>
      <c r="F3797">
        <v>26.19</v>
      </c>
      <c r="G3797">
        <v>26.57</v>
      </c>
      <c r="H3797" t="s">
        <v>17</v>
      </c>
      <c r="I3797" t="str">
        <f>"061128010679"</f>
        <v>061128010679</v>
      </c>
    </row>
    <row r="3798" spans="1:9" x14ac:dyDescent="0.25">
      <c r="A3798" t="s">
        <v>3376</v>
      </c>
      <c r="B3798" t="s">
        <v>13</v>
      </c>
      <c r="C3798">
        <v>31</v>
      </c>
      <c r="D3798">
        <v>29.8</v>
      </c>
      <c r="E3798" t="s">
        <v>17</v>
      </c>
      <c r="F3798">
        <v>21.94</v>
      </c>
      <c r="G3798">
        <v>22.72</v>
      </c>
      <c r="H3798" t="s">
        <v>17</v>
      </c>
      <c r="I3798" t="str">
        <f>"060005102016"</f>
        <v>060005102016</v>
      </c>
    </row>
    <row r="3799" spans="1:9" x14ac:dyDescent="0.25">
      <c r="A3799" t="s">
        <v>3377</v>
      </c>
      <c r="B3799" t="s">
        <v>13</v>
      </c>
      <c r="C3799">
        <v>32</v>
      </c>
      <c r="D3799">
        <v>31</v>
      </c>
      <c r="E3799" t="s">
        <v>17</v>
      </c>
      <c r="F3799">
        <v>22.72</v>
      </c>
      <c r="G3799">
        <v>24.19</v>
      </c>
      <c r="H3799" t="s">
        <v>17</v>
      </c>
      <c r="I3799" t="str">
        <f>"062271003056"</f>
        <v>062271003056</v>
      </c>
    </row>
    <row r="3800" spans="1:9" x14ac:dyDescent="0.25">
      <c r="A3800" t="s">
        <v>3378</v>
      </c>
      <c r="B3800" t="s">
        <v>13</v>
      </c>
      <c r="C3800" t="s">
        <v>17</v>
      </c>
      <c r="D3800" t="s">
        <v>17</v>
      </c>
      <c r="E3800" t="s">
        <v>17</v>
      </c>
      <c r="F3800" t="s">
        <v>17</v>
      </c>
      <c r="G3800" t="s">
        <v>17</v>
      </c>
      <c r="H3800" t="s">
        <v>17</v>
      </c>
      <c r="I3800" t="str">
        <f>"060005107952"</f>
        <v>060005107952</v>
      </c>
    </row>
    <row r="3801" spans="1:9" x14ac:dyDescent="0.25">
      <c r="A3801" t="s">
        <v>3379</v>
      </c>
      <c r="B3801" t="s">
        <v>13</v>
      </c>
      <c r="C3801">
        <v>1.2</v>
      </c>
      <c r="D3801">
        <v>1.2</v>
      </c>
      <c r="E3801" t="s">
        <v>17</v>
      </c>
      <c r="F3801">
        <v>1.67</v>
      </c>
      <c r="G3801">
        <v>2.5</v>
      </c>
      <c r="H3801" t="s">
        <v>17</v>
      </c>
      <c r="I3801" t="str">
        <f>"060005107951"</f>
        <v>060005107951</v>
      </c>
    </row>
    <row r="3802" spans="1:9" x14ac:dyDescent="0.25">
      <c r="A3802" t="s">
        <v>3380</v>
      </c>
      <c r="B3802" t="s">
        <v>13</v>
      </c>
      <c r="C3802">
        <v>26</v>
      </c>
      <c r="D3802">
        <v>27</v>
      </c>
      <c r="E3802" t="s">
        <v>17</v>
      </c>
      <c r="F3802">
        <v>22.81</v>
      </c>
      <c r="G3802">
        <v>22.3</v>
      </c>
      <c r="H3802" t="s">
        <v>17</v>
      </c>
      <c r="I3802" t="str">
        <f>"062271003057"</f>
        <v>062271003057</v>
      </c>
    </row>
    <row r="3803" spans="1:9" x14ac:dyDescent="0.25">
      <c r="A3803" t="s">
        <v>3381</v>
      </c>
      <c r="B3803" t="s">
        <v>13</v>
      </c>
      <c r="C3803">
        <v>56.11</v>
      </c>
      <c r="D3803">
        <v>54.13</v>
      </c>
      <c r="E3803" t="s">
        <v>17</v>
      </c>
      <c r="F3803">
        <v>24.31</v>
      </c>
      <c r="G3803">
        <v>25.9</v>
      </c>
      <c r="H3803" t="s">
        <v>17</v>
      </c>
      <c r="I3803" t="str">
        <f>"061146001268"</f>
        <v>061146001268</v>
      </c>
    </row>
    <row r="3804" spans="1:9" x14ac:dyDescent="0.25">
      <c r="A3804" t="s">
        <v>3382</v>
      </c>
      <c r="B3804" t="s">
        <v>13</v>
      </c>
      <c r="C3804">
        <v>9.67</v>
      </c>
      <c r="D3804">
        <v>9.6300000000000008</v>
      </c>
      <c r="E3804" t="s">
        <v>14</v>
      </c>
      <c r="F3804">
        <v>41.26</v>
      </c>
      <c r="G3804">
        <v>28.76</v>
      </c>
      <c r="H3804" t="s">
        <v>14</v>
      </c>
      <c r="I3804" t="str">
        <f>"069101212948"</f>
        <v>069101212948</v>
      </c>
    </row>
    <row r="3805" spans="1:9" x14ac:dyDescent="0.25">
      <c r="A3805" t="s">
        <v>3383</v>
      </c>
      <c r="B3805" t="s">
        <v>13</v>
      </c>
      <c r="C3805">
        <v>9.5</v>
      </c>
      <c r="D3805">
        <v>8.5</v>
      </c>
      <c r="E3805" t="s">
        <v>17</v>
      </c>
      <c r="F3805">
        <v>22.32</v>
      </c>
      <c r="G3805">
        <v>22.12</v>
      </c>
      <c r="H3805" t="s">
        <v>17</v>
      </c>
      <c r="I3805" t="str">
        <f>"069103211281"</f>
        <v>069103211281</v>
      </c>
    </row>
    <row r="3806" spans="1:9" x14ac:dyDescent="0.25">
      <c r="A3806" t="s">
        <v>3384</v>
      </c>
      <c r="B3806" t="s">
        <v>13</v>
      </c>
      <c r="C3806">
        <v>5</v>
      </c>
      <c r="D3806">
        <v>5</v>
      </c>
      <c r="E3806" t="s">
        <v>17</v>
      </c>
      <c r="F3806">
        <v>17.2</v>
      </c>
      <c r="G3806">
        <v>18.600000000000001</v>
      </c>
      <c r="H3806" t="s">
        <v>17</v>
      </c>
      <c r="I3806" t="str">
        <f>"060001209206"</f>
        <v>060001209206</v>
      </c>
    </row>
    <row r="3807" spans="1:9" x14ac:dyDescent="0.25">
      <c r="A3807" t="s">
        <v>3385</v>
      </c>
      <c r="B3807" t="s">
        <v>13</v>
      </c>
      <c r="C3807">
        <v>97.17</v>
      </c>
      <c r="D3807">
        <v>103.42</v>
      </c>
      <c r="E3807" t="s">
        <v>17</v>
      </c>
      <c r="F3807">
        <v>25.68</v>
      </c>
      <c r="G3807">
        <v>25.16</v>
      </c>
      <c r="H3807" t="s">
        <v>17</v>
      </c>
      <c r="I3807" t="str">
        <f>"061623002022"</f>
        <v>061623002022</v>
      </c>
    </row>
    <row r="3808" spans="1:9" x14ac:dyDescent="0.25">
      <c r="A3808" t="s">
        <v>3386</v>
      </c>
      <c r="B3808" t="s">
        <v>13</v>
      </c>
      <c r="C3808">
        <v>2.02</v>
      </c>
      <c r="D3808">
        <v>2</v>
      </c>
      <c r="E3808" t="s">
        <v>17</v>
      </c>
      <c r="F3808">
        <v>38.61</v>
      </c>
      <c r="G3808">
        <v>39</v>
      </c>
      <c r="H3808" t="s">
        <v>17</v>
      </c>
      <c r="I3808" t="str">
        <f>"061623010630"</f>
        <v>061623010630</v>
      </c>
    </row>
    <row r="3809" spans="1:9" x14ac:dyDescent="0.25">
      <c r="A3809" t="s">
        <v>3387</v>
      </c>
      <c r="B3809" t="s">
        <v>13</v>
      </c>
      <c r="C3809">
        <v>1</v>
      </c>
      <c r="D3809">
        <v>6.14</v>
      </c>
      <c r="E3809" t="s">
        <v>17</v>
      </c>
      <c r="F3809">
        <v>63</v>
      </c>
      <c r="G3809">
        <v>10.1</v>
      </c>
      <c r="H3809" t="s">
        <v>17</v>
      </c>
      <c r="I3809" t="str">
        <f>"061623002027"</f>
        <v>061623002027</v>
      </c>
    </row>
    <row r="3810" spans="1:9" x14ac:dyDescent="0.25">
      <c r="A3810" t="s">
        <v>3388</v>
      </c>
      <c r="B3810" t="s">
        <v>13</v>
      </c>
      <c r="C3810">
        <v>10.199999999999999</v>
      </c>
      <c r="D3810">
        <v>9.6999999999999993</v>
      </c>
      <c r="E3810" t="s">
        <v>17</v>
      </c>
      <c r="F3810">
        <v>19.12</v>
      </c>
      <c r="G3810">
        <v>20</v>
      </c>
      <c r="H3810" t="s">
        <v>17</v>
      </c>
      <c r="I3810" t="str">
        <f>"063207008292"</f>
        <v>063207008292</v>
      </c>
    </row>
    <row r="3811" spans="1:9" x14ac:dyDescent="0.25">
      <c r="A3811" t="s">
        <v>3389</v>
      </c>
      <c r="B3811" t="s">
        <v>13</v>
      </c>
      <c r="C3811">
        <v>21.2</v>
      </c>
      <c r="D3811">
        <v>20.399999999999999</v>
      </c>
      <c r="E3811" t="s">
        <v>17</v>
      </c>
      <c r="F3811">
        <v>22.64</v>
      </c>
      <c r="G3811">
        <v>22.89</v>
      </c>
      <c r="H3811" t="s">
        <v>17</v>
      </c>
      <c r="I3811" t="str">
        <f>"061005001096"</f>
        <v>061005001096</v>
      </c>
    </row>
    <row r="3812" spans="1:9" x14ac:dyDescent="0.25">
      <c r="A3812" t="s">
        <v>3390</v>
      </c>
      <c r="B3812" t="s">
        <v>13</v>
      </c>
      <c r="C3812">
        <v>22.6</v>
      </c>
      <c r="D3812">
        <v>20.6</v>
      </c>
      <c r="E3812" t="s">
        <v>17</v>
      </c>
      <c r="F3812">
        <v>21.46</v>
      </c>
      <c r="G3812">
        <v>24.66</v>
      </c>
      <c r="H3812" t="s">
        <v>17</v>
      </c>
      <c r="I3812" t="str">
        <f>"062308003519"</f>
        <v>062308003519</v>
      </c>
    </row>
    <row r="3813" spans="1:9" x14ac:dyDescent="0.25">
      <c r="A3813" t="s">
        <v>3391</v>
      </c>
      <c r="B3813" t="s">
        <v>13</v>
      </c>
      <c r="C3813">
        <v>117.83</v>
      </c>
      <c r="D3813">
        <v>126.09</v>
      </c>
      <c r="E3813" t="s">
        <v>17</v>
      </c>
      <c r="F3813">
        <v>28.8</v>
      </c>
      <c r="G3813">
        <v>28.98</v>
      </c>
      <c r="H3813" t="s">
        <v>17</v>
      </c>
      <c r="I3813" t="str">
        <f>"062271002923"</f>
        <v>062271002923</v>
      </c>
    </row>
    <row r="3814" spans="1:9" x14ac:dyDescent="0.25">
      <c r="A3814" t="s">
        <v>3392</v>
      </c>
      <c r="B3814" t="s">
        <v>13</v>
      </c>
      <c r="C3814">
        <v>17.5</v>
      </c>
      <c r="D3814">
        <v>17.5</v>
      </c>
      <c r="E3814" t="s">
        <v>17</v>
      </c>
      <c r="F3814">
        <v>24.97</v>
      </c>
      <c r="G3814">
        <v>24.8</v>
      </c>
      <c r="H3814" t="s">
        <v>17</v>
      </c>
      <c r="I3814" t="str">
        <f>"062308003520"</f>
        <v>062308003520</v>
      </c>
    </row>
    <row r="3815" spans="1:9" x14ac:dyDescent="0.25">
      <c r="A3815" t="s">
        <v>3393</v>
      </c>
      <c r="B3815" t="s">
        <v>13</v>
      </c>
      <c r="C3815">
        <v>17.75</v>
      </c>
      <c r="D3815">
        <v>26.33</v>
      </c>
      <c r="E3815" t="s">
        <v>17</v>
      </c>
      <c r="F3815">
        <v>29.86</v>
      </c>
      <c r="G3815">
        <v>18.88</v>
      </c>
      <c r="H3815" t="s">
        <v>17</v>
      </c>
      <c r="I3815" t="str">
        <f>"063801006413"</f>
        <v>063801006413</v>
      </c>
    </row>
    <row r="3816" spans="1:9" x14ac:dyDescent="0.25">
      <c r="A3816" t="s">
        <v>3394</v>
      </c>
      <c r="B3816" t="s">
        <v>13</v>
      </c>
      <c r="C3816">
        <v>24.8</v>
      </c>
      <c r="D3816">
        <v>24.8</v>
      </c>
      <c r="E3816" t="s">
        <v>17</v>
      </c>
      <c r="F3816">
        <v>24.52</v>
      </c>
      <c r="G3816">
        <v>24.19</v>
      </c>
      <c r="H3816" t="s">
        <v>17</v>
      </c>
      <c r="I3816" t="str">
        <f>"064032006672"</f>
        <v>064032006672</v>
      </c>
    </row>
    <row r="3817" spans="1:9" x14ac:dyDescent="0.25">
      <c r="A3817" t="s">
        <v>3394</v>
      </c>
      <c r="B3817" t="s">
        <v>13</v>
      </c>
      <c r="C3817">
        <v>21.8</v>
      </c>
      <c r="D3817">
        <v>21</v>
      </c>
      <c r="E3817" t="s">
        <v>17</v>
      </c>
      <c r="F3817">
        <v>22.89</v>
      </c>
      <c r="G3817">
        <v>23</v>
      </c>
      <c r="H3817" t="s">
        <v>17</v>
      </c>
      <c r="I3817" t="str">
        <f>"063441005621"</f>
        <v>063441005621</v>
      </c>
    </row>
    <row r="3818" spans="1:9" x14ac:dyDescent="0.25">
      <c r="A3818" t="s">
        <v>3395</v>
      </c>
      <c r="B3818" t="s">
        <v>13</v>
      </c>
      <c r="C3818">
        <v>4.13</v>
      </c>
      <c r="D3818">
        <v>4.5</v>
      </c>
      <c r="E3818" t="s">
        <v>14</v>
      </c>
      <c r="F3818">
        <v>25.18</v>
      </c>
      <c r="G3818">
        <v>33.11</v>
      </c>
      <c r="H3818" t="s">
        <v>14</v>
      </c>
      <c r="I3818" t="str">
        <f>"064119012930"</f>
        <v>064119012930</v>
      </c>
    </row>
    <row r="3819" spans="1:9" x14ac:dyDescent="0.25">
      <c r="A3819" t="s">
        <v>3396</v>
      </c>
      <c r="B3819" t="s">
        <v>13</v>
      </c>
      <c r="C3819">
        <v>55.6</v>
      </c>
      <c r="D3819">
        <v>47.52</v>
      </c>
      <c r="E3819" t="s">
        <v>17</v>
      </c>
      <c r="F3819">
        <v>24.37</v>
      </c>
      <c r="G3819">
        <v>24.64</v>
      </c>
      <c r="H3819" t="s">
        <v>17</v>
      </c>
      <c r="I3819" t="str">
        <f>"064119003964"</f>
        <v>064119003964</v>
      </c>
    </row>
    <row r="3820" spans="1:9" x14ac:dyDescent="0.25">
      <c r="A3820" t="s">
        <v>3397</v>
      </c>
      <c r="B3820" t="s">
        <v>13</v>
      </c>
      <c r="C3820" t="s">
        <v>17</v>
      </c>
      <c r="D3820" t="s">
        <v>17</v>
      </c>
      <c r="E3820" t="s">
        <v>17</v>
      </c>
      <c r="F3820" t="s">
        <v>17</v>
      </c>
      <c r="G3820" t="s">
        <v>17</v>
      </c>
      <c r="H3820" t="s">
        <v>17</v>
      </c>
      <c r="I3820" t="str">
        <f>"061632010430"</f>
        <v>061632010430</v>
      </c>
    </row>
    <row r="3821" spans="1:9" x14ac:dyDescent="0.25">
      <c r="A3821" t="s">
        <v>3398</v>
      </c>
      <c r="B3821" t="s">
        <v>13</v>
      </c>
      <c r="C3821">
        <v>12.6</v>
      </c>
      <c r="D3821">
        <v>13.1</v>
      </c>
      <c r="E3821" t="s">
        <v>17</v>
      </c>
      <c r="F3821">
        <v>22.22</v>
      </c>
      <c r="G3821">
        <v>21.76</v>
      </c>
      <c r="H3821" t="s">
        <v>17</v>
      </c>
      <c r="I3821" t="str">
        <f>"061632002031"</f>
        <v>061632002031</v>
      </c>
    </row>
    <row r="3822" spans="1:9" x14ac:dyDescent="0.25">
      <c r="A3822" t="s">
        <v>3399</v>
      </c>
      <c r="B3822" t="s">
        <v>13</v>
      </c>
      <c r="C3822">
        <v>15</v>
      </c>
      <c r="D3822">
        <v>8.5</v>
      </c>
      <c r="E3822" t="s">
        <v>17</v>
      </c>
      <c r="F3822">
        <v>19.73</v>
      </c>
      <c r="G3822">
        <v>26.82</v>
      </c>
      <c r="H3822" t="s">
        <v>17</v>
      </c>
      <c r="I3822" t="str">
        <f>"062958010531"</f>
        <v>062958010531</v>
      </c>
    </row>
    <row r="3823" spans="1:9" x14ac:dyDescent="0.25">
      <c r="A3823" t="s">
        <v>3400</v>
      </c>
      <c r="B3823" t="s">
        <v>13</v>
      </c>
      <c r="C3823">
        <v>14</v>
      </c>
      <c r="D3823">
        <v>13</v>
      </c>
      <c r="E3823" t="s">
        <v>17</v>
      </c>
      <c r="F3823">
        <v>28.43</v>
      </c>
      <c r="G3823">
        <v>30.23</v>
      </c>
      <c r="H3823" t="s">
        <v>17</v>
      </c>
      <c r="I3823" t="str">
        <f>"064015007202"</f>
        <v>064015007202</v>
      </c>
    </row>
    <row r="3824" spans="1:9" x14ac:dyDescent="0.25">
      <c r="A3824" t="s">
        <v>3401</v>
      </c>
      <c r="B3824" t="s">
        <v>13</v>
      </c>
      <c r="C3824">
        <v>33</v>
      </c>
      <c r="D3824">
        <v>31.5</v>
      </c>
      <c r="E3824" t="s">
        <v>17</v>
      </c>
      <c r="F3824">
        <v>25.73</v>
      </c>
      <c r="G3824">
        <v>26.29</v>
      </c>
      <c r="H3824" t="s">
        <v>17</v>
      </c>
      <c r="I3824" t="str">
        <f>"060261000152"</f>
        <v>060261000152</v>
      </c>
    </row>
    <row r="3825" spans="1:9" x14ac:dyDescent="0.25">
      <c r="A3825" t="s">
        <v>3402</v>
      </c>
      <c r="B3825" t="s">
        <v>13</v>
      </c>
      <c r="C3825">
        <v>38</v>
      </c>
      <c r="D3825">
        <v>44.5</v>
      </c>
      <c r="E3825" t="s">
        <v>17</v>
      </c>
      <c r="F3825">
        <v>20.55</v>
      </c>
      <c r="G3825">
        <v>21.39</v>
      </c>
      <c r="H3825" t="s">
        <v>17</v>
      </c>
      <c r="I3825" t="str">
        <f>"062271003060"</f>
        <v>062271003060</v>
      </c>
    </row>
    <row r="3826" spans="1:9" x14ac:dyDescent="0.25">
      <c r="A3826" t="s">
        <v>3403</v>
      </c>
      <c r="B3826" t="s">
        <v>13</v>
      </c>
      <c r="C3826">
        <v>52.1</v>
      </c>
      <c r="D3826">
        <v>53.1</v>
      </c>
      <c r="E3826" t="s">
        <v>17</v>
      </c>
      <c r="F3826">
        <v>21.65</v>
      </c>
      <c r="G3826">
        <v>20.7</v>
      </c>
      <c r="H3826" t="s">
        <v>17</v>
      </c>
      <c r="I3826" t="str">
        <f>"063459005716"</f>
        <v>063459005716</v>
      </c>
    </row>
    <row r="3827" spans="1:9" x14ac:dyDescent="0.25">
      <c r="A3827" t="s">
        <v>3404</v>
      </c>
      <c r="B3827" t="s">
        <v>13</v>
      </c>
      <c r="C3827">
        <v>2.02</v>
      </c>
      <c r="D3827">
        <v>2.1</v>
      </c>
      <c r="E3827" t="s">
        <v>17</v>
      </c>
      <c r="F3827">
        <v>19.8</v>
      </c>
      <c r="G3827">
        <v>19.05</v>
      </c>
      <c r="H3827" t="s">
        <v>17</v>
      </c>
      <c r="I3827" t="str">
        <f>"063459001508"</f>
        <v>063459001508</v>
      </c>
    </row>
    <row r="3828" spans="1:9" x14ac:dyDescent="0.25">
      <c r="A3828" t="s">
        <v>3405</v>
      </c>
      <c r="B3828" t="s">
        <v>13</v>
      </c>
      <c r="C3828" t="s">
        <v>17</v>
      </c>
      <c r="D3828" t="s">
        <v>14</v>
      </c>
      <c r="E3828" t="s">
        <v>14</v>
      </c>
      <c r="F3828" t="s">
        <v>17</v>
      </c>
      <c r="G3828" t="s">
        <v>14</v>
      </c>
      <c r="H3828" t="s">
        <v>14</v>
      </c>
      <c r="I3828" t="str">
        <f>"060171013092"</f>
        <v>060171013092</v>
      </c>
    </row>
    <row r="3829" spans="1:9" x14ac:dyDescent="0.25">
      <c r="A3829" t="s">
        <v>3406</v>
      </c>
      <c r="B3829" t="s">
        <v>13</v>
      </c>
      <c r="C3829">
        <v>31.8</v>
      </c>
      <c r="D3829">
        <v>30.8</v>
      </c>
      <c r="E3829" t="s">
        <v>17</v>
      </c>
      <c r="F3829">
        <v>22.33</v>
      </c>
      <c r="G3829">
        <v>23.28</v>
      </c>
      <c r="H3829" t="s">
        <v>17</v>
      </c>
      <c r="I3829" t="str">
        <f>"062577003857"</f>
        <v>062577003857</v>
      </c>
    </row>
    <row r="3830" spans="1:9" x14ac:dyDescent="0.25">
      <c r="A3830" t="s">
        <v>3407</v>
      </c>
      <c r="B3830" t="s">
        <v>13</v>
      </c>
      <c r="C3830">
        <v>25</v>
      </c>
      <c r="D3830">
        <v>22</v>
      </c>
      <c r="E3830" t="s">
        <v>17</v>
      </c>
      <c r="F3830">
        <v>28.04</v>
      </c>
      <c r="G3830">
        <v>25.41</v>
      </c>
      <c r="H3830" t="s">
        <v>17</v>
      </c>
      <c r="I3830" t="str">
        <f>"061632302032"</f>
        <v>061632302032</v>
      </c>
    </row>
    <row r="3831" spans="1:9" x14ac:dyDescent="0.25">
      <c r="A3831" t="s">
        <v>3408</v>
      </c>
      <c r="B3831" t="s">
        <v>13</v>
      </c>
      <c r="C3831">
        <v>22.44</v>
      </c>
      <c r="D3831">
        <v>23.9</v>
      </c>
      <c r="E3831" t="s">
        <v>17</v>
      </c>
      <c r="F3831">
        <v>22.15</v>
      </c>
      <c r="G3831">
        <v>20.88</v>
      </c>
      <c r="H3831" t="s">
        <v>17</v>
      </c>
      <c r="I3831" t="str">
        <f>"061632302033"</f>
        <v>061632302033</v>
      </c>
    </row>
    <row r="3832" spans="1:9" x14ac:dyDescent="0.25">
      <c r="A3832" t="s">
        <v>3409</v>
      </c>
      <c r="B3832" t="s">
        <v>13</v>
      </c>
      <c r="C3832">
        <v>10.17</v>
      </c>
      <c r="D3832">
        <v>15.4</v>
      </c>
      <c r="E3832" t="s">
        <v>17</v>
      </c>
      <c r="F3832">
        <v>26.65</v>
      </c>
      <c r="G3832">
        <v>23.77</v>
      </c>
      <c r="H3832" t="s">
        <v>17</v>
      </c>
      <c r="I3832" t="str">
        <f>"061632309842"</f>
        <v>061632309842</v>
      </c>
    </row>
    <row r="3833" spans="1:9" x14ac:dyDescent="0.25">
      <c r="A3833" t="s">
        <v>3410</v>
      </c>
      <c r="B3833" t="s">
        <v>13</v>
      </c>
      <c r="C3833">
        <v>31.1</v>
      </c>
      <c r="D3833">
        <v>34</v>
      </c>
      <c r="E3833" t="s">
        <v>17</v>
      </c>
      <c r="F3833">
        <v>22.19</v>
      </c>
      <c r="G3833">
        <v>21.41</v>
      </c>
      <c r="H3833" t="s">
        <v>17</v>
      </c>
      <c r="I3833" t="str">
        <f>"062691007481"</f>
        <v>062691007481</v>
      </c>
    </row>
    <row r="3834" spans="1:9" x14ac:dyDescent="0.25">
      <c r="A3834" t="s">
        <v>3411</v>
      </c>
      <c r="B3834" t="s">
        <v>13</v>
      </c>
      <c r="C3834" t="s">
        <v>14</v>
      </c>
      <c r="D3834" t="s">
        <v>14</v>
      </c>
      <c r="E3834" t="s">
        <v>17</v>
      </c>
      <c r="F3834" t="s">
        <v>14</v>
      </c>
      <c r="G3834" t="s">
        <v>14</v>
      </c>
      <c r="H3834" t="s">
        <v>17</v>
      </c>
      <c r="I3834" t="str">
        <f>"061578010565"</f>
        <v>061578010565</v>
      </c>
    </row>
    <row r="3835" spans="1:9" x14ac:dyDescent="0.25">
      <c r="A3835" t="s">
        <v>3412</v>
      </c>
      <c r="B3835" t="s">
        <v>13</v>
      </c>
      <c r="C3835">
        <v>19</v>
      </c>
      <c r="D3835">
        <v>22</v>
      </c>
      <c r="E3835" t="s">
        <v>17</v>
      </c>
      <c r="F3835">
        <v>32.58</v>
      </c>
      <c r="G3835">
        <v>27.45</v>
      </c>
      <c r="H3835" t="s">
        <v>17</v>
      </c>
      <c r="I3835" t="str">
        <f>"062949004542"</f>
        <v>062949004542</v>
      </c>
    </row>
    <row r="3836" spans="1:9" x14ac:dyDescent="0.25">
      <c r="A3836" t="s">
        <v>3413</v>
      </c>
      <c r="B3836" t="s">
        <v>13</v>
      </c>
      <c r="C3836">
        <v>18.739999999999998</v>
      </c>
      <c r="D3836">
        <v>18.329999999999998</v>
      </c>
      <c r="E3836" t="s">
        <v>17</v>
      </c>
      <c r="F3836">
        <v>21.77</v>
      </c>
      <c r="G3836">
        <v>22.04</v>
      </c>
      <c r="H3836" t="s">
        <v>17</v>
      </c>
      <c r="I3836" t="str">
        <f>"062706004092"</f>
        <v>062706004092</v>
      </c>
    </row>
    <row r="3837" spans="1:9" x14ac:dyDescent="0.25">
      <c r="A3837" t="s">
        <v>3414</v>
      </c>
      <c r="B3837" t="s">
        <v>13</v>
      </c>
      <c r="C3837">
        <v>30</v>
      </c>
      <c r="D3837">
        <v>27.23</v>
      </c>
      <c r="E3837" t="s">
        <v>17</v>
      </c>
      <c r="F3837">
        <v>25.83</v>
      </c>
      <c r="G3837">
        <v>27.18</v>
      </c>
      <c r="H3837" t="s">
        <v>17</v>
      </c>
      <c r="I3837" t="str">
        <f>"060003612351"</f>
        <v>060003612351</v>
      </c>
    </row>
    <row r="3838" spans="1:9" x14ac:dyDescent="0.25">
      <c r="A3838" t="s">
        <v>3415</v>
      </c>
      <c r="B3838" t="s">
        <v>13</v>
      </c>
      <c r="C3838">
        <v>16.5</v>
      </c>
      <c r="D3838">
        <v>19</v>
      </c>
      <c r="E3838" t="s">
        <v>17</v>
      </c>
      <c r="F3838">
        <v>24.61</v>
      </c>
      <c r="G3838">
        <v>21.05</v>
      </c>
      <c r="H3838" t="s">
        <v>17</v>
      </c>
      <c r="I3838" t="str">
        <f>"062256008550"</f>
        <v>062256008550</v>
      </c>
    </row>
    <row r="3839" spans="1:9" x14ac:dyDescent="0.25">
      <c r="A3839" t="s">
        <v>3416</v>
      </c>
      <c r="B3839" t="s">
        <v>13</v>
      </c>
      <c r="C3839">
        <v>3</v>
      </c>
      <c r="D3839">
        <v>2</v>
      </c>
      <c r="E3839" t="s">
        <v>17</v>
      </c>
      <c r="F3839">
        <v>5</v>
      </c>
      <c r="G3839">
        <v>8.5</v>
      </c>
      <c r="H3839" t="s">
        <v>17</v>
      </c>
      <c r="I3839" t="str">
        <f>"061336012633"</f>
        <v>061336012633</v>
      </c>
    </row>
    <row r="3840" spans="1:9" x14ac:dyDescent="0.25">
      <c r="A3840" t="s">
        <v>3417</v>
      </c>
      <c r="B3840" t="s">
        <v>13</v>
      </c>
      <c r="C3840">
        <v>10</v>
      </c>
      <c r="D3840">
        <v>8.3000000000000007</v>
      </c>
      <c r="E3840" t="s">
        <v>17</v>
      </c>
      <c r="F3840">
        <v>29.1</v>
      </c>
      <c r="G3840">
        <v>39.64</v>
      </c>
      <c r="H3840" t="s">
        <v>17</v>
      </c>
      <c r="I3840" t="str">
        <f>"063384005246"</f>
        <v>063384005246</v>
      </c>
    </row>
    <row r="3841" spans="1:9" x14ac:dyDescent="0.25">
      <c r="A3841" t="s">
        <v>3418</v>
      </c>
      <c r="B3841" t="s">
        <v>13</v>
      </c>
      <c r="C3841">
        <v>18</v>
      </c>
      <c r="D3841">
        <v>17</v>
      </c>
      <c r="E3841" t="s">
        <v>17</v>
      </c>
      <c r="F3841">
        <v>24.67</v>
      </c>
      <c r="G3841">
        <v>26.88</v>
      </c>
      <c r="H3841" t="s">
        <v>17</v>
      </c>
      <c r="I3841" t="str">
        <f>"062523011964"</f>
        <v>062523011964</v>
      </c>
    </row>
    <row r="3842" spans="1:9" x14ac:dyDescent="0.25">
      <c r="A3842" t="s">
        <v>3419</v>
      </c>
      <c r="B3842" t="s">
        <v>13</v>
      </c>
      <c r="C3842">
        <v>27.45</v>
      </c>
      <c r="D3842">
        <v>26.1</v>
      </c>
      <c r="E3842" t="s">
        <v>17</v>
      </c>
      <c r="F3842">
        <v>25.06</v>
      </c>
      <c r="G3842">
        <v>25.17</v>
      </c>
      <c r="H3842" t="s">
        <v>17</v>
      </c>
      <c r="I3842" t="str">
        <f>"063459005742"</f>
        <v>063459005742</v>
      </c>
    </row>
    <row r="3843" spans="1:9" x14ac:dyDescent="0.25">
      <c r="A3843" t="s">
        <v>3420</v>
      </c>
      <c r="B3843" t="s">
        <v>13</v>
      </c>
      <c r="C3843">
        <v>35.5</v>
      </c>
      <c r="D3843">
        <v>36</v>
      </c>
      <c r="E3843" t="s">
        <v>17</v>
      </c>
      <c r="F3843">
        <v>23.94</v>
      </c>
      <c r="G3843">
        <v>24.75</v>
      </c>
      <c r="H3843" t="s">
        <v>17</v>
      </c>
      <c r="I3843" t="str">
        <f>"062271003061"</f>
        <v>062271003061</v>
      </c>
    </row>
    <row r="3844" spans="1:9" x14ac:dyDescent="0.25">
      <c r="A3844" t="s">
        <v>3421</v>
      </c>
      <c r="B3844" t="s">
        <v>13</v>
      </c>
      <c r="C3844">
        <v>29.8</v>
      </c>
      <c r="D3844">
        <v>31.8</v>
      </c>
      <c r="E3844" t="s">
        <v>17</v>
      </c>
      <c r="F3844">
        <v>22.35</v>
      </c>
      <c r="G3844">
        <v>21.45</v>
      </c>
      <c r="H3844" t="s">
        <v>17</v>
      </c>
      <c r="I3844" t="str">
        <f>"063432010057"</f>
        <v>063432010057</v>
      </c>
    </row>
    <row r="3845" spans="1:9" x14ac:dyDescent="0.25">
      <c r="A3845" t="s">
        <v>3422</v>
      </c>
      <c r="B3845" t="s">
        <v>13</v>
      </c>
      <c r="C3845">
        <v>16.5</v>
      </c>
      <c r="D3845">
        <v>21.5</v>
      </c>
      <c r="E3845" t="s">
        <v>17</v>
      </c>
      <c r="F3845">
        <v>25.45</v>
      </c>
      <c r="G3845">
        <v>19.53</v>
      </c>
      <c r="H3845" t="s">
        <v>17</v>
      </c>
      <c r="I3845" t="str">
        <f>"060133204151"</f>
        <v>060133204151</v>
      </c>
    </row>
    <row r="3846" spans="1:9" x14ac:dyDescent="0.25">
      <c r="A3846" t="s">
        <v>3423</v>
      </c>
      <c r="B3846" t="s">
        <v>13</v>
      </c>
      <c r="C3846">
        <v>23</v>
      </c>
      <c r="D3846">
        <v>24</v>
      </c>
      <c r="E3846" t="s">
        <v>17</v>
      </c>
      <c r="F3846">
        <v>20.43</v>
      </c>
      <c r="G3846">
        <v>19</v>
      </c>
      <c r="H3846" t="s">
        <v>17</v>
      </c>
      <c r="I3846" t="str">
        <f>"060861000860"</f>
        <v>060861000860</v>
      </c>
    </row>
    <row r="3847" spans="1:9" x14ac:dyDescent="0.25">
      <c r="A3847" t="s">
        <v>3424</v>
      </c>
      <c r="B3847" t="s">
        <v>13</v>
      </c>
      <c r="C3847">
        <v>40.700000000000003</v>
      </c>
      <c r="D3847">
        <v>42.3</v>
      </c>
      <c r="E3847" t="s">
        <v>17</v>
      </c>
      <c r="F3847">
        <v>23.71</v>
      </c>
      <c r="G3847">
        <v>22.1</v>
      </c>
      <c r="H3847" t="s">
        <v>17</v>
      </c>
      <c r="I3847" t="str">
        <f>"060678000599"</f>
        <v>060678000599</v>
      </c>
    </row>
    <row r="3848" spans="1:9" x14ac:dyDescent="0.25">
      <c r="A3848" t="s">
        <v>3425</v>
      </c>
      <c r="B3848" t="s">
        <v>13</v>
      </c>
      <c r="C3848">
        <v>18</v>
      </c>
      <c r="D3848">
        <v>19</v>
      </c>
      <c r="E3848" t="s">
        <v>17</v>
      </c>
      <c r="F3848">
        <v>31.67</v>
      </c>
      <c r="G3848">
        <v>30.47</v>
      </c>
      <c r="H3848" t="s">
        <v>17</v>
      </c>
      <c r="I3848" t="str">
        <f>"062949004543"</f>
        <v>062949004543</v>
      </c>
    </row>
    <row r="3849" spans="1:9" x14ac:dyDescent="0.25">
      <c r="A3849" t="s">
        <v>3426</v>
      </c>
      <c r="B3849" t="s">
        <v>13</v>
      </c>
      <c r="C3849">
        <v>33.65</v>
      </c>
      <c r="D3849">
        <v>33.25</v>
      </c>
      <c r="E3849" t="s">
        <v>17</v>
      </c>
      <c r="F3849">
        <v>17.86</v>
      </c>
      <c r="G3849">
        <v>18.11</v>
      </c>
      <c r="H3849" t="s">
        <v>17</v>
      </c>
      <c r="I3849" t="str">
        <f>"062091002515"</f>
        <v>062091002515</v>
      </c>
    </row>
    <row r="3850" spans="1:9" x14ac:dyDescent="0.25">
      <c r="A3850" t="s">
        <v>3427</v>
      </c>
      <c r="B3850" t="s">
        <v>13</v>
      </c>
      <c r="C3850">
        <v>27</v>
      </c>
      <c r="D3850">
        <v>26.5</v>
      </c>
      <c r="E3850" t="s">
        <v>17</v>
      </c>
      <c r="F3850">
        <v>22.41</v>
      </c>
      <c r="G3850">
        <v>22.45</v>
      </c>
      <c r="H3850" t="s">
        <v>17</v>
      </c>
      <c r="I3850" t="str">
        <f>"062271003063"</f>
        <v>062271003063</v>
      </c>
    </row>
    <row r="3851" spans="1:9" x14ac:dyDescent="0.25">
      <c r="A3851" t="s">
        <v>3428</v>
      </c>
      <c r="B3851" t="s">
        <v>13</v>
      </c>
      <c r="C3851">
        <v>18.59</v>
      </c>
      <c r="D3851">
        <v>18.61</v>
      </c>
      <c r="E3851" t="s">
        <v>17</v>
      </c>
      <c r="F3851">
        <v>23.67</v>
      </c>
      <c r="G3851">
        <v>23.32</v>
      </c>
      <c r="H3851" t="s">
        <v>17</v>
      </c>
      <c r="I3851" t="str">
        <f>"063525007967"</f>
        <v>063525007967</v>
      </c>
    </row>
    <row r="3852" spans="1:9" x14ac:dyDescent="0.25">
      <c r="A3852" t="s">
        <v>3429</v>
      </c>
      <c r="B3852" t="s">
        <v>13</v>
      </c>
      <c r="C3852" t="str">
        <f>"0.67"</f>
        <v>0.67</v>
      </c>
      <c r="D3852">
        <v>1</v>
      </c>
      <c r="E3852" t="s">
        <v>17</v>
      </c>
      <c r="F3852">
        <v>2.99</v>
      </c>
      <c r="G3852">
        <v>2</v>
      </c>
      <c r="H3852" t="s">
        <v>17</v>
      </c>
      <c r="I3852" t="str">
        <f>"060133908481"</f>
        <v>060133908481</v>
      </c>
    </row>
    <row r="3853" spans="1:9" x14ac:dyDescent="0.25">
      <c r="A3853" t="s">
        <v>3430</v>
      </c>
      <c r="B3853" t="s">
        <v>13</v>
      </c>
      <c r="C3853">
        <v>15.51</v>
      </c>
      <c r="D3853">
        <v>19.72</v>
      </c>
      <c r="E3853" t="s">
        <v>17</v>
      </c>
      <c r="F3853">
        <v>26.24</v>
      </c>
      <c r="G3853">
        <v>22.72</v>
      </c>
      <c r="H3853" t="s">
        <v>17</v>
      </c>
      <c r="I3853" t="str">
        <f>"060133902076"</f>
        <v>060133902076</v>
      </c>
    </row>
    <row r="3854" spans="1:9" x14ac:dyDescent="0.25">
      <c r="A3854" t="s">
        <v>3430</v>
      </c>
      <c r="B3854" t="s">
        <v>13</v>
      </c>
      <c r="C3854">
        <v>25</v>
      </c>
      <c r="D3854">
        <v>26</v>
      </c>
      <c r="E3854" t="s">
        <v>17</v>
      </c>
      <c r="F3854">
        <v>23.76</v>
      </c>
      <c r="G3854">
        <v>22.54</v>
      </c>
      <c r="H3854" t="s">
        <v>17</v>
      </c>
      <c r="I3854" t="str">
        <f>"061647011606"</f>
        <v>061647011606</v>
      </c>
    </row>
    <row r="3855" spans="1:9" x14ac:dyDescent="0.25">
      <c r="A3855" t="s">
        <v>3430</v>
      </c>
      <c r="B3855" t="s">
        <v>13</v>
      </c>
      <c r="C3855">
        <v>36.5</v>
      </c>
      <c r="D3855">
        <v>36.799999999999997</v>
      </c>
      <c r="E3855" t="s">
        <v>17</v>
      </c>
      <c r="F3855">
        <v>22.63</v>
      </c>
      <c r="G3855">
        <v>21.66</v>
      </c>
      <c r="H3855" t="s">
        <v>17</v>
      </c>
      <c r="I3855" t="str">
        <f>"061455010488"</f>
        <v>061455010488</v>
      </c>
    </row>
    <row r="3856" spans="1:9" x14ac:dyDescent="0.25">
      <c r="A3856" t="s">
        <v>3430</v>
      </c>
      <c r="B3856" t="s">
        <v>13</v>
      </c>
      <c r="C3856">
        <v>22</v>
      </c>
      <c r="D3856">
        <v>22</v>
      </c>
      <c r="E3856" t="s">
        <v>17</v>
      </c>
      <c r="F3856">
        <v>25.36</v>
      </c>
      <c r="G3856">
        <v>26.23</v>
      </c>
      <c r="H3856" t="s">
        <v>17</v>
      </c>
      <c r="I3856" t="str">
        <f>"062994004671"</f>
        <v>062994004671</v>
      </c>
    </row>
    <row r="3857" spans="1:9" x14ac:dyDescent="0.25">
      <c r="A3857" t="s">
        <v>3430</v>
      </c>
      <c r="B3857" t="s">
        <v>13</v>
      </c>
      <c r="C3857">
        <v>21.4</v>
      </c>
      <c r="D3857">
        <v>22.2</v>
      </c>
      <c r="E3857" t="s">
        <v>17</v>
      </c>
      <c r="F3857">
        <v>21.31</v>
      </c>
      <c r="G3857">
        <v>22.57</v>
      </c>
      <c r="H3857" t="s">
        <v>17</v>
      </c>
      <c r="I3857" t="str">
        <f>"061692011021"</f>
        <v>061692011021</v>
      </c>
    </row>
    <row r="3858" spans="1:9" x14ac:dyDescent="0.25">
      <c r="A3858" t="s">
        <v>3430</v>
      </c>
      <c r="B3858" t="s">
        <v>13</v>
      </c>
      <c r="C3858">
        <v>29.8</v>
      </c>
      <c r="D3858">
        <v>29.68</v>
      </c>
      <c r="E3858" t="s">
        <v>17</v>
      </c>
      <c r="F3858">
        <v>19.23</v>
      </c>
      <c r="G3858">
        <v>19.04</v>
      </c>
      <c r="H3858" t="s">
        <v>17</v>
      </c>
      <c r="I3858" t="str">
        <f>"063432005473"</f>
        <v>063432005473</v>
      </c>
    </row>
    <row r="3859" spans="1:9" x14ac:dyDescent="0.25">
      <c r="A3859" t="s">
        <v>3431</v>
      </c>
      <c r="B3859" t="s">
        <v>13</v>
      </c>
      <c r="C3859">
        <v>21.3</v>
      </c>
      <c r="D3859">
        <v>21.7</v>
      </c>
      <c r="E3859" t="s">
        <v>17</v>
      </c>
      <c r="F3859">
        <v>15.45</v>
      </c>
      <c r="G3859">
        <v>16.309999999999999</v>
      </c>
      <c r="H3859" t="s">
        <v>17</v>
      </c>
      <c r="I3859" t="str">
        <f>"061692011020"</f>
        <v>061692011020</v>
      </c>
    </row>
    <row r="3860" spans="1:9" x14ac:dyDescent="0.25">
      <c r="A3860" t="s">
        <v>3431</v>
      </c>
      <c r="B3860" t="s">
        <v>13</v>
      </c>
      <c r="C3860">
        <v>14.48</v>
      </c>
      <c r="D3860">
        <v>16.399999999999999</v>
      </c>
      <c r="E3860" t="s">
        <v>17</v>
      </c>
      <c r="F3860">
        <v>19.68</v>
      </c>
      <c r="G3860">
        <v>17.8</v>
      </c>
      <c r="H3860" t="s">
        <v>17</v>
      </c>
      <c r="I3860" t="str">
        <f>"060133902078"</f>
        <v>060133902078</v>
      </c>
    </row>
    <row r="3861" spans="1:9" x14ac:dyDescent="0.25">
      <c r="A3861" t="s">
        <v>3432</v>
      </c>
      <c r="B3861" t="s">
        <v>13</v>
      </c>
      <c r="C3861">
        <v>36.700000000000003</v>
      </c>
      <c r="D3861">
        <v>36.4</v>
      </c>
      <c r="E3861" t="s">
        <v>17</v>
      </c>
      <c r="F3861">
        <v>20.82</v>
      </c>
      <c r="G3861">
        <v>20.11</v>
      </c>
      <c r="H3861" t="s">
        <v>17</v>
      </c>
      <c r="I3861" t="str">
        <f>"062772004185"</f>
        <v>062772004185</v>
      </c>
    </row>
    <row r="3862" spans="1:9" x14ac:dyDescent="0.25">
      <c r="A3862" t="s">
        <v>3433</v>
      </c>
      <c r="B3862" t="s">
        <v>13</v>
      </c>
      <c r="C3862">
        <v>33.229999999999997</v>
      </c>
      <c r="D3862">
        <v>33.159999999999997</v>
      </c>
      <c r="E3862" t="s">
        <v>17</v>
      </c>
      <c r="F3862">
        <v>28.95</v>
      </c>
      <c r="G3862">
        <v>31.03</v>
      </c>
      <c r="H3862" t="s">
        <v>17</v>
      </c>
      <c r="I3862" t="str">
        <f>"062250002719"</f>
        <v>062250002719</v>
      </c>
    </row>
    <row r="3863" spans="1:9" x14ac:dyDescent="0.25">
      <c r="A3863" t="s">
        <v>3434</v>
      </c>
      <c r="B3863" t="s">
        <v>13</v>
      </c>
      <c r="C3863">
        <v>18</v>
      </c>
      <c r="D3863">
        <v>18</v>
      </c>
      <c r="E3863" t="s">
        <v>17</v>
      </c>
      <c r="F3863">
        <v>22.72</v>
      </c>
      <c r="G3863">
        <v>23.72</v>
      </c>
      <c r="H3863" t="s">
        <v>17</v>
      </c>
      <c r="I3863" t="str">
        <f>"062271003065"</f>
        <v>062271003065</v>
      </c>
    </row>
    <row r="3864" spans="1:9" x14ac:dyDescent="0.25">
      <c r="A3864" t="s">
        <v>3435</v>
      </c>
      <c r="B3864" t="s">
        <v>13</v>
      </c>
      <c r="C3864">
        <v>11.9</v>
      </c>
      <c r="D3864">
        <v>12</v>
      </c>
      <c r="E3864" t="s">
        <v>17</v>
      </c>
      <c r="F3864">
        <v>26.22</v>
      </c>
      <c r="G3864">
        <v>26.5</v>
      </c>
      <c r="H3864" t="s">
        <v>17</v>
      </c>
      <c r="I3864" t="str">
        <f>"063459007429"</f>
        <v>063459007429</v>
      </c>
    </row>
    <row r="3865" spans="1:9" x14ac:dyDescent="0.25">
      <c r="A3865" t="s">
        <v>3436</v>
      </c>
      <c r="B3865" t="s">
        <v>13</v>
      </c>
      <c r="C3865">
        <v>29.9</v>
      </c>
      <c r="D3865">
        <v>36</v>
      </c>
      <c r="E3865" t="s">
        <v>17</v>
      </c>
      <c r="F3865">
        <v>22.01</v>
      </c>
      <c r="G3865">
        <v>20.39</v>
      </c>
      <c r="H3865" t="s">
        <v>17</v>
      </c>
      <c r="I3865" t="str">
        <f>"063432005474"</f>
        <v>063432005474</v>
      </c>
    </row>
    <row r="3866" spans="1:9" x14ac:dyDescent="0.25">
      <c r="A3866" t="s">
        <v>3437</v>
      </c>
      <c r="B3866" t="s">
        <v>13</v>
      </c>
      <c r="C3866">
        <v>33</v>
      </c>
      <c r="D3866">
        <v>32</v>
      </c>
      <c r="E3866" t="s">
        <v>17</v>
      </c>
      <c r="F3866">
        <v>23.27</v>
      </c>
      <c r="G3866">
        <v>25.09</v>
      </c>
      <c r="H3866" t="s">
        <v>17</v>
      </c>
      <c r="I3866" t="str">
        <f>"062271003067"</f>
        <v>062271003067</v>
      </c>
    </row>
    <row r="3867" spans="1:9" x14ac:dyDescent="0.25">
      <c r="A3867" t="s">
        <v>3438</v>
      </c>
      <c r="B3867" t="s">
        <v>13</v>
      </c>
      <c r="C3867">
        <v>28</v>
      </c>
      <c r="D3867">
        <v>25.5</v>
      </c>
      <c r="E3867" t="s">
        <v>17</v>
      </c>
      <c r="F3867">
        <v>18.96</v>
      </c>
      <c r="G3867">
        <v>19.920000000000002</v>
      </c>
      <c r="H3867" t="s">
        <v>17</v>
      </c>
      <c r="I3867" t="str">
        <f>"062865004430"</f>
        <v>062865004430</v>
      </c>
    </row>
    <row r="3868" spans="1:9" x14ac:dyDescent="0.25">
      <c r="A3868" t="s">
        <v>3439</v>
      </c>
      <c r="B3868" t="s">
        <v>13</v>
      </c>
      <c r="C3868">
        <v>1.17</v>
      </c>
      <c r="D3868">
        <v>1.17</v>
      </c>
      <c r="E3868" t="s">
        <v>17</v>
      </c>
      <c r="F3868">
        <v>5.98</v>
      </c>
      <c r="G3868">
        <v>5.98</v>
      </c>
      <c r="H3868" t="s">
        <v>17</v>
      </c>
      <c r="I3868" t="str">
        <f>"061650007103"</f>
        <v>061650007103</v>
      </c>
    </row>
    <row r="3869" spans="1:9" x14ac:dyDescent="0.25">
      <c r="A3869" t="s">
        <v>3440</v>
      </c>
      <c r="B3869" t="s">
        <v>13</v>
      </c>
      <c r="C3869">
        <v>2</v>
      </c>
      <c r="D3869">
        <v>2.5</v>
      </c>
      <c r="E3869" t="s">
        <v>17</v>
      </c>
      <c r="F3869">
        <v>7</v>
      </c>
      <c r="G3869">
        <v>5.2</v>
      </c>
      <c r="H3869" t="s">
        <v>17</v>
      </c>
      <c r="I3869" t="str">
        <f>"061647008707"</f>
        <v>061647008707</v>
      </c>
    </row>
    <row r="3870" spans="1:9" x14ac:dyDescent="0.25">
      <c r="A3870" t="s">
        <v>3441</v>
      </c>
      <c r="B3870" t="s">
        <v>13</v>
      </c>
      <c r="C3870">
        <v>56.26</v>
      </c>
      <c r="D3870">
        <v>59.85</v>
      </c>
      <c r="E3870" t="s">
        <v>17</v>
      </c>
      <c r="F3870">
        <v>26.24</v>
      </c>
      <c r="G3870">
        <v>25.11</v>
      </c>
      <c r="H3870" t="s">
        <v>17</v>
      </c>
      <c r="I3870" t="str">
        <f>"061650002085"</f>
        <v>061650002085</v>
      </c>
    </row>
    <row r="3871" spans="1:9" x14ac:dyDescent="0.25">
      <c r="A3871" t="s">
        <v>3442</v>
      </c>
      <c r="B3871" t="s">
        <v>13</v>
      </c>
      <c r="C3871">
        <v>2.68</v>
      </c>
      <c r="D3871">
        <v>2.35</v>
      </c>
      <c r="E3871" t="s">
        <v>17</v>
      </c>
      <c r="F3871">
        <v>16.420000000000002</v>
      </c>
      <c r="G3871">
        <v>31.49</v>
      </c>
      <c r="H3871" t="s">
        <v>17</v>
      </c>
      <c r="I3871" t="str">
        <f>"061650008854"</f>
        <v>061650008854</v>
      </c>
    </row>
    <row r="3872" spans="1:9" x14ac:dyDescent="0.25">
      <c r="A3872" t="s">
        <v>3443</v>
      </c>
      <c r="B3872" t="s">
        <v>13</v>
      </c>
      <c r="C3872">
        <v>52.16</v>
      </c>
      <c r="D3872">
        <v>54.14</v>
      </c>
      <c r="E3872" t="s">
        <v>17</v>
      </c>
      <c r="F3872">
        <v>25.84</v>
      </c>
      <c r="G3872">
        <v>24.68</v>
      </c>
      <c r="H3872" t="s">
        <v>17</v>
      </c>
      <c r="I3872" t="str">
        <f>"061650007506"</f>
        <v>061650007506</v>
      </c>
    </row>
    <row r="3873" spans="1:9" x14ac:dyDescent="0.25">
      <c r="A3873" t="s">
        <v>3444</v>
      </c>
      <c r="B3873" t="s">
        <v>13</v>
      </c>
      <c r="C3873">
        <v>17</v>
      </c>
      <c r="D3873">
        <v>19</v>
      </c>
      <c r="E3873" t="s">
        <v>17</v>
      </c>
      <c r="F3873">
        <v>28.29</v>
      </c>
      <c r="G3873">
        <v>24.79</v>
      </c>
      <c r="H3873" t="s">
        <v>17</v>
      </c>
      <c r="I3873" t="str">
        <f>"063255004445"</f>
        <v>063255004445</v>
      </c>
    </row>
    <row r="3874" spans="1:9" x14ac:dyDescent="0.25">
      <c r="A3874" t="s">
        <v>3445</v>
      </c>
      <c r="B3874" t="s">
        <v>13</v>
      </c>
      <c r="C3874">
        <v>27</v>
      </c>
      <c r="D3874">
        <v>27</v>
      </c>
      <c r="E3874" t="s">
        <v>17</v>
      </c>
      <c r="F3874">
        <v>25.37</v>
      </c>
      <c r="G3874">
        <v>26.19</v>
      </c>
      <c r="H3874" t="s">
        <v>17</v>
      </c>
      <c r="I3874" t="str">
        <f>"064119011280"</f>
        <v>064119011280</v>
      </c>
    </row>
    <row r="3875" spans="1:9" x14ac:dyDescent="0.25">
      <c r="A3875" t="s">
        <v>3446</v>
      </c>
      <c r="B3875" t="s">
        <v>13</v>
      </c>
      <c r="C3875">
        <v>35.01</v>
      </c>
      <c r="D3875">
        <v>35</v>
      </c>
      <c r="E3875" t="s">
        <v>17</v>
      </c>
      <c r="F3875">
        <v>24.25</v>
      </c>
      <c r="G3875">
        <v>24.66</v>
      </c>
      <c r="H3875" t="s">
        <v>17</v>
      </c>
      <c r="I3875" t="str">
        <f>"062454012424"</f>
        <v>062454012424</v>
      </c>
    </row>
    <row r="3876" spans="1:9" x14ac:dyDescent="0.25">
      <c r="A3876" t="s">
        <v>3447</v>
      </c>
      <c r="B3876" t="s">
        <v>13</v>
      </c>
      <c r="C3876">
        <v>28</v>
      </c>
      <c r="D3876">
        <v>25</v>
      </c>
      <c r="E3876" t="s">
        <v>17</v>
      </c>
      <c r="F3876">
        <v>26.93</v>
      </c>
      <c r="G3876">
        <v>27.88</v>
      </c>
      <c r="H3876" t="s">
        <v>17</v>
      </c>
      <c r="I3876" t="str">
        <f>"063603006166"</f>
        <v>063603006166</v>
      </c>
    </row>
    <row r="3877" spans="1:9" x14ac:dyDescent="0.25">
      <c r="A3877" t="s">
        <v>3448</v>
      </c>
      <c r="B3877" t="s">
        <v>13</v>
      </c>
      <c r="C3877">
        <v>18</v>
      </c>
      <c r="D3877">
        <v>24.99</v>
      </c>
      <c r="E3877" t="s">
        <v>17</v>
      </c>
      <c r="F3877">
        <v>29.5</v>
      </c>
      <c r="G3877">
        <v>22.89</v>
      </c>
      <c r="H3877" t="s">
        <v>17</v>
      </c>
      <c r="I3877" t="str">
        <f>"063171004905"</f>
        <v>063171004905</v>
      </c>
    </row>
    <row r="3878" spans="1:9" x14ac:dyDescent="0.25">
      <c r="A3878" t="s">
        <v>3449</v>
      </c>
      <c r="B3878" t="s">
        <v>13</v>
      </c>
      <c r="C3878" t="s">
        <v>17</v>
      </c>
      <c r="D3878" t="s">
        <v>17</v>
      </c>
      <c r="E3878" t="s">
        <v>17</v>
      </c>
      <c r="F3878" t="s">
        <v>17</v>
      </c>
      <c r="G3878" t="s">
        <v>17</v>
      </c>
      <c r="H3878" t="s">
        <v>17</v>
      </c>
      <c r="I3878" t="str">
        <f>"063694007450"</f>
        <v>063694007450</v>
      </c>
    </row>
    <row r="3879" spans="1:9" x14ac:dyDescent="0.25">
      <c r="A3879" t="s">
        <v>3450</v>
      </c>
      <c r="B3879" t="s">
        <v>13</v>
      </c>
      <c r="C3879">
        <v>7</v>
      </c>
      <c r="D3879">
        <v>7</v>
      </c>
      <c r="E3879" t="s">
        <v>17</v>
      </c>
      <c r="F3879">
        <v>16.86</v>
      </c>
      <c r="G3879">
        <v>15.86</v>
      </c>
      <c r="H3879" t="s">
        <v>17</v>
      </c>
      <c r="I3879" t="str">
        <f>"061653002087"</f>
        <v>061653002087</v>
      </c>
    </row>
    <row r="3880" spans="1:9" x14ac:dyDescent="0.25">
      <c r="A3880" t="s">
        <v>3451</v>
      </c>
      <c r="B3880" t="s">
        <v>13</v>
      </c>
      <c r="C3880" t="s">
        <v>17</v>
      </c>
      <c r="D3880" t="s">
        <v>17</v>
      </c>
      <c r="E3880" t="s">
        <v>17</v>
      </c>
      <c r="F3880" t="s">
        <v>17</v>
      </c>
      <c r="G3880" t="s">
        <v>17</v>
      </c>
      <c r="H3880" t="s">
        <v>17</v>
      </c>
      <c r="I3880" t="str">
        <f>"061653008396"</f>
        <v>061653008396</v>
      </c>
    </row>
    <row r="3881" spans="1:9" x14ac:dyDescent="0.25">
      <c r="A3881" t="s">
        <v>3452</v>
      </c>
      <c r="B3881" t="s">
        <v>13</v>
      </c>
      <c r="C3881">
        <v>6.27</v>
      </c>
      <c r="D3881">
        <v>7.44</v>
      </c>
      <c r="E3881" t="s">
        <v>17</v>
      </c>
      <c r="F3881">
        <v>10.37</v>
      </c>
      <c r="G3881">
        <v>10.35</v>
      </c>
      <c r="H3881" t="s">
        <v>17</v>
      </c>
      <c r="I3881" t="str">
        <f>"063694006277"</f>
        <v>063694006277</v>
      </c>
    </row>
    <row r="3882" spans="1:9" x14ac:dyDescent="0.25">
      <c r="A3882" t="s">
        <v>3453</v>
      </c>
      <c r="B3882" t="s">
        <v>13</v>
      </c>
      <c r="C3882" t="s">
        <v>14</v>
      </c>
      <c r="D3882" t="s">
        <v>14</v>
      </c>
      <c r="E3882" t="s">
        <v>17</v>
      </c>
      <c r="F3882" t="s">
        <v>14</v>
      </c>
      <c r="G3882" t="s">
        <v>14</v>
      </c>
      <c r="H3882" t="s">
        <v>17</v>
      </c>
      <c r="I3882" t="str">
        <f>"061653012190"</f>
        <v>061653012190</v>
      </c>
    </row>
    <row r="3883" spans="1:9" x14ac:dyDescent="0.25">
      <c r="A3883" t="s">
        <v>3454</v>
      </c>
      <c r="B3883" t="s">
        <v>13</v>
      </c>
      <c r="C3883">
        <v>1</v>
      </c>
      <c r="D3883">
        <v>1</v>
      </c>
      <c r="E3883" t="s">
        <v>17</v>
      </c>
      <c r="F3883">
        <v>11</v>
      </c>
      <c r="G3883">
        <v>10</v>
      </c>
      <c r="H3883" t="s">
        <v>17</v>
      </c>
      <c r="I3883" t="str">
        <f>"061657011803"</f>
        <v>061657011803</v>
      </c>
    </row>
    <row r="3884" spans="1:9" x14ac:dyDescent="0.25">
      <c r="A3884" t="s">
        <v>3455</v>
      </c>
      <c r="B3884" t="s">
        <v>13</v>
      </c>
      <c r="C3884">
        <v>10</v>
      </c>
      <c r="D3884">
        <v>10</v>
      </c>
      <c r="E3884" t="s">
        <v>17</v>
      </c>
      <c r="F3884">
        <v>24.7</v>
      </c>
      <c r="G3884">
        <v>24</v>
      </c>
      <c r="H3884" t="s">
        <v>17</v>
      </c>
      <c r="I3884" t="str">
        <f>"061657002089"</f>
        <v>061657002089</v>
      </c>
    </row>
    <row r="3885" spans="1:9" x14ac:dyDescent="0.25">
      <c r="A3885" t="s">
        <v>3455</v>
      </c>
      <c r="B3885" t="s">
        <v>13</v>
      </c>
      <c r="C3885">
        <v>6.4</v>
      </c>
      <c r="D3885">
        <v>6.4</v>
      </c>
      <c r="E3885" t="s">
        <v>17</v>
      </c>
      <c r="F3885">
        <v>19.84</v>
      </c>
      <c r="G3885">
        <v>20.78</v>
      </c>
      <c r="H3885" t="s">
        <v>17</v>
      </c>
      <c r="I3885" t="str">
        <f>"061656002088"</f>
        <v>061656002088</v>
      </c>
    </row>
    <row r="3886" spans="1:9" x14ac:dyDescent="0.25">
      <c r="A3886" t="s">
        <v>3455</v>
      </c>
      <c r="B3886" t="s">
        <v>13</v>
      </c>
      <c r="C3886">
        <v>20.329999999999998</v>
      </c>
      <c r="D3886">
        <v>20.84</v>
      </c>
      <c r="E3886" t="s">
        <v>17</v>
      </c>
      <c r="F3886">
        <v>24.05</v>
      </c>
      <c r="G3886">
        <v>21.88</v>
      </c>
      <c r="H3886" t="s">
        <v>17</v>
      </c>
      <c r="I3886" t="str">
        <f>"062031002447"</f>
        <v>062031002447</v>
      </c>
    </row>
    <row r="3887" spans="1:9" x14ac:dyDescent="0.25">
      <c r="A3887" t="s">
        <v>3456</v>
      </c>
      <c r="B3887" t="s">
        <v>13</v>
      </c>
      <c r="C3887">
        <v>10</v>
      </c>
      <c r="D3887">
        <v>12</v>
      </c>
      <c r="E3887" t="s">
        <v>17</v>
      </c>
      <c r="F3887">
        <v>24.9</v>
      </c>
      <c r="G3887">
        <v>21.33</v>
      </c>
      <c r="H3887" t="s">
        <v>17</v>
      </c>
      <c r="I3887" t="str">
        <f>"061657002090"</f>
        <v>061657002090</v>
      </c>
    </row>
    <row r="3888" spans="1:9" x14ac:dyDescent="0.25">
      <c r="A3888" t="s">
        <v>3457</v>
      </c>
      <c r="B3888" t="s">
        <v>13</v>
      </c>
      <c r="C3888">
        <v>47</v>
      </c>
      <c r="D3888">
        <v>47</v>
      </c>
      <c r="E3888" t="s">
        <v>17</v>
      </c>
      <c r="F3888">
        <v>26.19</v>
      </c>
      <c r="G3888">
        <v>24.34</v>
      </c>
      <c r="H3888" t="s">
        <v>17</v>
      </c>
      <c r="I3888" t="str">
        <f>"060985011015"</f>
        <v>060985011015</v>
      </c>
    </row>
    <row r="3889" spans="1:9" x14ac:dyDescent="0.25">
      <c r="A3889" t="s">
        <v>3458</v>
      </c>
      <c r="B3889" t="s">
        <v>13</v>
      </c>
      <c r="C3889">
        <v>26.5</v>
      </c>
      <c r="D3889">
        <v>23</v>
      </c>
      <c r="E3889" t="s">
        <v>17</v>
      </c>
      <c r="F3889">
        <v>22.19</v>
      </c>
      <c r="G3889">
        <v>21.87</v>
      </c>
      <c r="H3889" t="s">
        <v>17</v>
      </c>
      <c r="I3889" t="str">
        <f>"062271003068"</f>
        <v>062271003068</v>
      </c>
    </row>
    <row r="3890" spans="1:9" x14ac:dyDescent="0.25">
      <c r="A3890" t="s">
        <v>3459</v>
      </c>
      <c r="B3890" t="s">
        <v>13</v>
      </c>
      <c r="C3890">
        <v>40.049999999999997</v>
      </c>
      <c r="D3890">
        <v>40.799999999999997</v>
      </c>
      <c r="E3890" t="s">
        <v>17</v>
      </c>
      <c r="F3890">
        <v>26.12</v>
      </c>
      <c r="G3890">
        <v>25.22</v>
      </c>
      <c r="H3890" t="s">
        <v>17</v>
      </c>
      <c r="I3890" t="str">
        <f>"063560006063"</f>
        <v>063560006063</v>
      </c>
    </row>
    <row r="3891" spans="1:9" x14ac:dyDescent="0.25">
      <c r="A3891" t="s">
        <v>3460</v>
      </c>
      <c r="B3891" t="s">
        <v>13</v>
      </c>
      <c r="C3891">
        <v>15.5</v>
      </c>
      <c r="D3891">
        <v>15</v>
      </c>
      <c r="E3891" t="s">
        <v>17</v>
      </c>
      <c r="F3891">
        <v>25.94</v>
      </c>
      <c r="G3891">
        <v>26.93</v>
      </c>
      <c r="H3891" t="s">
        <v>17</v>
      </c>
      <c r="I3891" t="str">
        <f>"062271010844"</f>
        <v>062271010844</v>
      </c>
    </row>
    <row r="3892" spans="1:9" x14ac:dyDescent="0.25">
      <c r="A3892" t="s">
        <v>3461</v>
      </c>
      <c r="B3892" t="s">
        <v>13</v>
      </c>
      <c r="C3892">
        <v>21.75</v>
      </c>
      <c r="D3892">
        <v>20.48</v>
      </c>
      <c r="E3892" t="s">
        <v>17</v>
      </c>
      <c r="F3892">
        <v>21.47</v>
      </c>
      <c r="G3892">
        <v>22.75</v>
      </c>
      <c r="H3892" t="s">
        <v>17</v>
      </c>
      <c r="I3892" t="str">
        <f>"062724004115"</f>
        <v>062724004115</v>
      </c>
    </row>
    <row r="3893" spans="1:9" x14ac:dyDescent="0.25">
      <c r="A3893" t="s">
        <v>3462</v>
      </c>
      <c r="B3893" t="s">
        <v>13</v>
      </c>
      <c r="C3893">
        <v>40</v>
      </c>
      <c r="D3893">
        <v>40.53</v>
      </c>
      <c r="E3893" t="s">
        <v>17</v>
      </c>
      <c r="F3893">
        <v>15.45</v>
      </c>
      <c r="G3893">
        <v>15.37</v>
      </c>
      <c r="H3893" t="s">
        <v>17</v>
      </c>
      <c r="I3893" t="str">
        <f>"060861000861"</f>
        <v>060861000861</v>
      </c>
    </row>
    <row r="3894" spans="1:9" x14ac:dyDescent="0.25">
      <c r="A3894" t="s">
        <v>3463</v>
      </c>
      <c r="B3894" t="s">
        <v>13</v>
      </c>
      <c r="C3894">
        <v>28.43</v>
      </c>
      <c r="D3894">
        <v>33</v>
      </c>
      <c r="E3894" t="s">
        <v>17</v>
      </c>
      <c r="F3894">
        <v>28.95</v>
      </c>
      <c r="G3894">
        <v>26.06</v>
      </c>
      <c r="H3894" t="s">
        <v>17</v>
      </c>
      <c r="I3894" t="str">
        <f>"062814004333"</f>
        <v>062814004333</v>
      </c>
    </row>
    <row r="3895" spans="1:9" x14ac:dyDescent="0.25">
      <c r="A3895" t="s">
        <v>3464</v>
      </c>
      <c r="B3895" t="s">
        <v>13</v>
      </c>
      <c r="C3895" t="str">
        <f>"0.70"</f>
        <v>0.70</v>
      </c>
      <c r="D3895">
        <v>1.7</v>
      </c>
      <c r="E3895" t="s">
        <v>17</v>
      </c>
      <c r="F3895">
        <v>8.57</v>
      </c>
      <c r="G3895">
        <v>8.24</v>
      </c>
      <c r="H3895" t="s">
        <v>17</v>
      </c>
      <c r="I3895" t="str">
        <f>"063255007080"</f>
        <v>063255007080</v>
      </c>
    </row>
    <row r="3896" spans="1:9" x14ac:dyDescent="0.25">
      <c r="A3896" t="s">
        <v>3465</v>
      </c>
      <c r="B3896" t="s">
        <v>13</v>
      </c>
      <c r="C3896">
        <v>52.39</v>
      </c>
      <c r="D3896">
        <v>48.6</v>
      </c>
      <c r="E3896" t="s">
        <v>17</v>
      </c>
      <c r="F3896">
        <v>23.29</v>
      </c>
      <c r="G3896">
        <v>24.59</v>
      </c>
      <c r="H3896" t="s">
        <v>17</v>
      </c>
      <c r="I3896" t="str">
        <f>"063398000677"</f>
        <v>063398000677</v>
      </c>
    </row>
    <row r="3897" spans="1:9" x14ac:dyDescent="0.25">
      <c r="A3897" t="s">
        <v>3466</v>
      </c>
      <c r="B3897" t="s">
        <v>13</v>
      </c>
      <c r="C3897">
        <v>20.5</v>
      </c>
      <c r="D3897">
        <v>25.6</v>
      </c>
      <c r="E3897" t="s">
        <v>17</v>
      </c>
      <c r="F3897">
        <v>30.39</v>
      </c>
      <c r="G3897">
        <v>23.24</v>
      </c>
      <c r="H3897" t="s">
        <v>17</v>
      </c>
      <c r="I3897" t="str">
        <f>"061674002115"</f>
        <v>061674002115</v>
      </c>
    </row>
    <row r="3898" spans="1:9" x14ac:dyDescent="0.25">
      <c r="A3898" t="s">
        <v>3467</v>
      </c>
      <c r="B3898" t="s">
        <v>13</v>
      </c>
      <c r="C3898">
        <v>19</v>
      </c>
      <c r="D3898">
        <v>21</v>
      </c>
      <c r="E3898" t="s">
        <v>17</v>
      </c>
      <c r="F3898">
        <v>18.05</v>
      </c>
      <c r="G3898">
        <v>17.38</v>
      </c>
      <c r="H3898" t="s">
        <v>17</v>
      </c>
      <c r="I3898" t="str">
        <f>"063255005033"</f>
        <v>063255005033</v>
      </c>
    </row>
    <row r="3899" spans="1:9" x14ac:dyDescent="0.25">
      <c r="A3899" t="s">
        <v>3467</v>
      </c>
      <c r="B3899" t="s">
        <v>13</v>
      </c>
      <c r="C3899">
        <v>19</v>
      </c>
      <c r="D3899">
        <v>18</v>
      </c>
      <c r="E3899" t="s">
        <v>17</v>
      </c>
      <c r="F3899">
        <v>26.58</v>
      </c>
      <c r="G3899">
        <v>26.67</v>
      </c>
      <c r="H3899" t="s">
        <v>17</v>
      </c>
      <c r="I3899" t="str">
        <f>"061203001334"</f>
        <v>061203001334</v>
      </c>
    </row>
    <row r="3900" spans="1:9" x14ac:dyDescent="0.25">
      <c r="A3900" t="s">
        <v>3467</v>
      </c>
      <c r="B3900" t="s">
        <v>13</v>
      </c>
      <c r="C3900">
        <v>26.3</v>
      </c>
      <c r="D3900">
        <v>24.61</v>
      </c>
      <c r="E3900" t="s">
        <v>17</v>
      </c>
      <c r="F3900">
        <v>22.74</v>
      </c>
      <c r="G3900">
        <v>21.78</v>
      </c>
      <c r="H3900" t="s">
        <v>17</v>
      </c>
      <c r="I3900" t="str">
        <f>"060363000302"</f>
        <v>060363000302</v>
      </c>
    </row>
    <row r="3901" spans="1:9" x14ac:dyDescent="0.25">
      <c r="A3901" t="s">
        <v>3468</v>
      </c>
      <c r="B3901" t="s">
        <v>13</v>
      </c>
      <c r="C3901">
        <v>23</v>
      </c>
      <c r="D3901">
        <v>25</v>
      </c>
      <c r="E3901" t="s">
        <v>17</v>
      </c>
      <c r="F3901">
        <v>22.61</v>
      </c>
      <c r="G3901">
        <v>21.16</v>
      </c>
      <c r="H3901" t="s">
        <v>17</v>
      </c>
      <c r="I3901" t="str">
        <f>"062271003069"</f>
        <v>062271003069</v>
      </c>
    </row>
    <row r="3902" spans="1:9" x14ac:dyDescent="0.25">
      <c r="A3902" t="s">
        <v>3469</v>
      </c>
      <c r="B3902" t="s">
        <v>13</v>
      </c>
      <c r="C3902" t="s">
        <v>14</v>
      </c>
      <c r="D3902" t="s">
        <v>14</v>
      </c>
      <c r="E3902" t="s">
        <v>17</v>
      </c>
      <c r="F3902" t="s">
        <v>14</v>
      </c>
      <c r="G3902" t="s">
        <v>14</v>
      </c>
      <c r="H3902" t="s">
        <v>17</v>
      </c>
      <c r="I3902" t="str">
        <f>"063536006021"</f>
        <v>063536006021</v>
      </c>
    </row>
    <row r="3903" spans="1:9" x14ac:dyDescent="0.25">
      <c r="A3903" t="s">
        <v>3469</v>
      </c>
      <c r="B3903" t="s">
        <v>13</v>
      </c>
      <c r="C3903">
        <v>18</v>
      </c>
      <c r="D3903">
        <v>19</v>
      </c>
      <c r="E3903" t="s">
        <v>14</v>
      </c>
      <c r="F3903">
        <v>25.78</v>
      </c>
      <c r="G3903">
        <v>24.37</v>
      </c>
      <c r="H3903" t="s">
        <v>14</v>
      </c>
      <c r="I3903" t="str">
        <f>"060141406021"</f>
        <v>060141406021</v>
      </c>
    </row>
    <row r="3904" spans="1:9" x14ac:dyDescent="0.25">
      <c r="A3904" t="s">
        <v>3470</v>
      </c>
      <c r="B3904" t="s">
        <v>13</v>
      </c>
      <c r="C3904">
        <v>13</v>
      </c>
      <c r="D3904">
        <v>14</v>
      </c>
      <c r="E3904" t="s">
        <v>17</v>
      </c>
      <c r="F3904">
        <v>26.31</v>
      </c>
      <c r="G3904">
        <v>24.64</v>
      </c>
      <c r="H3904" t="s">
        <v>17</v>
      </c>
      <c r="I3904" t="str">
        <f>"063417012796"</f>
        <v>063417012796</v>
      </c>
    </row>
    <row r="3905" spans="1:9" x14ac:dyDescent="0.25">
      <c r="A3905" t="s">
        <v>3471</v>
      </c>
      <c r="B3905" t="s">
        <v>13</v>
      </c>
      <c r="C3905">
        <v>18.8</v>
      </c>
      <c r="D3905">
        <v>17</v>
      </c>
      <c r="E3905" t="s">
        <v>17</v>
      </c>
      <c r="F3905">
        <v>22.34</v>
      </c>
      <c r="G3905">
        <v>23</v>
      </c>
      <c r="H3905" t="s">
        <v>17</v>
      </c>
      <c r="I3905" t="str">
        <f>"063432005475"</f>
        <v>063432005475</v>
      </c>
    </row>
    <row r="3906" spans="1:9" x14ac:dyDescent="0.25">
      <c r="A3906" t="s">
        <v>3472</v>
      </c>
      <c r="B3906" t="s">
        <v>13</v>
      </c>
      <c r="C3906">
        <v>23.55</v>
      </c>
      <c r="D3906">
        <v>23.5</v>
      </c>
      <c r="E3906" t="s">
        <v>17</v>
      </c>
      <c r="F3906">
        <v>26.79</v>
      </c>
      <c r="G3906">
        <v>26.72</v>
      </c>
      <c r="H3906" t="s">
        <v>17</v>
      </c>
      <c r="I3906" t="str">
        <f>"062308003521"</f>
        <v>062308003521</v>
      </c>
    </row>
    <row r="3907" spans="1:9" x14ac:dyDescent="0.25">
      <c r="A3907" t="s">
        <v>3473</v>
      </c>
      <c r="B3907" t="s">
        <v>13</v>
      </c>
      <c r="C3907">
        <v>27</v>
      </c>
      <c r="D3907">
        <v>27.5</v>
      </c>
      <c r="E3907" t="s">
        <v>17</v>
      </c>
      <c r="F3907">
        <v>21.41</v>
      </c>
      <c r="G3907">
        <v>21.16</v>
      </c>
      <c r="H3907" t="s">
        <v>17</v>
      </c>
      <c r="I3907" t="str">
        <f>"060133204152"</f>
        <v>060133204152</v>
      </c>
    </row>
    <row r="3908" spans="1:9" x14ac:dyDescent="0.25">
      <c r="A3908" t="s">
        <v>3474</v>
      </c>
      <c r="B3908" t="s">
        <v>13</v>
      </c>
      <c r="C3908">
        <v>3.6</v>
      </c>
      <c r="D3908">
        <v>4.5999999999999996</v>
      </c>
      <c r="E3908" t="s">
        <v>17</v>
      </c>
      <c r="F3908">
        <v>16.11</v>
      </c>
      <c r="G3908">
        <v>15.87</v>
      </c>
      <c r="H3908" t="s">
        <v>17</v>
      </c>
      <c r="I3908" t="str">
        <f>"061662002091"</f>
        <v>061662002091</v>
      </c>
    </row>
    <row r="3909" spans="1:9" x14ac:dyDescent="0.25">
      <c r="A3909" t="s">
        <v>3474</v>
      </c>
      <c r="B3909" t="s">
        <v>13</v>
      </c>
      <c r="C3909">
        <v>30.67</v>
      </c>
      <c r="D3909">
        <v>31.5</v>
      </c>
      <c r="E3909" t="s">
        <v>17</v>
      </c>
      <c r="F3909">
        <v>24.81</v>
      </c>
      <c r="G3909">
        <v>24.06</v>
      </c>
      <c r="H3909" t="s">
        <v>17</v>
      </c>
      <c r="I3909" t="str">
        <f>"060003910965"</f>
        <v>060003910965</v>
      </c>
    </row>
    <row r="3910" spans="1:9" x14ac:dyDescent="0.25">
      <c r="A3910" t="s">
        <v>3474</v>
      </c>
      <c r="B3910" t="s">
        <v>13</v>
      </c>
      <c r="C3910">
        <v>35.4</v>
      </c>
      <c r="D3910">
        <v>34.6</v>
      </c>
      <c r="E3910" t="s">
        <v>17</v>
      </c>
      <c r="F3910">
        <v>24.97</v>
      </c>
      <c r="G3910">
        <v>24.51</v>
      </c>
      <c r="H3910" t="s">
        <v>17</v>
      </c>
      <c r="I3910" t="str">
        <f>"061692011261"</f>
        <v>061692011261</v>
      </c>
    </row>
    <row r="3911" spans="1:9" x14ac:dyDescent="0.25">
      <c r="A3911" t="s">
        <v>3474</v>
      </c>
      <c r="B3911" t="s">
        <v>13</v>
      </c>
      <c r="C3911">
        <v>33</v>
      </c>
      <c r="D3911">
        <v>34.5</v>
      </c>
      <c r="E3911" t="s">
        <v>17</v>
      </c>
      <c r="F3911">
        <v>21.7</v>
      </c>
      <c r="G3911">
        <v>23.65</v>
      </c>
      <c r="H3911" t="s">
        <v>17</v>
      </c>
      <c r="I3911" t="str">
        <f>"062271010858"</f>
        <v>062271010858</v>
      </c>
    </row>
    <row r="3912" spans="1:9" x14ac:dyDescent="0.25">
      <c r="A3912" t="s">
        <v>3475</v>
      </c>
      <c r="B3912" t="s">
        <v>13</v>
      </c>
      <c r="C3912">
        <v>20.010000000000002</v>
      </c>
      <c r="D3912">
        <v>19.54</v>
      </c>
      <c r="E3912" t="s">
        <v>17</v>
      </c>
      <c r="F3912">
        <v>24.34</v>
      </c>
      <c r="G3912">
        <v>26.05</v>
      </c>
      <c r="H3912" t="s">
        <v>17</v>
      </c>
      <c r="I3912" t="str">
        <f>"060006412356"</f>
        <v>060006412356</v>
      </c>
    </row>
    <row r="3913" spans="1:9" x14ac:dyDescent="0.25">
      <c r="A3913" t="s">
        <v>3476</v>
      </c>
      <c r="B3913" t="s">
        <v>13</v>
      </c>
      <c r="C3913">
        <v>14.57</v>
      </c>
      <c r="D3913">
        <v>13.9</v>
      </c>
      <c r="E3913" t="s">
        <v>17</v>
      </c>
      <c r="F3913">
        <v>29.79</v>
      </c>
      <c r="G3913">
        <v>31.94</v>
      </c>
      <c r="H3913" t="s">
        <v>17</v>
      </c>
      <c r="I3913" t="str">
        <f>"060744000692"</f>
        <v>060744000692</v>
      </c>
    </row>
    <row r="3914" spans="1:9" x14ac:dyDescent="0.25">
      <c r="A3914" t="s">
        <v>3477</v>
      </c>
      <c r="B3914" t="s">
        <v>13</v>
      </c>
      <c r="C3914">
        <v>12</v>
      </c>
      <c r="D3914">
        <v>13</v>
      </c>
      <c r="E3914" t="s">
        <v>17</v>
      </c>
      <c r="F3914">
        <v>13.92</v>
      </c>
      <c r="G3914">
        <v>14.77</v>
      </c>
      <c r="H3914" t="s">
        <v>17</v>
      </c>
      <c r="I3914" t="str">
        <f>"062271003070"</f>
        <v>062271003070</v>
      </c>
    </row>
    <row r="3915" spans="1:9" x14ac:dyDescent="0.25">
      <c r="A3915" t="s">
        <v>3478</v>
      </c>
      <c r="B3915" t="s">
        <v>13</v>
      </c>
      <c r="C3915">
        <v>32.950000000000003</v>
      </c>
      <c r="D3915">
        <v>27</v>
      </c>
      <c r="E3915" t="s">
        <v>14</v>
      </c>
      <c r="F3915">
        <v>23.07</v>
      </c>
      <c r="G3915">
        <v>22.11</v>
      </c>
      <c r="H3915" t="s">
        <v>14</v>
      </c>
      <c r="I3915" t="str">
        <f>"060001912927"</f>
        <v>060001912927</v>
      </c>
    </row>
    <row r="3916" spans="1:9" x14ac:dyDescent="0.25">
      <c r="A3916" t="s">
        <v>3479</v>
      </c>
      <c r="B3916" t="s">
        <v>13</v>
      </c>
      <c r="C3916">
        <v>39.61</v>
      </c>
      <c r="D3916">
        <v>36.5</v>
      </c>
      <c r="E3916" t="s">
        <v>17</v>
      </c>
      <c r="F3916">
        <v>23.96</v>
      </c>
      <c r="G3916">
        <v>22.08</v>
      </c>
      <c r="H3916" t="s">
        <v>17</v>
      </c>
      <c r="I3916" t="str">
        <f>"061233003667"</f>
        <v>061233003667</v>
      </c>
    </row>
    <row r="3917" spans="1:9" x14ac:dyDescent="0.25">
      <c r="A3917" t="s">
        <v>3480</v>
      </c>
      <c r="B3917" t="s">
        <v>13</v>
      </c>
      <c r="C3917" t="s">
        <v>17</v>
      </c>
      <c r="D3917" t="s">
        <v>17</v>
      </c>
      <c r="E3917" t="s">
        <v>17</v>
      </c>
      <c r="F3917" t="s">
        <v>17</v>
      </c>
      <c r="G3917" t="s">
        <v>17</v>
      </c>
      <c r="H3917" t="s">
        <v>17</v>
      </c>
      <c r="I3917" t="str">
        <f>"060962002223"</f>
        <v>060962002223</v>
      </c>
    </row>
    <row r="3918" spans="1:9" x14ac:dyDescent="0.25">
      <c r="A3918" t="s">
        <v>3481</v>
      </c>
      <c r="B3918" t="s">
        <v>13</v>
      </c>
      <c r="C3918">
        <v>14.4</v>
      </c>
      <c r="D3918">
        <v>16.100000000000001</v>
      </c>
      <c r="E3918" t="s">
        <v>17</v>
      </c>
      <c r="F3918">
        <v>21.88</v>
      </c>
      <c r="G3918">
        <v>18.57</v>
      </c>
      <c r="H3918" t="s">
        <v>17</v>
      </c>
      <c r="I3918" t="str">
        <f>"063432003943"</f>
        <v>063432003943</v>
      </c>
    </row>
    <row r="3919" spans="1:9" x14ac:dyDescent="0.25">
      <c r="A3919" t="s">
        <v>3482</v>
      </c>
      <c r="B3919" t="s">
        <v>13</v>
      </c>
      <c r="C3919">
        <v>25</v>
      </c>
      <c r="D3919">
        <v>30.5</v>
      </c>
      <c r="E3919" t="s">
        <v>17</v>
      </c>
      <c r="F3919">
        <v>26.08</v>
      </c>
      <c r="G3919">
        <v>21.77</v>
      </c>
      <c r="H3919" t="s">
        <v>17</v>
      </c>
      <c r="I3919" t="str">
        <f>"062513008903"</f>
        <v>062513008903</v>
      </c>
    </row>
    <row r="3920" spans="1:9" x14ac:dyDescent="0.25">
      <c r="A3920" t="s">
        <v>3483</v>
      </c>
      <c r="B3920" t="s">
        <v>13</v>
      </c>
      <c r="C3920">
        <v>22</v>
      </c>
      <c r="D3920">
        <v>19.5</v>
      </c>
      <c r="E3920" t="s">
        <v>17</v>
      </c>
      <c r="F3920">
        <v>25.36</v>
      </c>
      <c r="G3920">
        <v>28.51</v>
      </c>
      <c r="H3920" t="s">
        <v>17</v>
      </c>
      <c r="I3920" t="str">
        <f>"062922004505"</f>
        <v>062922004505</v>
      </c>
    </row>
    <row r="3921" spans="1:9" x14ac:dyDescent="0.25">
      <c r="A3921" t="s">
        <v>3484</v>
      </c>
      <c r="B3921" t="s">
        <v>13</v>
      </c>
      <c r="C3921">
        <v>3.5</v>
      </c>
      <c r="D3921">
        <v>3.01</v>
      </c>
      <c r="E3921" t="s">
        <v>17</v>
      </c>
      <c r="F3921">
        <v>33.43</v>
      </c>
      <c r="G3921">
        <v>25.91</v>
      </c>
      <c r="H3921" t="s">
        <v>17</v>
      </c>
      <c r="I3921" t="str">
        <f>"062271003214"</f>
        <v>062271003214</v>
      </c>
    </row>
    <row r="3922" spans="1:9" x14ac:dyDescent="0.25">
      <c r="A3922" t="s">
        <v>3485</v>
      </c>
      <c r="B3922" t="s">
        <v>13</v>
      </c>
      <c r="C3922">
        <v>18.5</v>
      </c>
      <c r="D3922">
        <v>21</v>
      </c>
      <c r="E3922" t="s">
        <v>17</v>
      </c>
      <c r="F3922">
        <v>25.19</v>
      </c>
      <c r="G3922">
        <v>22.57</v>
      </c>
      <c r="H3922" t="s">
        <v>17</v>
      </c>
      <c r="I3922" t="str">
        <f>"063132004845"</f>
        <v>063132004845</v>
      </c>
    </row>
    <row r="3923" spans="1:9" x14ac:dyDescent="0.25">
      <c r="A3923" t="s">
        <v>3485</v>
      </c>
      <c r="B3923" t="s">
        <v>13</v>
      </c>
      <c r="C3923">
        <v>23.14</v>
      </c>
      <c r="D3923">
        <v>21.15</v>
      </c>
      <c r="E3923" t="s">
        <v>17</v>
      </c>
      <c r="F3923">
        <v>25.19</v>
      </c>
      <c r="G3923">
        <v>27.85</v>
      </c>
      <c r="H3923" t="s">
        <v>17</v>
      </c>
      <c r="I3923" t="str">
        <f>"063315005140"</f>
        <v>063315005140</v>
      </c>
    </row>
    <row r="3924" spans="1:9" x14ac:dyDescent="0.25">
      <c r="A3924" t="s">
        <v>3485</v>
      </c>
      <c r="B3924" t="s">
        <v>13</v>
      </c>
      <c r="C3924">
        <v>18.14</v>
      </c>
      <c r="D3924">
        <v>21.75</v>
      </c>
      <c r="E3924" t="s">
        <v>17</v>
      </c>
      <c r="F3924">
        <v>34.18</v>
      </c>
      <c r="G3924">
        <v>27.36</v>
      </c>
      <c r="H3924" t="s">
        <v>17</v>
      </c>
      <c r="I3924" t="str">
        <f>"063801006415"</f>
        <v>063801006415</v>
      </c>
    </row>
    <row r="3925" spans="1:9" x14ac:dyDescent="0.25">
      <c r="A3925" t="s">
        <v>3486</v>
      </c>
      <c r="B3925" t="s">
        <v>13</v>
      </c>
      <c r="C3925">
        <v>23</v>
      </c>
      <c r="D3925">
        <v>24</v>
      </c>
      <c r="E3925" t="s">
        <v>17</v>
      </c>
      <c r="F3925">
        <v>24.7</v>
      </c>
      <c r="G3925">
        <v>24</v>
      </c>
      <c r="H3925" t="s">
        <v>17</v>
      </c>
      <c r="I3925" t="str">
        <f>"062271003071"</f>
        <v>062271003071</v>
      </c>
    </row>
    <row r="3926" spans="1:9" x14ac:dyDescent="0.25">
      <c r="A3926" t="s">
        <v>3487</v>
      </c>
      <c r="B3926" t="s">
        <v>13</v>
      </c>
      <c r="C3926">
        <v>46</v>
      </c>
      <c r="D3926" t="s">
        <v>14</v>
      </c>
      <c r="E3926" t="s">
        <v>14</v>
      </c>
      <c r="F3926">
        <v>24.5</v>
      </c>
      <c r="G3926" t="s">
        <v>14</v>
      </c>
      <c r="H3926" t="s">
        <v>14</v>
      </c>
      <c r="I3926" t="str">
        <f>"062271013177"</f>
        <v>062271013177</v>
      </c>
    </row>
    <row r="3927" spans="1:9" x14ac:dyDescent="0.25">
      <c r="A3927" t="s">
        <v>3488</v>
      </c>
      <c r="B3927" t="s">
        <v>13</v>
      </c>
      <c r="C3927">
        <v>21.04</v>
      </c>
      <c r="D3927">
        <v>23.5</v>
      </c>
      <c r="E3927" t="s">
        <v>17</v>
      </c>
      <c r="F3927">
        <v>26.19</v>
      </c>
      <c r="G3927">
        <v>23.53</v>
      </c>
      <c r="H3927" t="s">
        <v>17</v>
      </c>
      <c r="I3927" t="str">
        <f>"063462005773"</f>
        <v>063462005773</v>
      </c>
    </row>
    <row r="3928" spans="1:9" x14ac:dyDescent="0.25">
      <c r="A3928" t="s">
        <v>3489</v>
      </c>
      <c r="B3928" t="s">
        <v>13</v>
      </c>
      <c r="C3928">
        <v>22</v>
      </c>
      <c r="D3928">
        <v>23</v>
      </c>
      <c r="E3928" t="s">
        <v>17</v>
      </c>
      <c r="F3928">
        <v>25.95</v>
      </c>
      <c r="G3928">
        <v>26.57</v>
      </c>
      <c r="H3928" t="s">
        <v>17</v>
      </c>
      <c r="I3928" t="str">
        <f>"061111008820"</f>
        <v>061111008820</v>
      </c>
    </row>
    <row r="3929" spans="1:9" x14ac:dyDescent="0.25">
      <c r="A3929" t="s">
        <v>3490</v>
      </c>
      <c r="B3929" t="s">
        <v>13</v>
      </c>
      <c r="C3929">
        <v>51.48</v>
      </c>
      <c r="D3929">
        <v>51.5</v>
      </c>
      <c r="E3929" t="s">
        <v>17</v>
      </c>
      <c r="F3929">
        <v>24.3</v>
      </c>
      <c r="G3929">
        <v>25.11</v>
      </c>
      <c r="H3929" t="s">
        <v>17</v>
      </c>
      <c r="I3929" t="str">
        <f>"061392006402"</f>
        <v>061392006402</v>
      </c>
    </row>
    <row r="3930" spans="1:9" x14ac:dyDescent="0.25">
      <c r="A3930" t="s">
        <v>3491</v>
      </c>
      <c r="B3930" t="s">
        <v>13</v>
      </c>
      <c r="C3930">
        <v>16.760000000000002</v>
      </c>
      <c r="D3930">
        <v>21.58</v>
      </c>
      <c r="E3930" t="s">
        <v>17</v>
      </c>
      <c r="F3930">
        <v>16.829999999999998</v>
      </c>
      <c r="G3930">
        <v>17.52</v>
      </c>
      <c r="H3930" t="s">
        <v>17</v>
      </c>
      <c r="I3930" t="str">
        <f>"060231000124"</f>
        <v>060231000124</v>
      </c>
    </row>
    <row r="3931" spans="1:9" x14ac:dyDescent="0.25">
      <c r="A3931" t="s">
        <v>3492</v>
      </c>
      <c r="B3931" t="s">
        <v>13</v>
      </c>
      <c r="C3931">
        <v>27.5</v>
      </c>
      <c r="D3931">
        <v>28</v>
      </c>
      <c r="E3931" t="s">
        <v>17</v>
      </c>
      <c r="F3931">
        <v>24.84</v>
      </c>
      <c r="G3931">
        <v>24.79</v>
      </c>
      <c r="H3931" t="s">
        <v>17</v>
      </c>
      <c r="I3931" t="str">
        <f>"062985009986"</f>
        <v>062985009986</v>
      </c>
    </row>
    <row r="3932" spans="1:9" x14ac:dyDescent="0.25">
      <c r="A3932" t="s">
        <v>3493</v>
      </c>
      <c r="B3932" t="s">
        <v>13</v>
      </c>
      <c r="C3932" t="s">
        <v>17</v>
      </c>
      <c r="D3932" t="s">
        <v>17</v>
      </c>
      <c r="E3932" t="s">
        <v>17</v>
      </c>
      <c r="F3932" t="s">
        <v>17</v>
      </c>
      <c r="G3932" t="s">
        <v>17</v>
      </c>
      <c r="H3932" t="s">
        <v>17</v>
      </c>
      <c r="I3932" t="str">
        <f>"060011110924"</f>
        <v>060011110924</v>
      </c>
    </row>
    <row r="3933" spans="1:9" x14ac:dyDescent="0.25">
      <c r="A3933" t="s">
        <v>3494</v>
      </c>
      <c r="B3933" t="s">
        <v>13</v>
      </c>
      <c r="C3933">
        <v>37</v>
      </c>
      <c r="D3933">
        <v>35</v>
      </c>
      <c r="E3933" t="s">
        <v>17</v>
      </c>
      <c r="F3933">
        <v>23</v>
      </c>
      <c r="G3933">
        <v>23.29</v>
      </c>
      <c r="H3933" t="s">
        <v>17</v>
      </c>
      <c r="I3933" t="str">
        <f>"062271003072"</f>
        <v>062271003072</v>
      </c>
    </row>
    <row r="3934" spans="1:9" x14ac:dyDescent="0.25">
      <c r="A3934" t="s">
        <v>3495</v>
      </c>
      <c r="B3934" t="s">
        <v>13</v>
      </c>
      <c r="C3934">
        <v>10.5</v>
      </c>
      <c r="D3934">
        <v>11.5</v>
      </c>
      <c r="E3934" t="s">
        <v>17</v>
      </c>
      <c r="F3934">
        <v>24.86</v>
      </c>
      <c r="G3934">
        <v>19.649999999999999</v>
      </c>
      <c r="H3934" t="s">
        <v>17</v>
      </c>
      <c r="I3934" t="str">
        <f>"061665005478"</f>
        <v>061665005478</v>
      </c>
    </row>
    <row r="3935" spans="1:9" x14ac:dyDescent="0.25">
      <c r="A3935" t="s">
        <v>3496</v>
      </c>
      <c r="B3935" t="s">
        <v>13</v>
      </c>
      <c r="C3935">
        <v>34.700000000000003</v>
      </c>
      <c r="D3935">
        <v>34</v>
      </c>
      <c r="E3935" t="s">
        <v>17</v>
      </c>
      <c r="F3935">
        <v>22.48</v>
      </c>
      <c r="G3935">
        <v>21.35</v>
      </c>
      <c r="H3935" t="s">
        <v>17</v>
      </c>
      <c r="I3935" t="str">
        <f>"061665002092"</f>
        <v>061665002092</v>
      </c>
    </row>
    <row r="3936" spans="1:9" x14ac:dyDescent="0.25">
      <c r="A3936" t="s">
        <v>3497</v>
      </c>
      <c r="B3936" t="s">
        <v>13</v>
      </c>
      <c r="C3936">
        <v>13</v>
      </c>
      <c r="D3936">
        <v>12</v>
      </c>
      <c r="E3936" t="s">
        <v>17</v>
      </c>
      <c r="F3936">
        <v>16.38</v>
      </c>
      <c r="G3936">
        <v>17.920000000000002</v>
      </c>
      <c r="H3936" t="s">
        <v>17</v>
      </c>
      <c r="I3936" t="str">
        <f>"063441005591"</f>
        <v>063441005591</v>
      </c>
    </row>
    <row r="3937" spans="1:9" x14ac:dyDescent="0.25">
      <c r="A3937" t="s">
        <v>3498</v>
      </c>
      <c r="B3937" t="s">
        <v>13</v>
      </c>
      <c r="C3937">
        <v>33</v>
      </c>
      <c r="D3937">
        <v>35</v>
      </c>
      <c r="E3937" t="s">
        <v>17</v>
      </c>
      <c r="F3937">
        <v>29.79</v>
      </c>
      <c r="G3937">
        <v>27.49</v>
      </c>
      <c r="H3937" t="s">
        <v>17</v>
      </c>
      <c r="I3937" t="str">
        <f>"062250002720"</f>
        <v>062250002720</v>
      </c>
    </row>
    <row r="3938" spans="1:9" x14ac:dyDescent="0.25">
      <c r="A3938" t="s">
        <v>3499</v>
      </c>
      <c r="B3938" t="s">
        <v>13</v>
      </c>
      <c r="C3938">
        <v>22</v>
      </c>
      <c r="D3938">
        <v>24</v>
      </c>
      <c r="E3938" t="s">
        <v>17</v>
      </c>
      <c r="F3938">
        <v>22.86</v>
      </c>
      <c r="G3938">
        <v>21</v>
      </c>
      <c r="H3938" t="s">
        <v>17</v>
      </c>
      <c r="I3938" t="str">
        <f>"062271010879"</f>
        <v>062271010879</v>
      </c>
    </row>
    <row r="3939" spans="1:9" x14ac:dyDescent="0.25">
      <c r="A3939" t="s">
        <v>3500</v>
      </c>
      <c r="B3939" t="s">
        <v>13</v>
      </c>
      <c r="C3939">
        <v>30</v>
      </c>
      <c r="D3939">
        <v>32</v>
      </c>
      <c r="E3939" t="s">
        <v>17</v>
      </c>
      <c r="F3939">
        <v>21.83</v>
      </c>
      <c r="G3939">
        <v>23.63</v>
      </c>
      <c r="H3939" t="s">
        <v>17</v>
      </c>
      <c r="I3939" t="str">
        <f>"061089010808"</f>
        <v>061089010808</v>
      </c>
    </row>
    <row r="3940" spans="1:9" x14ac:dyDescent="0.25">
      <c r="A3940" t="s">
        <v>3500</v>
      </c>
      <c r="B3940" t="s">
        <v>13</v>
      </c>
      <c r="C3940">
        <v>22.52</v>
      </c>
      <c r="D3940">
        <v>24.52</v>
      </c>
      <c r="E3940" t="s">
        <v>17</v>
      </c>
      <c r="F3940">
        <v>27.98</v>
      </c>
      <c r="G3940">
        <v>27.04</v>
      </c>
      <c r="H3940" t="s">
        <v>17</v>
      </c>
      <c r="I3940" t="str">
        <f>"060797011948"</f>
        <v>060797011948</v>
      </c>
    </row>
    <row r="3941" spans="1:9" x14ac:dyDescent="0.25">
      <c r="A3941" t="s">
        <v>3501</v>
      </c>
      <c r="B3941" t="s">
        <v>13</v>
      </c>
      <c r="C3941">
        <v>34.5</v>
      </c>
      <c r="D3941">
        <v>37.89</v>
      </c>
      <c r="E3941" t="s">
        <v>17</v>
      </c>
      <c r="F3941">
        <v>22.23</v>
      </c>
      <c r="G3941">
        <v>22.09</v>
      </c>
      <c r="H3941" t="s">
        <v>17</v>
      </c>
      <c r="I3941" t="str">
        <f>"062664011258"</f>
        <v>062664011258</v>
      </c>
    </row>
    <row r="3942" spans="1:9" x14ac:dyDescent="0.25">
      <c r="A3942" t="s">
        <v>3502</v>
      </c>
      <c r="B3942" t="s">
        <v>13</v>
      </c>
      <c r="C3942">
        <v>49.12</v>
      </c>
      <c r="D3942">
        <v>50.93</v>
      </c>
      <c r="E3942" t="s">
        <v>17</v>
      </c>
      <c r="F3942">
        <v>24.98</v>
      </c>
      <c r="G3942">
        <v>23.76</v>
      </c>
      <c r="H3942" t="s">
        <v>17</v>
      </c>
      <c r="I3942" t="str">
        <f>"060002009289"</f>
        <v>060002009289</v>
      </c>
    </row>
    <row r="3943" spans="1:9" x14ac:dyDescent="0.25">
      <c r="A3943" t="s">
        <v>3503</v>
      </c>
      <c r="B3943" t="s">
        <v>13</v>
      </c>
      <c r="C3943" t="s">
        <v>17</v>
      </c>
      <c r="D3943" t="s">
        <v>14</v>
      </c>
      <c r="E3943" t="s">
        <v>14</v>
      </c>
      <c r="F3943" t="s">
        <v>17</v>
      </c>
      <c r="G3943" t="s">
        <v>14</v>
      </c>
      <c r="H3943" t="s">
        <v>14</v>
      </c>
      <c r="I3943" t="str">
        <f>"060002013494"</f>
        <v>060002013494</v>
      </c>
    </row>
    <row r="3944" spans="1:9" x14ac:dyDescent="0.25">
      <c r="A3944" t="s">
        <v>3504</v>
      </c>
      <c r="B3944" t="s">
        <v>13</v>
      </c>
      <c r="C3944">
        <v>5</v>
      </c>
      <c r="D3944">
        <v>4.5999999999999996</v>
      </c>
      <c r="E3944" t="s">
        <v>17</v>
      </c>
      <c r="F3944">
        <v>21</v>
      </c>
      <c r="G3944">
        <v>21.74</v>
      </c>
      <c r="H3944" t="s">
        <v>17</v>
      </c>
      <c r="I3944" t="str">
        <f>"062712012790"</f>
        <v>062712012790</v>
      </c>
    </row>
    <row r="3945" spans="1:9" x14ac:dyDescent="0.25">
      <c r="A3945" t="s">
        <v>3505</v>
      </c>
      <c r="B3945" t="s">
        <v>13</v>
      </c>
      <c r="C3945">
        <v>23</v>
      </c>
      <c r="D3945">
        <v>24</v>
      </c>
      <c r="E3945" t="s">
        <v>17</v>
      </c>
      <c r="F3945">
        <v>28.04</v>
      </c>
      <c r="G3945">
        <v>26</v>
      </c>
      <c r="H3945" t="s">
        <v>17</v>
      </c>
      <c r="I3945" t="str">
        <f>"063339010032"</f>
        <v>063339010032</v>
      </c>
    </row>
    <row r="3946" spans="1:9" x14ac:dyDescent="0.25">
      <c r="A3946" t="s">
        <v>3506</v>
      </c>
      <c r="B3946" t="s">
        <v>13</v>
      </c>
      <c r="C3946">
        <v>18.55</v>
      </c>
      <c r="D3946">
        <v>19.8</v>
      </c>
      <c r="E3946" t="s">
        <v>17</v>
      </c>
      <c r="F3946">
        <v>24.26</v>
      </c>
      <c r="G3946">
        <v>21.67</v>
      </c>
      <c r="H3946" t="s">
        <v>17</v>
      </c>
      <c r="I3946" t="str">
        <f>"061440001665"</f>
        <v>061440001665</v>
      </c>
    </row>
    <row r="3947" spans="1:9" x14ac:dyDescent="0.25">
      <c r="A3947" t="s">
        <v>3507</v>
      </c>
      <c r="B3947" t="s">
        <v>13</v>
      </c>
      <c r="C3947">
        <v>22.2</v>
      </c>
      <c r="D3947">
        <v>22.2</v>
      </c>
      <c r="E3947" t="s">
        <v>17</v>
      </c>
      <c r="F3947">
        <v>22.43</v>
      </c>
      <c r="G3947">
        <v>23.42</v>
      </c>
      <c r="H3947" t="s">
        <v>17</v>
      </c>
      <c r="I3947" t="str">
        <f>"060162000016"</f>
        <v>060162000016</v>
      </c>
    </row>
    <row r="3948" spans="1:9" x14ac:dyDescent="0.25">
      <c r="A3948" t="s">
        <v>3508</v>
      </c>
      <c r="B3948" t="s">
        <v>13</v>
      </c>
      <c r="C3948">
        <v>23</v>
      </c>
      <c r="D3948">
        <v>24</v>
      </c>
      <c r="E3948" t="s">
        <v>17</v>
      </c>
      <c r="F3948">
        <v>22.83</v>
      </c>
      <c r="G3948">
        <v>23.58</v>
      </c>
      <c r="H3948" t="s">
        <v>17</v>
      </c>
      <c r="I3948" t="str">
        <f>"062271003074"</f>
        <v>062271003074</v>
      </c>
    </row>
    <row r="3949" spans="1:9" x14ac:dyDescent="0.25">
      <c r="A3949" t="s">
        <v>3509</v>
      </c>
      <c r="B3949" t="s">
        <v>13</v>
      </c>
      <c r="C3949" t="s">
        <v>17</v>
      </c>
      <c r="D3949" t="s">
        <v>14</v>
      </c>
      <c r="E3949" t="s">
        <v>14</v>
      </c>
      <c r="F3949" t="s">
        <v>17</v>
      </c>
      <c r="G3949" t="s">
        <v>14</v>
      </c>
      <c r="H3949" t="s">
        <v>14</v>
      </c>
      <c r="I3949" t="str">
        <f>"063441013585"</f>
        <v>063441013585</v>
      </c>
    </row>
    <row r="3950" spans="1:9" x14ac:dyDescent="0.25">
      <c r="A3950" t="s">
        <v>3510</v>
      </c>
      <c r="B3950" t="s">
        <v>13</v>
      </c>
      <c r="C3950">
        <v>34.36</v>
      </c>
      <c r="D3950">
        <v>35.9</v>
      </c>
      <c r="E3950" t="s">
        <v>17</v>
      </c>
      <c r="F3950">
        <v>22.44</v>
      </c>
      <c r="G3950">
        <v>21.73</v>
      </c>
      <c r="H3950" t="s">
        <v>17</v>
      </c>
      <c r="I3950" t="str">
        <f>"060327000245"</f>
        <v>060327000245</v>
      </c>
    </row>
    <row r="3951" spans="1:9" x14ac:dyDescent="0.25">
      <c r="A3951" t="s">
        <v>3511</v>
      </c>
      <c r="B3951" t="s">
        <v>13</v>
      </c>
      <c r="C3951">
        <v>27.45</v>
      </c>
      <c r="D3951">
        <v>30.87</v>
      </c>
      <c r="E3951" t="s">
        <v>17</v>
      </c>
      <c r="F3951">
        <v>18.399999999999999</v>
      </c>
      <c r="G3951">
        <v>16.07</v>
      </c>
      <c r="H3951" t="s">
        <v>17</v>
      </c>
      <c r="I3951" t="str">
        <f>"063033004730"</f>
        <v>063033004730</v>
      </c>
    </row>
    <row r="3952" spans="1:9" x14ac:dyDescent="0.25">
      <c r="A3952" t="s">
        <v>3512</v>
      </c>
      <c r="B3952" t="s">
        <v>13</v>
      </c>
      <c r="C3952">
        <v>29</v>
      </c>
      <c r="D3952">
        <v>38</v>
      </c>
      <c r="E3952" t="s">
        <v>17</v>
      </c>
      <c r="F3952">
        <v>24.21</v>
      </c>
      <c r="G3952">
        <v>24.34</v>
      </c>
      <c r="H3952" t="s">
        <v>17</v>
      </c>
      <c r="I3952" t="str">
        <f>"062271003075"</f>
        <v>062271003075</v>
      </c>
    </row>
    <row r="3953" spans="1:9" x14ac:dyDescent="0.25">
      <c r="A3953" t="s">
        <v>3513</v>
      </c>
      <c r="B3953" t="s">
        <v>13</v>
      </c>
      <c r="C3953">
        <v>24</v>
      </c>
      <c r="D3953">
        <v>20.3</v>
      </c>
      <c r="E3953" t="s">
        <v>17</v>
      </c>
      <c r="F3953">
        <v>20.5</v>
      </c>
      <c r="G3953">
        <v>24.04</v>
      </c>
      <c r="H3953" t="s">
        <v>17</v>
      </c>
      <c r="I3953" t="str">
        <f>"060162000017"</f>
        <v>060162000017</v>
      </c>
    </row>
    <row r="3954" spans="1:9" x14ac:dyDescent="0.25">
      <c r="A3954" t="s">
        <v>3514</v>
      </c>
      <c r="B3954" t="s">
        <v>13</v>
      </c>
      <c r="C3954">
        <v>17.88</v>
      </c>
      <c r="D3954">
        <v>16.309999999999999</v>
      </c>
      <c r="E3954" t="s">
        <v>17</v>
      </c>
      <c r="F3954">
        <v>23.43</v>
      </c>
      <c r="G3954">
        <v>26.49</v>
      </c>
      <c r="H3954" t="s">
        <v>17</v>
      </c>
      <c r="I3954" t="str">
        <f>"063213004966"</f>
        <v>063213004966</v>
      </c>
    </row>
    <row r="3955" spans="1:9" x14ac:dyDescent="0.25">
      <c r="A3955" t="s">
        <v>3515</v>
      </c>
      <c r="B3955" t="s">
        <v>13</v>
      </c>
      <c r="C3955">
        <v>18.23</v>
      </c>
      <c r="D3955">
        <v>21.3</v>
      </c>
      <c r="E3955" t="s">
        <v>17</v>
      </c>
      <c r="F3955">
        <v>18.82</v>
      </c>
      <c r="G3955">
        <v>16.010000000000002</v>
      </c>
      <c r="H3955" t="s">
        <v>17</v>
      </c>
      <c r="I3955" t="str">
        <f>"063480005871"</f>
        <v>063480005871</v>
      </c>
    </row>
    <row r="3956" spans="1:9" x14ac:dyDescent="0.25">
      <c r="A3956" t="s">
        <v>3515</v>
      </c>
      <c r="B3956" t="s">
        <v>13</v>
      </c>
      <c r="C3956">
        <v>16.600000000000001</v>
      </c>
      <c r="D3956">
        <v>19.3</v>
      </c>
      <c r="E3956" t="s">
        <v>17</v>
      </c>
      <c r="F3956">
        <v>20</v>
      </c>
      <c r="G3956">
        <v>17.25</v>
      </c>
      <c r="H3956" t="s">
        <v>17</v>
      </c>
      <c r="I3956" t="str">
        <f>"063432005476"</f>
        <v>063432005476</v>
      </c>
    </row>
    <row r="3957" spans="1:9" x14ac:dyDescent="0.25">
      <c r="A3957" t="s">
        <v>3515</v>
      </c>
      <c r="B3957" t="s">
        <v>13</v>
      </c>
      <c r="C3957">
        <v>24.63</v>
      </c>
      <c r="D3957">
        <v>26.13</v>
      </c>
      <c r="E3957" t="s">
        <v>17</v>
      </c>
      <c r="F3957">
        <v>26.88</v>
      </c>
      <c r="G3957">
        <v>24.76</v>
      </c>
      <c r="H3957" t="s">
        <v>17</v>
      </c>
      <c r="I3957" t="str">
        <f>"063315005141"</f>
        <v>063315005141</v>
      </c>
    </row>
    <row r="3958" spans="1:9" x14ac:dyDescent="0.25">
      <c r="A3958" t="s">
        <v>3515</v>
      </c>
      <c r="B3958" t="s">
        <v>13</v>
      </c>
      <c r="C3958">
        <v>27.91</v>
      </c>
      <c r="D3958">
        <v>27.5</v>
      </c>
      <c r="E3958" t="s">
        <v>17</v>
      </c>
      <c r="F3958">
        <v>26.44</v>
      </c>
      <c r="G3958">
        <v>26.29</v>
      </c>
      <c r="H3958" t="s">
        <v>17</v>
      </c>
      <c r="I3958" t="str">
        <f>"062847004399"</f>
        <v>062847004399</v>
      </c>
    </row>
    <row r="3959" spans="1:9" x14ac:dyDescent="0.25">
      <c r="A3959" t="s">
        <v>3515</v>
      </c>
      <c r="B3959" t="s">
        <v>13</v>
      </c>
      <c r="C3959">
        <v>36.85</v>
      </c>
      <c r="D3959">
        <v>35.65</v>
      </c>
      <c r="E3959" t="s">
        <v>17</v>
      </c>
      <c r="F3959">
        <v>16.850000000000001</v>
      </c>
      <c r="G3959">
        <v>17.45</v>
      </c>
      <c r="H3959" t="s">
        <v>17</v>
      </c>
      <c r="I3959" t="str">
        <f>"060483000474"</f>
        <v>060483000474</v>
      </c>
    </row>
    <row r="3960" spans="1:9" x14ac:dyDescent="0.25">
      <c r="A3960" t="s">
        <v>3516</v>
      </c>
      <c r="B3960" t="s">
        <v>13</v>
      </c>
      <c r="C3960">
        <v>81.77</v>
      </c>
      <c r="D3960">
        <v>78.989999999999995</v>
      </c>
      <c r="E3960" t="s">
        <v>17</v>
      </c>
      <c r="F3960">
        <v>23.57</v>
      </c>
      <c r="G3960">
        <v>24.65</v>
      </c>
      <c r="H3960" t="s">
        <v>17</v>
      </c>
      <c r="I3960" t="str">
        <f>"060792000756"</f>
        <v>060792000756</v>
      </c>
    </row>
    <row r="3961" spans="1:9" x14ac:dyDescent="0.25">
      <c r="A3961" t="s">
        <v>3517</v>
      </c>
      <c r="B3961" t="s">
        <v>13</v>
      </c>
      <c r="C3961">
        <v>24.51</v>
      </c>
      <c r="D3961">
        <v>25.1</v>
      </c>
      <c r="E3961" t="s">
        <v>17</v>
      </c>
      <c r="F3961">
        <v>24.24</v>
      </c>
      <c r="G3961">
        <v>23.71</v>
      </c>
      <c r="H3961" t="s">
        <v>17</v>
      </c>
      <c r="I3961" t="str">
        <f>"061668011295"</f>
        <v>061668011295</v>
      </c>
    </row>
    <row r="3962" spans="1:9" x14ac:dyDescent="0.25">
      <c r="A3962" t="s">
        <v>3518</v>
      </c>
      <c r="B3962" t="s">
        <v>13</v>
      </c>
      <c r="C3962">
        <v>37.67</v>
      </c>
      <c r="D3962">
        <v>38</v>
      </c>
      <c r="E3962" t="s">
        <v>17</v>
      </c>
      <c r="F3962">
        <v>25.75</v>
      </c>
      <c r="G3962">
        <v>24.84</v>
      </c>
      <c r="H3962" t="s">
        <v>17</v>
      </c>
      <c r="I3962" t="str">
        <f>"061668002094"</f>
        <v>061668002094</v>
      </c>
    </row>
    <row r="3963" spans="1:9" x14ac:dyDescent="0.25">
      <c r="A3963" t="s">
        <v>3519</v>
      </c>
      <c r="B3963" t="s">
        <v>13</v>
      </c>
      <c r="C3963">
        <v>21.5</v>
      </c>
      <c r="D3963">
        <v>23</v>
      </c>
      <c r="E3963" t="s">
        <v>17</v>
      </c>
      <c r="F3963">
        <v>24.84</v>
      </c>
      <c r="G3963">
        <v>24.3</v>
      </c>
      <c r="H3963" t="s">
        <v>17</v>
      </c>
      <c r="I3963" t="str">
        <f>"062781004215"</f>
        <v>062781004215</v>
      </c>
    </row>
    <row r="3964" spans="1:9" x14ac:dyDescent="0.25">
      <c r="A3964" t="s">
        <v>3520</v>
      </c>
      <c r="B3964" t="s">
        <v>13</v>
      </c>
      <c r="C3964">
        <v>8.51</v>
      </c>
      <c r="D3964">
        <v>9.1999999999999993</v>
      </c>
      <c r="E3964" t="s">
        <v>17</v>
      </c>
      <c r="F3964">
        <v>12.93</v>
      </c>
      <c r="G3964">
        <v>11.09</v>
      </c>
      <c r="H3964" t="s">
        <v>17</v>
      </c>
      <c r="I3964" t="str">
        <f>"060001809107"</f>
        <v>060001809107</v>
      </c>
    </row>
    <row r="3965" spans="1:9" x14ac:dyDescent="0.25">
      <c r="A3965" t="s">
        <v>3521</v>
      </c>
      <c r="B3965" t="s">
        <v>13</v>
      </c>
      <c r="C3965">
        <v>13.28</v>
      </c>
      <c r="D3965">
        <v>13.13</v>
      </c>
      <c r="E3965" t="s">
        <v>17</v>
      </c>
      <c r="F3965">
        <v>15.74</v>
      </c>
      <c r="G3965">
        <v>16.22</v>
      </c>
      <c r="H3965" t="s">
        <v>17</v>
      </c>
      <c r="I3965" t="str">
        <f>"060001809108"</f>
        <v>060001809108</v>
      </c>
    </row>
    <row r="3966" spans="1:9" x14ac:dyDescent="0.25">
      <c r="A3966" t="s">
        <v>3522</v>
      </c>
      <c r="B3966" t="s">
        <v>13</v>
      </c>
      <c r="C3966">
        <v>17</v>
      </c>
      <c r="D3966">
        <v>17</v>
      </c>
      <c r="E3966" t="s">
        <v>17</v>
      </c>
      <c r="F3966">
        <v>23.88</v>
      </c>
      <c r="G3966">
        <v>25.12</v>
      </c>
      <c r="H3966" t="s">
        <v>17</v>
      </c>
      <c r="I3966" t="str">
        <f>"062271007521"</f>
        <v>062271007521</v>
      </c>
    </row>
    <row r="3967" spans="1:9" x14ac:dyDescent="0.25">
      <c r="A3967" t="s">
        <v>3523</v>
      </c>
      <c r="B3967" t="s">
        <v>13</v>
      </c>
      <c r="C3967">
        <v>61.07</v>
      </c>
      <c r="D3967">
        <v>69.3</v>
      </c>
      <c r="E3967" t="s">
        <v>17</v>
      </c>
      <c r="F3967">
        <v>27.26</v>
      </c>
      <c r="G3967">
        <v>23.67</v>
      </c>
      <c r="H3967" t="s">
        <v>17</v>
      </c>
      <c r="I3967" t="str">
        <f>"061674002116"</f>
        <v>061674002116</v>
      </c>
    </row>
    <row r="3968" spans="1:9" x14ac:dyDescent="0.25">
      <c r="A3968" t="s">
        <v>3524</v>
      </c>
      <c r="B3968" t="s">
        <v>13</v>
      </c>
      <c r="C3968">
        <v>7.5</v>
      </c>
      <c r="D3968">
        <v>8.44</v>
      </c>
      <c r="E3968" t="s">
        <v>17</v>
      </c>
      <c r="F3968">
        <v>20.8</v>
      </c>
      <c r="G3968">
        <v>21.8</v>
      </c>
      <c r="H3968" t="s">
        <v>17</v>
      </c>
      <c r="I3968" t="str">
        <f>"064068006716"</f>
        <v>064068006716</v>
      </c>
    </row>
    <row r="3969" spans="1:9" x14ac:dyDescent="0.25">
      <c r="A3969" t="s">
        <v>3525</v>
      </c>
      <c r="B3969" t="s">
        <v>13</v>
      </c>
      <c r="C3969">
        <v>27.5</v>
      </c>
      <c r="D3969">
        <v>28.5</v>
      </c>
      <c r="E3969" t="s">
        <v>17</v>
      </c>
      <c r="F3969">
        <v>27.13</v>
      </c>
      <c r="G3969">
        <v>24.56</v>
      </c>
      <c r="H3969" t="s">
        <v>17</v>
      </c>
      <c r="I3969" t="str">
        <f>"061384001563"</f>
        <v>061384001563</v>
      </c>
    </row>
    <row r="3970" spans="1:9" x14ac:dyDescent="0.25">
      <c r="A3970" t="s">
        <v>3526</v>
      </c>
      <c r="B3970" t="s">
        <v>13</v>
      </c>
      <c r="C3970">
        <v>21</v>
      </c>
      <c r="D3970">
        <v>20</v>
      </c>
      <c r="E3970" t="s">
        <v>17</v>
      </c>
      <c r="F3970">
        <v>28.81</v>
      </c>
      <c r="G3970">
        <v>29</v>
      </c>
      <c r="H3970" t="s">
        <v>17</v>
      </c>
      <c r="I3970" t="str">
        <f>"060133204153"</f>
        <v>060133204153</v>
      </c>
    </row>
    <row r="3971" spans="1:9" x14ac:dyDescent="0.25">
      <c r="A3971" t="s">
        <v>3527</v>
      </c>
      <c r="B3971" t="s">
        <v>13</v>
      </c>
      <c r="C3971">
        <v>32</v>
      </c>
      <c r="D3971">
        <v>31</v>
      </c>
      <c r="E3971" t="s">
        <v>17</v>
      </c>
      <c r="F3971">
        <v>23.22</v>
      </c>
      <c r="G3971">
        <v>24.39</v>
      </c>
      <c r="H3971" t="s">
        <v>17</v>
      </c>
      <c r="I3971" t="str">
        <f>"062271003077"</f>
        <v>062271003077</v>
      </c>
    </row>
    <row r="3972" spans="1:9" x14ac:dyDescent="0.25">
      <c r="A3972" t="s">
        <v>3528</v>
      </c>
      <c r="B3972" t="s">
        <v>13</v>
      </c>
      <c r="C3972">
        <v>23.25</v>
      </c>
      <c r="D3972">
        <v>28.42</v>
      </c>
      <c r="E3972" t="s">
        <v>17</v>
      </c>
      <c r="F3972">
        <v>31.14</v>
      </c>
      <c r="G3972">
        <v>24.77</v>
      </c>
      <c r="H3972" t="s">
        <v>17</v>
      </c>
      <c r="I3972" t="str">
        <f>"063801006416"</f>
        <v>063801006416</v>
      </c>
    </row>
    <row r="3973" spans="1:9" x14ac:dyDescent="0.25">
      <c r="A3973" t="s">
        <v>3529</v>
      </c>
      <c r="B3973" t="s">
        <v>13</v>
      </c>
      <c r="C3973">
        <v>2.33</v>
      </c>
      <c r="D3973">
        <v>2.33</v>
      </c>
      <c r="E3973" t="s">
        <v>17</v>
      </c>
      <c r="F3973">
        <v>12.88</v>
      </c>
      <c r="G3973">
        <v>15.88</v>
      </c>
      <c r="H3973" t="s">
        <v>17</v>
      </c>
      <c r="I3973" t="str">
        <f>"061806011222"</f>
        <v>061806011222</v>
      </c>
    </row>
    <row r="3974" spans="1:9" x14ac:dyDescent="0.25">
      <c r="A3974" t="s">
        <v>3530</v>
      </c>
      <c r="B3974" t="s">
        <v>13</v>
      </c>
      <c r="C3974" t="s">
        <v>17</v>
      </c>
      <c r="D3974">
        <v>1</v>
      </c>
      <c r="E3974" t="s">
        <v>17</v>
      </c>
      <c r="F3974" t="s">
        <v>17</v>
      </c>
      <c r="G3974">
        <v>2</v>
      </c>
      <c r="H3974" t="s">
        <v>17</v>
      </c>
      <c r="I3974" t="str">
        <f>"062604007448"</f>
        <v>062604007448</v>
      </c>
    </row>
    <row r="3975" spans="1:9" x14ac:dyDescent="0.25">
      <c r="A3975" t="s">
        <v>3531</v>
      </c>
      <c r="B3975" t="s">
        <v>13</v>
      </c>
      <c r="C3975">
        <v>7</v>
      </c>
      <c r="D3975">
        <v>4</v>
      </c>
      <c r="E3975" t="s">
        <v>14</v>
      </c>
      <c r="F3975">
        <v>24</v>
      </c>
      <c r="G3975">
        <v>23</v>
      </c>
      <c r="H3975" t="s">
        <v>14</v>
      </c>
      <c r="I3975" t="str">
        <f>"060004412872"</f>
        <v>060004412872</v>
      </c>
    </row>
    <row r="3976" spans="1:9" x14ac:dyDescent="0.25">
      <c r="A3976" t="s">
        <v>3532</v>
      </c>
      <c r="B3976" t="s">
        <v>13</v>
      </c>
      <c r="C3976">
        <v>27</v>
      </c>
      <c r="D3976">
        <v>30.2</v>
      </c>
      <c r="E3976" t="s">
        <v>17</v>
      </c>
      <c r="F3976">
        <v>19.260000000000002</v>
      </c>
      <c r="G3976">
        <v>20.83</v>
      </c>
      <c r="H3976" t="s">
        <v>17</v>
      </c>
      <c r="I3976" t="str">
        <f>"060004402139"</f>
        <v>060004402139</v>
      </c>
    </row>
    <row r="3977" spans="1:9" x14ac:dyDescent="0.25">
      <c r="A3977" t="s">
        <v>3533</v>
      </c>
      <c r="B3977" t="s">
        <v>13</v>
      </c>
      <c r="C3977">
        <v>25.8</v>
      </c>
      <c r="D3977">
        <v>29.4</v>
      </c>
      <c r="E3977" t="s">
        <v>17</v>
      </c>
      <c r="F3977">
        <v>25.66</v>
      </c>
      <c r="G3977">
        <v>23.95</v>
      </c>
      <c r="H3977" t="s">
        <v>17</v>
      </c>
      <c r="I3977" t="str">
        <f>"060004402140"</f>
        <v>060004402140</v>
      </c>
    </row>
    <row r="3978" spans="1:9" x14ac:dyDescent="0.25">
      <c r="A3978" t="s">
        <v>3534</v>
      </c>
      <c r="B3978" t="s">
        <v>13</v>
      </c>
      <c r="C3978">
        <v>18</v>
      </c>
      <c r="D3978">
        <v>19</v>
      </c>
      <c r="E3978" t="s">
        <v>17</v>
      </c>
      <c r="F3978">
        <v>23.94</v>
      </c>
      <c r="G3978">
        <v>23.74</v>
      </c>
      <c r="H3978" t="s">
        <v>17</v>
      </c>
      <c r="I3978" t="str">
        <f>"060004402141"</f>
        <v>060004402141</v>
      </c>
    </row>
    <row r="3979" spans="1:9" x14ac:dyDescent="0.25">
      <c r="A3979" t="s">
        <v>3535</v>
      </c>
      <c r="B3979" t="s">
        <v>13</v>
      </c>
      <c r="C3979">
        <v>7.33</v>
      </c>
      <c r="D3979">
        <v>3.08</v>
      </c>
      <c r="E3979" t="s">
        <v>14</v>
      </c>
      <c r="F3979">
        <v>33.15</v>
      </c>
      <c r="G3979">
        <v>39.94</v>
      </c>
      <c r="H3979" t="s">
        <v>14</v>
      </c>
      <c r="I3979" t="str">
        <f>"063801012644"</f>
        <v>063801012644</v>
      </c>
    </row>
    <row r="3980" spans="1:9" x14ac:dyDescent="0.25">
      <c r="A3980" t="s">
        <v>3536</v>
      </c>
      <c r="B3980" t="s">
        <v>13</v>
      </c>
      <c r="C3980">
        <v>17</v>
      </c>
      <c r="D3980">
        <v>11.33</v>
      </c>
      <c r="E3980" t="s">
        <v>17</v>
      </c>
      <c r="F3980">
        <v>32.590000000000003</v>
      </c>
      <c r="G3980">
        <v>46.69</v>
      </c>
      <c r="H3980" t="s">
        <v>17</v>
      </c>
      <c r="I3980" t="str">
        <f>"063432012179"</f>
        <v>063432012179</v>
      </c>
    </row>
    <row r="3981" spans="1:9" x14ac:dyDescent="0.25">
      <c r="A3981" t="s">
        <v>3537</v>
      </c>
      <c r="B3981" t="s">
        <v>13</v>
      </c>
      <c r="C3981" t="s">
        <v>17</v>
      </c>
      <c r="D3981" t="s">
        <v>14</v>
      </c>
      <c r="E3981" t="s">
        <v>14</v>
      </c>
      <c r="F3981" t="s">
        <v>17</v>
      </c>
      <c r="G3981" t="s">
        <v>14</v>
      </c>
      <c r="H3981" t="s">
        <v>14</v>
      </c>
      <c r="I3981" t="str">
        <f>"063432013655"</f>
        <v>063432013655</v>
      </c>
    </row>
    <row r="3982" spans="1:9" x14ac:dyDescent="0.25">
      <c r="A3982" t="s">
        <v>3538</v>
      </c>
      <c r="B3982" t="s">
        <v>13</v>
      </c>
      <c r="C3982">
        <v>22</v>
      </c>
      <c r="D3982">
        <v>22</v>
      </c>
      <c r="E3982" t="s">
        <v>17</v>
      </c>
      <c r="F3982">
        <v>23.64</v>
      </c>
      <c r="G3982">
        <v>23.64</v>
      </c>
      <c r="H3982" t="s">
        <v>17</v>
      </c>
      <c r="I3982" t="str">
        <f>"063432005477"</f>
        <v>063432005477</v>
      </c>
    </row>
    <row r="3983" spans="1:9" x14ac:dyDescent="0.25">
      <c r="A3983" t="s">
        <v>3539</v>
      </c>
      <c r="B3983" t="s">
        <v>13</v>
      </c>
      <c r="C3983">
        <v>5</v>
      </c>
      <c r="D3983">
        <v>5.0999999999999996</v>
      </c>
      <c r="E3983" t="s">
        <v>17</v>
      </c>
      <c r="F3983">
        <v>11</v>
      </c>
      <c r="G3983">
        <v>11.76</v>
      </c>
      <c r="H3983" t="s">
        <v>17</v>
      </c>
      <c r="I3983" t="str">
        <f>"063627006184"</f>
        <v>063627006184</v>
      </c>
    </row>
    <row r="3984" spans="1:9" x14ac:dyDescent="0.25">
      <c r="A3984" t="s">
        <v>3540</v>
      </c>
      <c r="B3984" t="s">
        <v>13</v>
      </c>
      <c r="C3984">
        <v>20</v>
      </c>
      <c r="D3984">
        <v>20</v>
      </c>
      <c r="E3984" t="s">
        <v>17</v>
      </c>
      <c r="F3984">
        <v>20.85</v>
      </c>
      <c r="G3984">
        <v>20.9</v>
      </c>
      <c r="H3984" t="s">
        <v>17</v>
      </c>
      <c r="I3984" t="str">
        <f>"063429005403"</f>
        <v>063429005403</v>
      </c>
    </row>
    <row r="3985" spans="1:9" x14ac:dyDescent="0.25">
      <c r="A3985" t="s">
        <v>3541</v>
      </c>
      <c r="B3985" t="s">
        <v>13</v>
      </c>
      <c r="C3985">
        <v>20</v>
      </c>
      <c r="D3985">
        <v>19</v>
      </c>
      <c r="E3985" t="s">
        <v>17</v>
      </c>
      <c r="F3985">
        <v>27.5</v>
      </c>
      <c r="G3985">
        <v>27.89</v>
      </c>
      <c r="H3985" t="s">
        <v>17</v>
      </c>
      <c r="I3985" t="str">
        <f>"061455001735"</f>
        <v>061455001735</v>
      </c>
    </row>
    <row r="3986" spans="1:9" x14ac:dyDescent="0.25">
      <c r="A3986" t="s">
        <v>3542</v>
      </c>
      <c r="B3986" t="s">
        <v>13</v>
      </c>
      <c r="C3986">
        <v>58.32</v>
      </c>
      <c r="D3986">
        <v>54.01</v>
      </c>
      <c r="E3986" t="s">
        <v>17</v>
      </c>
      <c r="F3986">
        <v>20.059999999999999</v>
      </c>
      <c r="G3986">
        <v>21.09</v>
      </c>
      <c r="H3986" t="s">
        <v>17</v>
      </c>
      <c r="I3986" t="str">
        <f>"061683002144"</f>
        <v>061683002144</v>
      </c>
    </row>
    <row r="3987" spans="1:9" x14ac:dyDescent="0.25">
      <c r="A3987" t="s">
        <v>3543</v>
      </c>
      <c r="B3987" t="s">
        <v>13</v>
      </c>
      <c r="C3987">
        <v>90.4</v>
      </c>
      <c r="D3987">
        <v>90.35</v>
      </c>
      <c r="E3987" t="s">
        <v>17</v>
      </c>
      <c r="F3987">
        <v>29.09</v>
      </c>
      <c r="G3987">
        <v>29.03</v>
      </c>
      <c r="H3987" t="s">
        <v>17</v>
      </c>
      <c r="I3987" t="str">
        <f>"063531012133"</f>
        <v>063531012133</v>
      </c>
    </row>
    <row r="3988" spans="1:9" x14ac:dyDescent="0.25">
      <c r="A3988" t="s">
        <v>3544</v>
      </c>
      <c r="B3988" t="s">
        <v>13</v>
      </c>
      <c r="C3988">
        <v>42</v>
      </c>
      <c r="D3988">
        <v>45</v>
      </c>
      <c r="E3988" t="s">
        <v>17</v>
      </c>
      <c r="F3988">
        <v>24.86</v>
      </c>
      <c r="G3988">
        <v>22.51</v>
      </c>
      <c r="H3988" t="s">
        <v>17</v>
      </c>
      <c r="I3988" t="str">
        <f>"060861011227"</f>
        <v>060861011227</v>
      </c>
    </row>
    <row r="3989" spans="1:9" x14ac:dyDescent="0.25">
      <c r="A3989" t="s">
        <v>3545</v>
      </c>
      <c r="B3989" t="s">
        <v>13</v>
      </c>
      <c r="C3989">
        <v>25.85</v>
      </c>
      <c r="D3989">
        <v>26</v>
      </c>
      <c r="E3989" t="s">
        <v>17</v>
      </c>
      <c r="F3989">
        <v>23.13</v>
      </c>
      <c r="G3989">
        <v>22.31</v>
      </c>
      <c r="H3989" t="s">
        <v>17</v>
      </c>
      <c r="I3989" t="str">
        <f>"063060004747"</f>
        <v>063060004747</v>
      </c>
    </row>
    <row r="3990" spans="1:9" x14ac:dyDescent="0.25">
      <c r="A3990" t="s">
        <v>3546</v>
      </c>
      <c r="B3990" t="s">
        <v>13</v>
      </c>
      <c r="C3990">
        <v>25.8</v>
      </c>
      <c r="D3990">
        <v>23.6</v>
      </c>
      <c r="E3990" t="s">
        <v>17</v>
      </c>
      <c r="F3990">
        <v>25.04</v>
      </c>
      <c r="G3990">
        <v>26.19</v>
      </c>
      <c r="H3990" t="s">
        <v>17</v>
      </c>
      <c r="I3990" t="str">
        <f>"062724004116"</f>
        <v>062724004116</v>
      </c>
    </row>
    <row r="3991" spans="1:9" x14ac:dyDescent="0.25">
      <c r="A3991" t="s">
        <v>3547</v>
      </c>
      <c r="B3991" t="s">
        <v>13</v>
      </c>
      <c r="C3991">
        <v>42.33</v>
      </c>
      <c r="D3991">
        <v>59.57</v>
      </c>
      <c r="E3991" t="s">
        <v>17</v>
      </c>
      <c r="F3991">
        <v>16.579999999999998</v>
      </c>
      <c r="G3991">
        <v>16.54</v>
      </c>
      <c r="H3991" t="s">
        <v>17</v>
      </c>
      <c r="I3991" t="str">
        <f>"062271012234"</f>
        <v>062271012234</v>
      </c>
    </row>
    <row r="3992" spans="1:9" x14ac:dyDescent="0.25">
      <c r="A3992" t="s">
        <v>3548</v>
      </c>
      <c r="B3992" t="s">
        <v>13</v>
      </c>
      <c r="C3992">
        <v>32.200000000000003</v>
      </c>
      <c r="D3992">
        <v>37</v>
      </c>
      <c r="E3992" t="s">
        <v>17</v>
      </c>
      <c r="F3992">
        <v>27.17</v>
      </c>
      <c r="G3992">
        <v>23</v>
      </c>
      <c r="H3992" t="s">
        <v>17</v>
      </c>
      <c r="I3992" t="str">
        <f>"061233011065"</f>
        <v>061233011065</v>
      </c>
    </row>
    <row r="3993" spans="1:9" x14ac:dyDescent="0.25">
      <c r="A3993" t="s">
        <v>3549</v>
      </c>
      <c r="B3993" t="s">
        <v>13</v>
      </c>
      <c r="C3993">
        <v>13.6</v>
      </c>
      <c r="D3993">
        <v>15.5</v>
      </c>
      <c r="E3993" t="s">
        <v>17</v>
      </c>
      <c r="F3993">
        <v>31.18</v>
      </c>
      <c r="G3993">
        <v>28.26</v>
      </c>
      <c r="H3993" t="s">
        <v>17</v>
      </c>
      <c r="I3993" t="str">
        <f>"064015006637"</f>
        <v>064015006637</v>
      </c>
    </row>
    <row r="3994" spans="1:9" x14ac:dyDescent="0.25">
      <c r="A3994" t="s">
        <v>3550</v>
      </c>
      <c r="B3994" t="s">
        <v>13</v>
      </c>
      <c r="C3994">
        <v>10.1</v>
      </c>
      <c r="D3994">
        <v>12.2</v>
      </c>
      <c r="E3994" t="s">
        <v>17</v>
      </c>
      <c r="F3994">
        <v>27.52</v>
      </c>
      <c r="G3994">
        <v>27.21</v>
      </c>
      <c r="H3994" t="s">
        <v>17</v>
      </c>
      <c r="I3994" t="str">
        <f>"061692009555"</f>
        <v>061692009555</v>
      </c>
    </row>
    <row r="3995" spans="1:9" x14ac:dyDescent="0.25">
      <c r="A3995" t="s">
        <v>3551</v>
      </c>
      <c r="B3995" t="s">
        <v>13</v>
      </c>
      <c r="C3995">
        <v>14</v>
      </c>
      <c r="D3995">
        <v>15</v>
      </c>
      <c r="E3995" t="s">
        <v>17</v>
      </c>
      <c r="F3995">
        <v>28.86</v>
      </c>
      <c r="G3995">
        <v>25.67</v>
      </c>
      <c r="H3995" t="s">
        <v>17</v>
      </c>
      <c r="I3995" t="str">
        <f>"060002808270"</f>
        <v>060002808270</v>
      </c>
    </row>
    <row r="3996" spans="1:9" x14ac:dyDescent="0.25">
      <c r="A3996" t="s">
        <v>3552</v>
      </c>
      <c r="B3996" t="s">
        <v>13</v>
      </c>
      <c r="C3996">
        <v>22</v>
      </c>
      <c r="D3996">
        <v>22</v>
      </c>
      <c r="E3996" t="s">
        <v>17</v>
      </c>
      <c r="F3996">
        <v>29.77</v>
      </c>
      <c r="G3996">
        <v>30.27</v>
      </c>
      <c r="H3996" t="s">
        <v>17</v>
      </c>
      <c r="I3996" t="str">
        <f>"062316010900"</f>
        <v>062316010900</v>
      </c>
    </row>
    <row r="3997" spans="1:9" x14ac:dyDescent="0.25">
      <c r="A3997" t="s">
        <v>3553</v>
      </c>
      <c r="B3997" t="s">
        <v>13</v>
      </c>
      <c r="C3997">
        <v>21.5</v>
      </c>
      <c r="D3997">
        <v>22</v>
      </c>
      <c r="E3997" t="s">
        <v>17</v>
      </c>
      <c r="F3997">
        <v>29.12</v>
      </c>
      <c r="G3997">
        <v>29.36</v>
      </c>
      <c r="H3997" t="s">
        <v>17</v>
      </c>
      <c r="I3997" t="str">
        <f>"063237008949"</f>
        <v>063237008949</v>
      </c>
    </row>
    <row r="3998" spans="1:9" x14ac:dyDescent="0.25">
      <c r="A3998" t="s">
        <v>3554</v>
      </c>
      <c r="B3998" t="s">
        <v>13</v>
      </c>
      <c r="C3998">
        <v>26.65</v>
      </c>
      <c r="D3998">
        <v>26.5</v>
      </c>
      <c r="E3998" t="s">
        <v>17</v>
      </c>
      <c r="F3998">
        <v>19.440000000000001</v>
      </c>
      <c r="G3998">
        <v>19.43</v>
      </c>
      <c r="H3998" t="s">
        <v>17</v>
      </c>
      <c r="I3998" t="str">
        <f>"063581006120"</f>
        <v>063581006120</v>
      </c>
    </row>
    <row r="3999" spans="1:9" x14ac:dyDescent="0.25">
      <c r="A3999" t="s">
        <v>3555</v>
      </c>
      <c r="B3999" t="s">
        <v>13</v>
      </c>
      <c r="C3999">
        <v>30.33</v>
      </c>
      <c r="D3999">
        <v>32.33</v>
      </c>
      <c r="E3999" t="s">
        <v>17</v>
      </c>
      <c r="F3999">
        <v>19.12</v>
      </c>
      <c r="G3999">
        <v>18.16</v>
      </c>
      <c r="H3999" t="s">
        <v>17</v>
      </c>
      <c r="I3999" t="str">
        <f>"062954004556"</f>
        <v>062954004556</v>
      </c>
    </row>
    <row r="4000" spans="1:9" x14ac:dyDescent="0.25">
      <c r="A4000" t="s">
        <v>3556</v>
      </c>
      <c r="B4000" t="s">
        <v>13</v>
      </c>
      <c r="C4000">
        <v>37</v>
      </c>
      <c r="D4000">
        <v>37</v>
      </c>
      <c r="E4000" t="s">
        <v>17</v>
      </c>
      <c r="F4000">
        <v>23.16</v>
      </c>
      <c r="G4000">
        <v>23.03</v>
      </c>
      <c r="H4000" t="s">
        <v>17</v>
      </c>
      <c r="I4000" t="str">
        <f>"064215006903"</f>
        <v>064215006903</v>
      </c>
    </row>
    <row r="4001" spans="1:9" x14ac:dyDescent="0.25">
      <c r="A4001" t="s">
        <v>3557</v>
      </c>
      <c r="B4001" t="s">
        <v>13</v>
      </c>
      <c r="C4001">
        <v>18.25</v>
      </c>
      <c r="D4001">
        <v>17.75</v>
      </c>
      <c r="E4001" t="s">
        <v>17</v>
      </c>
      <c r="F4001">
        <v>24.6</v>
      </c>
      <c r="G4001">
        <v>24.45</v>
      </c>
      <c r="H4001" t="s">
        <v>17</v>
      </c>
      <c r="I4001" t="str">
        <f>"061686002146"</f>
        <v>061686002146</v>
      </c>
    </row>
    <row r="4002" spans="1:9" x14ac:dyDescent="0.25">
      <c r="A4002" t="s">
        <v>3558</v>
      </c>
      <c r="B4002" t="s">
        <v>13</v>
      </c>
      <c r="C4002">
        <v>34</v>
      </c>
      <c r="D4002">
        <v>36</v>
      </c>
      <c r="E4002" t="s">
        <v>17</v>
      </c>
      <c r="F4002">
        <v>23.79</v>
      </c>
      <c r="G4002">
        <v>22.61</v>
      </c>
      <c r="H4002" t="s">
        <v>17</v>
      </c>
      <c r="I4002" t="str">
        <f>"062271003078"</f>
        <v>062271003078</v>
      </c>
    </row>
    <row r="4003" spans="1:9" x14ac:dyDescent="0.25">
      <c r="A4003" t="s">
        <v>3559</v>
      </c>
      <c r="B4003" t="s">
        <v>13</v>
      </c>
      <c r="C4003">
        <v>85</v>
      </c>
      <c r="D4003">
        <v>85</v>
      </c>
      <c r="E4003" t="s">
        <v>17</v>
      </c>
      <c r="F4003">
        <v>28.71</v>
      </c>
      <c r="G4003">
        <v>28.98</v>
      </c>
      <c r="H4003" t="s">
        <v>17</v>
      </c>
      <c r="I4003" t="str">
        <f>"061623002023"</f>
        <v>061623002023</v>
      </c>
    </row>
    <row r="4004" spans="1:9" x14ac:dyDescent="0.25">
      <c r="A4004" t="s">
        <v>3560</v>
      </c>
      <c r="B4004" t="s">
        <v>13</v>
      </c>
      <c r="C4004">
        <v>5</v>
      </c>
      <c r="D4004">
        <v>6</v>
      </c>
      <c r="E4004" t="s">
        <v>17</v>
      </c>
      <c r="F4004">
        <v>25</v>
      </c>
      <c r="G4004">
        <v>22.17</v>
      </c>
      <c r="H4004" t="s">
        <v>17</v>
      </c>
      <c r="I4004" t="str">
        <f>"069113410216"</f>
        <v>069113410216</v>
      </c>
    </row>
    <row r="4005" spans="1:9" x14ac:dyDescent="0.25">
      <c r="A4005" t="s">
        <v>3561</v>
      </c>
      <c r="B4005" t="s">
        <v>13</v>
      </c>
      <c r="C4005">
        <v>49.01</v>
      </c>
      <c r="D4005">
        <v>46.34</v>
      </c>
      <c r="E4005" t="s">
        <v>17</v>
      </c>
      <c r="F4005">
        <v>18.14</v>
      </c>
      <c r="G4005">
        <v>19.53</v>
      </c>
      <c r="H4005" t="s">
        <v>17</v>
      </c>
      <c r="I4005" t="str">
        <f>"063255005034"</f>
        <v>063255005034</v>
      </c>
    </row>
    <row r="4006" spans="1:9" x14ac:dyDescent="0.25">
      <c r="A4006" t="s">
        <v>3562</v>
      </c>
      <c r="B4006" t="s">
        <v>13</v>
      </c>
      <c r="C4006">
        <v>9.4</v>
      </c>
      <c r="D4006">
        <v>10.7</v>
      </c>
      <c r="E4006" t="s">
        <v>17</v>
      </c>
      <c r="F4006">
        <v>19.68</v>
      </c>
      <c r="G4006">
        <v>18.41</v>
      </c>
      <c r="H4006" t="s">
        <v>17</v>
      </c>
      <c r="I4006" t="str">
        <f>"061692011869"</f>
        <v>061692011869</v>
      </c>
    </row>
    <row r="4007" spans="1:9" x14ac:dyDescent="0.25">
      <c r="A4007" t="s">
        <v>3563</v>
      </c>
      <c r="B4007" t="s">
        <v>13</v>
      </c>
      <c r="C4007">
        <v>92.35</v>
      </c>
      <c r="D4007">
        <v>89.05</v>
      </c>
      <c r="E4007" t="s">
        <v>17</v>
      </c>
      <c r="F4007">
        <v>26.26</v>
      </c>
      <c r="G4007">
        <v>28.23</v>
      </c>
      <c r="H4007" t="s">
        <v>17</v>
      </c>
      <c r="I4007" t="str">
        <f>"061692002154"</f>
        <v>061692002154</v>
      </c>
    </row>
    <row r="4008" spans="1:9" x14ac:dyDescent="0.25">
      <c r="A4008" t="s">
        <v>3564</v>
      </c>
      <c r="B4008" t="s">
        <v>13</v>
      </c>
      <c r="C4008">
        <v>18.170000000000002</v>
      </c>
      <c r="D4008">
        <v>19.2</v>
      </c>
      <c r="E4008" t="s">
        <v>17</v>
      </c>
      <c r="F4008">
        <v>25.21</v>
      </c>
      <c r="G4008">
        <v>25.52</v>
      </c>
      <c r="H4008" t="s">
        <v>17</v>
      </c>
      <c r="I4008" t="str">
        <f>"061392002600"</f>
        <v>061392002600</v>
      </c>
    </row>
    <row r="4009" spans="1:9" x14ac:dyDescent="0.25">
      <c r="A4009" t="s">
        <v>3564</v>
      </c>
      <c r="B4009" t="s">
        <v>13</v>
      </c>
      <c r="C4009">
        <v>16.73</v>
      </c>
      <c r="D4009">
        <v>15.05</v>
      </c>
      <c r="E4009" t="s">
        <v>17</v>
      </c>
      <c r="F4009">
        <v>19.25</v>
      </c>
      <c r="G4009">
        <v>18.8</v>
      </c>
      <c r="H4009" t="s">
        <v>17</v>
      </c>
      <c r="I4009" t="str">
        <f>"064059006702"</f>
        <v>064059006702</v>
      </c>
    </row>
    <row r="4010" spans="1:9" x14ac:dyDescent="0.25">
      <c r="A4010" t="s">
        <v>3565</v>
      </c>
      <c r="B4010" t="s">
        <v>13</v>
      </c>
      <c r="C4010">
        <v>15.5</v>
      </c>
      <c r="D4010">
        <v>22.67</v>
      </c>
      <c r="E4010" t="s">
        <v>17</v>
      </c>
      <c r="F4010">
        <v>28.32</v>
      </c>
      <c r="G4010">
        <v>20.11</v>
      </c>
      <c r="H4010" t="s">
        <v>17</v>
      </c>
      <c r="I4010" t="str">
        <f>"060384000350"</f>
        <v>060384000350</v>
      </c>
    </row>
    <row r="4011" spans="1:9" x14ac:dyDescent="0.25">
      <c r="A4011" t="s">
        <v>3566</v>
      </c>
      <c r="B4011" t="s">
        <v>13</v>
      </c>
      <c r="C4011">
        <v>9.4</v>
      </c>
      <c r="D4011">
        <v>9.1999999999999993</v>
      </c>
      <c r="E4011" t="s">
        <v>17</v>
      </c>
      <c r="F4011">
        <v>12.23</v>
      </c>
      <c r="G4011">
        <v>12.83</v>
      </c>
      <c r="H4011" t="s">
        <v>17</v>
      </c>
      <c r="I4011" t="str">
        <f>"062223008321"</f>
        <v>062223008321</v>
      </c>
    </row>
    <row r="4012" spans="1:9" x14ac:dyDescent="0.25">
      <c r="A4012" t="s">
        <v>3567</v>
      </c>
      <c r="B4012" t="s">
        <v>13</v>
      </c>
      <c r="C4012">
        <v>18.5</v>
      </c>
      <c r="D4012">
        <v>20</v>
      </c>
      <c r="E4012" t="s">
        <v>17</v>
      </c>
      <c r="F4012">
        <v>25.95</v>
      </c>
      <c r="G4012">
        <v>25.6</v>
      </c>
      <c r="H4012" t="s">
        <v>17</v>
      </c>
      <c r="I4012" t="str">
        <f>"060402000360"</f>
        <v>060402000360</v>
      </c>
    </row>
    <row r="4013" spans="1:9" x14ac:dyDescent="0.25">
      <c r="A4013" t="s">
        <v>3568</v>
      </c>
      <c r="B4013" t="s">
        <v>13</v>
      </c>
      <c r="C4013">
        <v>24</v>
      </c>
      <c r="D4013">
        <v>26.5</v>
      </c>
      <c r="E4013" t="s">
        <v>17</v>
      </c>
      <c r="F4013">
        <v>29.13</v>
      </c>
      <c r="G4013">
        <v>26.94</v>
      </c>
      <c r="H4013" t="s">
        <v>17</v>
      </c>
      <c r="I4013" t="str">
        <f>"062580009587"</f>
        <v>062580009587</v>
      </c>
    </row>
    <row r="4014" spans="1:9" x14ac:dyDescent="0.25">
      <c r="A4014" t="s">
        <v>3569</v>
      </c>
      <c r="B4014" t="s">
        <v>13</v>
      </c>
      <c r="C4014" t="s">
        <v>14</v>
      </c>
      <c r="D4014">
        <v>18.899999999999999</v>
      </c>
      <c r="E4014" t="s">
        <v>17</v>
      </c>
      <c r="F4014" t="s">
        <v>17</v>
      </c>
      <c r="G4014">
        <v>20.85</v>
      </c>
      <c r="H4014" t="s">
        <v>17</v>
      </c>
      <c r="I4014" t="str">
        <f>"061578001998"</f>
        <v>061578001998</v>
      </c>
    </row>
    <row r="4015" spans="1:9" x14ac:dyDescent="0.25">
      <c r="A4015" t="s">
        <v>3570</v>
      </c>
      <c r="B4015" t="s">
        <v>13</v>
      </c>
      <c r="C4015">
        <v>28</v>
      </c>
      <c r="D4015">
        <v>29</v>
      </c>
      <c r="E4015" t="s">
        <v>17</v>
      </c>
      <c r="F4015">
        <v>26.79</v>
      </c>
      <c r="G4015">
        <v>26.34</v>
      </c>
      <c r="H4015" t="s">
        <v>17</v>
      </c>
      <c r="I4015" t="str">
        <f>"060261000153"</f>
        <v>060261000153</v>
      </c>
    </row>
    <row r="4016" spans="1:9" x14ac:dyDescent="0.25">
      <c r="A4016" t="s">
        <v>3571</v>
      </c>
      <c r="B4016" t="s">
        <v>13</v>
      </c>
      <c r="C4016" t="s">
        <v>14</v>
      </c>
      <c r="D4016" t="s">
        <v>14</v>
      </c>
      <c r="E4016" t="s">
        <v>17</v>
      </c>
      <c r="F4016" t="s">
        <v>14</v>
      </c>
      <c r="G4016" t="s">
        <v>14</v>
      </c>
      <c r="H4016" t="s">
        <v>17</v>
      </c>
      <c r="I4016" t="str">
        <f>"062271002922"</f>
        <v>062271002922</v>
      </c>
    </row>
    <row r="4017" spans="1:9" x14ac:dyDescent="0.25">
      <c r="A4017" t="s">
        <v>3572</v>
      </c>
      <c r="B4017" t="s">
        <v>13</v>
      </c>
      <c r="C4017">
        <v>15</v>
      </c>
      <c r="D4017">
        <v>17</v>
      </c>
      <c r="E4017" t="s">
        <v>17</v>
      </c>
      <c r="F4017">
        <v>23.6</v>
      </c>
      <c r="G4017">
        <v>22.29</v>
      </c>
      <c r="H4017" t="s">
        <v>17</v>
      </c>
      <c r="I4017" t="str">
        <f>"060360000270"</f>
        <v>060360000270</v>
      </c>
    </row>
    <row r="4018" spans="1:9" x14ac:dyDescent="0.25">
      <c r="A4018" t="s">
        <v>3573</v>
      </c>
      <c r="B4018" t="s">
        <v>13</v>
      </c>
      <c r="C4018">
        <v>3</v>
      </c>
      <c r="D4018">
        <v>3.01</v>
      </c>
      <c r="E4018" t="s">
        <v>17</v>
      </c>
      <c r="F4018">
        <v>35.67</v>
      </c>
      <c r="G4018">
        <v>29.57</v>
      </c>
      <c r="H4018" t="s">
        <v>17</v>
      </c>
      <c r="I4018" t="str">
        <f>"062271003398"</f>
        <v>062271003398</v>
      </c>
    </row>
    <row r="4019" spans="1:9" x14ac:dyDescent="0.25">
      <c r="A4019" t="s">
        <v>3574</v>
      </c>
      <c r="B4019" t="s">
        <v>13</v>
      </c>
      <c r="C4019">
        <v>32.229999999999997</v>
      </c>
      <c r="D4019">
        <v>33.72</v>
      </c>
      <c r="E4019" t="s">
        <v>17</v>
      </c>
      <c r="F4019">
        <v>19.73</v>
      </c>
      <c r="G4019">
        <v>19.63</v>
      </c>
      <c r="H4019" t="s">
        <v>17</v>
      </c>
      <c r="I4019" t="str">
        <f>"060363000296"</f>
        <v>060363000296</v>
      </c>
    </row>
    <row r="4020" spans="1:9" x14ac:dyDescent="0.25">
      <c r="A4020" t="s">
        <v>3575</v>
      </c>
      <c r="B4020" t="s">
        <v>13</v>
      </c>
      <c r="C4020">
        <v>20.07</v>
      </c>
      <c r="D4020">
        <v>26.7</v>
      </c>
      <c r="E4020" t="s">
        <v>17</v>
      </c>
      <c r="F4020">
        <v>27.4</v>
      </c>
      <c r="G4020">
        <v>20.49</v>
      </c>
      <c r="H4020" t="s">
        <v>17</v>
      </c>
      <c r="I4020" t="str">
        <f>"063237007829"</f>
        <v>063237007829</v>
      </c>
    </row>
    <row r="4021" spans="1:9" x14ac:dyDescent="0.25">
      <c r="A4021" t="s">
        <v>3576</v>
      </c>
      <c r="B4021" t="s">
        <v>13</v>
      </c>
      <c r="C4021">
        <v>13.5</v>
      </c>
      <c r="D4021">
        <v>12</v>
      </c>
      <c r="E4021" t="s">
        <v>17</v>
      </c>
      <c r="F4021">
        <v>25.63</v>
      </c>
      <c r="G4021">
        <v>24.58</v>
      </c>
      <c r="H4021" t="s">
        <v>17</v>
      </c>
      <c r="I4021" t="str">
        <f>"060912010206"</f>
        <v>060912010206</v>
      </c>
    </row>
    <row r="4022" spans="1:9" x14ac:dyDescent="0.25">
      <c r="A4022" t="s">
        <v>3577</v>
      </c>
      <c r="B4022" t="s">
        <v>13</v>
      </c>
      <c r="C4022">
        <v>31</v>
      </c>
      <c r="D4022">
        <v>32</v>
      </c>
      <c r="E4022" t="s">
        <v>17</v>
      </c>
      <c r="F4022">
        <v>28</v>
      </c>
      <c r="G4022">
        <v>26.88</v>
      </c>
      <c r="H4022" t="s">
        <v>17</v>
      </c>
      <c r="I4022" t="str">
        <f>"063393005321"</f>
        <v>063393005321</v>
      </c>
    </row>
    <row r="4023" spans="1:9" x14ac:dyDescent="0.25">
      <c r="A4023" t="s">
        <v>3578</v>
      </c>
      <c r="B4023" t="s">
        <v>13</v>
      </c>
      <c r="C4023">
        <v>19.57</v>
      </c>
      <c r="D4023">
        <v>20.57</v>
      </c>
      <c r="E4023" t="s">
        <v>17</v>
      </c>
      <c r="F4023">
        <v>21.05</v>
      </c>
      <c r="G4023">
        <v>22.07</v>
      </c>
      <c r="H4023" t="s">
        <v>17</v>
      </c>
      <c r="I4023" t="str">
        <f>"063213004967"</f>
        <v>063213004967</v>
      </c>
    </row>
    <row r="4024" spans="1:9" x14ac:dyDescent="0.25">
      <c r="A4024" t="s">
        <v>3579</v>
      </c>
      <c r="B4024" t="s">
        <v>13</v>
      </c>
      <c r="C4024">
        <v>17.7</v>
      </c>
      <c r="D4024">
        <v>17.3</v>
      </c>
      <c r="E4024" t="s">
        <v>17</v>
      </c>
      <c r="F4024">
        <v>23.39</v>
      </c>
      <c r="G4024">
        <v>22.14</v>
      </c>
      <c r="H4024" t="s">
        <v>17</v>
      </c>
      <c r="I4024" t="str">
        <f>"060177000047"</f>
        <v>060177000047</v>
      </c>
    </row>
    <row r="4025" spans="1:9" x14ac:dyDescent="0.25">
      <c r="A4025" t="s">
        <v>3580</v>
      </c>
      <c r="B4025" t="s">
        <v>13</v>
      </c>
      <c r="C4025">
        <v>100.66</v>
      </c>
      <c r="D4025">
        <v>101.37</v>
      </c>
      <c r="E4025" t="s">
        <v>17</v>
      </c>
      <c r="F4025">
        <v>25.12</v>
      </c>
      <c r="G4025">
        <v>24.78</v>
      </c>
      <c r="H4025" t="s">
        <v>17</v>
      </c>
      <c r="I4025" t="str">
        <f>"063432005479"</f>
        <v>063432005479</v>
      </c>
    </row>
    <row r="4026" spans="1:9" x14ac:dyDescent="0.25">
      <c r="A4026" t="s">
        <v>3581</v>
      </c>
      <c r="B4026" t="s">
        <v>13</v>
      </c>
      <c r="C4026">
        <v>104.48</v>
      </c>
      <c r="D4026">
        <v>109.22</v>
      </c>
      <c r="E4026" t="s">
        <v>17</v>
      </c>
      <c r="F4026">
        <v>22.61</v>
      </c>
      <c r="G4026">
        <v>22.68</v>
      </c>
      <c r="H4026" t="s">
        <v>17</v>
      </c>
      <c r="I4026" t="str">
        <f>"061392008290"</f>
        <v>061392008290</v>
      </c>
    </row>
    <row r="4027" spans="1:9" x14ac:dyDescent="0.25">
      <c r="A4027" t="s">
        <v>3582</v>
      </c>
      <c r="B4027" t="s">
        <v>13</v>
      </c>
      <c r="C4027">
        <v>28</v>
      </c>
      <c r="D4027">
        <v>29.5</v>
      </c>
      <c r="E4027" t="s">
        <v>17</v>
      </c>
      <c r="F4027">
        <v>27.57</v>
      </c>
      <c r="G4027">
        <v>26.07</v>
      </c>
      <c r="H4027" t="s">
        <v>17</v>
      </c>
      <c r="I4027" t="str">
        <f>"062250002721"</f>
        <v>062250002721</v>
      </c>
    </row>
    <row r="4028" spans="1:9" x14ac:dyDescent="0.25">
      <c r="A4028" t="s">
        <v>3583</v>
      </c>
      <c r="B4028" t="s">
        <v>13</v>
      </c>
      <c r="C4028">
        <v>108.08</v>
      </c>
      <c r="D4028">
        <v>103.95</v>
      </c>
      <c r="E4028" t="s">
        <v>17</v>
      </c>
      <c r="F4028">
        <v>17.12</v>
      </c>
      <c r="G4028">
        <v>17.84</v>
      </c>
      <c r="H4028" t="s">
        <v>17</v>
      </c>
      <c r="I4028" t="str">
        <f>"062961004587"</f>
        <v>062961004587</v>
      </c>
    </row>
    <row r="4029" spans="1:9" x14ac:dyDescent="0.25">
      <c r="A4029" t="s">
        <v>3584</v>
      </c>
      <c r="B4029" t="s">
        <v>13</v>
      </c>
      <c r="C4029">
        <v>34</v>
      </c>
      <c r="D4029">
        <v>33</v>
      </c>
      <c r="E4029" t="s">
        <v>17</v>
      </c>
      <c r="F4029">
        <v>29.82</v>
      </c>
      <c r="G4029">
        <v>28.82</v>
      </c>
      <c r="H4029" t="s">
        <v>17</v>
      </c>
      <c r="I4029" t="str">
        <f>"062274003479"</f>
        <v>062274003479</v>
      </c>
    </row>
    <row r="4030" spans="1:9" x14ac:dyDescent="0.25">
      <c r="A4030" t="s">
        <v>3585</v>
      </c>
      <c r="B4030" t="s">
        <v>13</v>
      </c>
      <c r="C4030">
        <v>27.66</v>
      </c>
      <c r="D4030">
        <v>31</v>
      </c>
      <c r="E4030" t="s">
        <v>17</v>
      </c>
      <c r="F4030">
        <v>25.56</v>
      </c>
      <c r="G4030">
        <v>21.87</v>
      </c>
      <c r="H4030" t="s">
        <v>17</v>
      </c>
      <c r="I4030" t="str">
        <f>"060002006951"</f>
        <v>060002006951</v>
      </c>
    </row>
    <row r="4031" spans="1:9" x14ac:dyDescent="0.25">
      <c r="A4031" t="s">
        <v>3586</v>
      </c>
      <c r="B4031" t="s">
        <v>13</v>
      </c>
      <c r="C4031">
        <v>74.67</v>
      </c>
      <c r="D4031">
        <v>103.02</v>
      </c>
      <c r="E4031" t="s">
        <v>17</v>
      </c>
      <c r="F4031">
        <v>25.69</v>
      </c>
      <c r="G4031">
        <v>24.54</v>
      </c>
      <c r="H4031" t="s">
        <v>17</v>
      </c>
      <c r="I4031" t="str">
        <f>"062271003030"</f>
        <v>062271003030</v>
      </c>
    </row>
    <row r="4032" spans="1:9" x14ac:dyDescent="0.25">
      <c r="A4032" t="s">
        <v>3587</v>
      </c>
      <c r="B4032" t="s">
        <v>13</v>
      </c>
      <c r="C4032">
        <v>20.58</v>
      </c>
      <c r="D4032">
        <v>24.25</v>
      </c>
      <c r="E4032" t="s">
        <v>17</v>
      </c>
      <c r="F4032">
        <v>22.98</v>
      </c>
      <c r="G4032">
        <v>21.03</v>
      </c>
      <c r="H4032" t="s">
        <v>17</v>
      </c>
      <c r="I4032" t="str">
        <f>"062598003897"</f>
        <v>062598003897</v>
      </c>
    </row>
    <row r="4033" spans="1:9" x14ac:dyDescent="0.25">
      <c r="A4033" t="s">
        <v>3588</v>
      </c>
      <c r="B4033" t="s">
        <v>13</v>
      </c>
      <c r="C4033">
        <v>31.87</v>
      </c>
      <c r="D4033">
        <v>32.229999999999997</v>
      </c>
      <c r="E4033" t="s">
        <v>17</v>
      </c>
      <c r="F4033">
        <v>26.26</v>
      </c>
      <c r="G4033">
        <v>27.65</v>
      </c>
      <c r="H4033" t="s">
        <v>17</v>
      </c>
      <c r="I4033" t="str">
        <f>"062460003307"</f>
        <v>062460003307</v>
      </c>
    </row>
    <row r="4034" spans="1:9" x14ac:dyDescent="0.25">
      <c r="A4034" t="s">
        <v>3589</v>
      </c>
      <c r="B4034" t="s">
        <v>13</v>
      </c>
      <c r="C4034">
        <v>25</v>
      </c>
      <c r="D4034">
        <v>23</v>
      </c>
      <c r="E4034" t="s">
        <v>17</v>
      </c>
      <c r="F4034">
        <v>19.84</v>
      </c>
      <c r="G4034">
        <v>21.48</v>
      </c>
      <c r="H4034" t="s">
        <v>17</v>
      </c>
      <c r="I4034" t="str">
        <f>"061111001225"</f>
        <v>061111001225</v>
      </c>
    </row>
    <row r="4035" spans="1:9" x14ac:dyDescent="0.25">
      <c r="A4035" t="s">
        <v>3589</v>
      </c>
      <c r="B4035" t="s">
        <v>13</v>
      </c>
      <c r="C4035">
        <v>18.86</v>
      </c>
      <c r="D4035">
        <v>19.399999999999999</v>
      </c>
      <c r="E4035" t="s">
        <v>17</v>
      </c>
      <c r="F4035">
        <v>22</v>
      </c>
      <c r="G4035">
        <v>21.44</v>
      </c>
      <c r="H4035" t="s">
        <v>17</v>
      </c>
      <c r="I4035" t="str">
        <f>"062961004581"</f>
        <v>062961004581</v>
      </c>
    </row>
    <row r="4036" spans="1:9" x14ac:dyDescent="0.25">
      <c r="A4036" t="s">
        <v>3590</v>
      </c>
      <c r="B4036" t="s">
        <v>13</v>
      </c>
      <c r="C4036">
        <v>79.3</v>
      </c>
      <c r="D4036">
        <v>85.5</v>
      </c>
      <c r="E4036" t="s">
        <v>17</v>
      </c>
      <c r="F4036">
        <v>23.32</v>
      </c>
      <c r="G4036">
        <v>22.77</v>
      </c>
      <c r="H4036" t="s">
        <v>17</v>
      </c>
      <c r="I4036" t="str">
        <f>"061524001933"</f>
        <v>061524001933</v>
      </c>
    </row>
    <row r="4037" spans="1:9" x14ac:dyDescent="0.25">
      <c r="A4037" t="s">
        <v>3590</v>
      </c>
      <c r="B4037" t="s">
        <v>13</v>
      </c>
      <c r="C4037">
        <v>72.12</v>
      </c>
      <c r="D4037">
        <v>78</v>
      </c>
      <c r="E4037" t="s">
        <v>17</v>
      </c>
      <c r="F4037">
        <v>24.54</v>
      </c>
      <c r="G4037">
        <v>23.49</v>
      </c>
      <c r="H4037" t="s">
        <v>17</v>
      </c>
      <c r="I4037" t="str">
        <f>"061455001737"</f>
        <v>061455001737</v>
      </c>
    </row>
    <row r="4038" spans="1:9" x14ac:dyDescent="0.25">
      <c r="A4038" t="s">
        <v>3591</v>
      </c>
      <c r="B4038" t="s">
        <v>13</v>
      </c>
      <c r="C4038">
        <v>30.75</v>
      </c>
      <c r="D4038">
        <v>32.229999999999997</v>
      </c>
      <c r="E4038" t="s">
        <v>17</v>
      </c>
      <c r="F4038">
        <v>28.72</v>
      </c>
      <c r="G4038">
        <v>28.05</v>
      </c>
      <c r="H4038" t="s">
        <v>17</v>
      </c>
      <c r="I4038" t="str">
        <f>"062460003690"</f>
        <v>062460003690</v>
      </c>
    </row>
    <row r="4039" spans="1:9" x14ac:dyDescent="0.25">
      <c r="A4039" t="s">
        <v>3591</v>
      </c>
      <c r="B4039" t="s">
        <v>13</v>
      </c>
      <c r="C4039">
        <v>54.9</v>
      </c>
      <c r="D4039">
        <v>51.91</v>
      </c>
      <c r="E4039" t="s">
        <v>17</v>
      </c>
      <c r="F4039">
        <v>19.91</v>
      </c>
      <c r="G4039">
        <v>20.61</v>
      </c>
      <c r="H4039" t="s">
        <v>17</v>
      </c>
      <c r="I4039" t="str">
        <f>"063459005720"</f>
        <v>063459005720</v>
      </c>
    </row>
    <row r="4040" spans="1:9" x14ac:dyDescent="0.25">
      <c r="A4040" t="s">
        <v>3592</v>
      </c>
      <c r="B4040" t="s">
        <v>13</v>
      </c>
      <c r="C4040">
        <v>37.24</v>
      </c>
      <c r="D4040">
        <v>37.090000000000003</v>
      </c>
      <c r="E4040" t="s">
        <v>17</v>
      </c>
      <c r="F4040">
        <v>21.99</v>
      </c>
      <c r="G4040">
        <v>22.27</v>
      </c>
      <c r="H4040" t="s">
        <v>17</v>
      </c>
      <c r="I4040" t="str">
        <f>"063583006121"</f>
        <v>063583006121</v>
      </c>
    </row>
    <row r="4041" spans="1:9" x14ac:dyDescent="0.25">
      <c r="A4041" t="s">
        <v>3593</v>
      </c>
      <c r="B4041" t="s">
        <v>13</v>
      </c>
      <c r="C4041">
        <v>39.770000000000003</v>
      </c>
      <c r="D4041">
        <v>43.57</v>
      </c>
      <c r="E4041" t="s">
        <v>17</v>
      </c>
      <c r="F4041">
        <v>25.3</v>
      </c>
      <c r="G4041">
        <v>22.97</v>
      </c>
      <c r="H4041" t="s">
        <v>17</v>
      </c>
      <c r="I4041" t="str">
        <f>"063255008691"</f>
        <v>063255008691</v>
      </c>
    </row>
    <row r="4042" spans="1:9" x14ac:dyDescent="0.25">
      <c r="A4042" t="s">
        <v>3594</v>
      </c>
      <c r="B4042" t="s">
        <v>13</v>
      </c>
      <c r="C4042">
        <v>29.86</v>
      </c>
      <c r="D4042">
        <v>27.9</v>
      </c>
      <c r="E4042" t="s">
        <v>17</v>
      </c>
      <c r="F4042">
        <v>24.25</v>
      </c>
      <c r="G4042">
        <v>27.49</v>
      </c>
      <c r="H4042" t="s">
        <v>17</v>
      </c>
      <c r="I4042" t="str">
        <f>"063255010757"</f>
        <v>063255010757</v>
      </c>
    </row>
    <row r="4043" spans="1:9" x14ac:dyDescent="0.25">
      <c r="A4043" t="s">
        <v>3595</v>
      </c>
      <c r="B4043" t="s">
        <v>13</v>
      </c>
      <c r="C4043">
        <v>18.34</v>
      </c>
      <c r="D4043">
        <v>18</v>
      </c>
      <c r="E4043" t="s">
        <v>17</v>
      </c>
      <c r="F4043">
        <v>29.06</v>
      </c>
      <c r="G4043">
        <v>30.39</v>
      </c>
      <c r="H4043" t="s">
        <v>17</v>
      </c>
      <c r="I4043" t="str">
        <f>"063697005069"</f>
        <v>063697005069</v>
      </c>
    </row>
    <row r="4044" spans="1:9" x14ac:dyDescent="0.25">
      <c r="A4044" t="s">
        <v>3596</v>
      </c>
      <c r="B4044" t="s">
        <v>13</v>
      </c>
      <c r="C4044">
        <v>10</v>
      </c>
      <c r="D4044">
        <v>8</v>
      </c>
      <c r="E4044" t="s">
        <v>17</v>
      </c>
      <c r="F4044">
        <v>7.2</v>
      </c>
      <c r="G4044">
        <v>9.5</v>
      </c>
      <c r="H4044" t="s">
        <v>17</v>
      </c>
      <c r="I4044" t="str">
        <f>"069100512255"</f>
        <v>069100512255</v>
      </c>
    </row>
    <row r="4045" spans="1:9" x14ac:dyDescent="0.25">
      <c r="A4045" t="s">
        <v>3597</v>
      </c>
      <c r="B4045" t="s">
        <v>13</v>
      </c>
      <c r="C4045">
        <v>1</v>
      </c>
      <c r="D4045">
        <v>1</v>
      </c>
      <c r="E4045" t="s">
        <v>17</v>
      </c>
      <c r="F4045">
        <v>5</v>
      </c>
      <c r="G4045">
        <v>6</v>
      </c>
      <c r="H4045" t="s">
        <v>17</v>
      </c>
      <c r="I4045" t="str">
        <f>"063918010470"</f>
        <v>063918010470</v>
      </c>
    </row>
    <row r="4046" spans="1:9" x14ac:dyDescent="0.25">
      <c r="A4046" t="s">
        <v>3598</v>
      </c>
      <c r="B4046" t="s">
        <v>13</v>
      </c>
      <c r="C4046">
        <v>24</v>
      </c>
      <c r="D4046">
        <v>26</v>
      </c>
      <c r="E4046" t="s">
        <v>17</v>
      </c>
      <c r="F4046">
        <v>25.04</v>
      </c>
      <c r="G4046">
        <v>23.08</v>
      </c>
      <c r="H4046" t="s">
        <v>17</v>
      </c>
      <c r="I4046" t="str">
        <f>"061488001849"</f>
        <v>061488001849</v>
      </c>
    </row>
    <row r="4047" spans="1:9" x14ac:dyDescent="0.25">
      <c r="A4047" t="s">
        <v>3598</v>
      </c>
      <c r="B4047" t="s">
        <v>13</v>
      </c>
      <c r="C4047">
        <v>26</v>
      </c>
      <c r="D4047">
        <v>24</v>
      </c>
      <c r="E4047" t="s">
        <v>17</v>
      </c>
      <c r="F4047">
        <v>23.15</v>
      </c>
      <c r="G4047">
        <v>24.29</v>
      </c>
      <c r="H4047" t="s">
        <v>17</v>
      </c>
      <c r="I4047" t="str">
        <f>"063987007469"</f>
        <v>063987007469</v>
      </c>
    </row>
    <row r="4048" spans="1:9" x14ac:dyDescent="0.25">
      <c r="A4048" t="s">
        <v>3598</v>
      </c>
      <c r="B4048" t="s">
        <v>13</v>
      </c>
      <c r="C4048">
        <v>22.09</v>
      </c>
      <c r="D4048">
        <v>21.45</v>
      </c>
      <c r="E4048" t="s">
        <v>17</v>
      </c>
      <c r="F4048">
        <v>25.26</v>
      </c>
      <c r="G4048">
        <v>25.31</v>
      </c>
      <c r="H4048" t="s">
        <v>17</v>
      </c>
      <c r="I4048" t="str">
        <f>"062223002649"</f>
        <v>062223002649</v>
      </c>
    </row>
    <row r="4049" spans="1:9" x14ac:dyDescent="0.25">
      <c r="A4049" t="s">
        <v>3598</v>
      </c>
      <c r="B4049" t="s">
        <v>13</v>
      </c>
      <c r="C4049">
        <v>39</v>
      </c>
      <c r="D4049">
        <v>38.33</v>
      </c>
      <c r="E4049" t="s">
        <v>17</v>
      </c>
      <c r="F4049">
        <v>22.69</v>
      </c>
      <c r="G4049">
        <v>23.27</v>
      </c>
      <c r="H4049" t="s">
        <v>17</v>
      </c>
      <c r="I4049" t="str">
        <f>"060861010376"</f>
        <v>060861010376</v>
      </c>
    </row>
    <row r="4050" spans="1:9" x14ac:dyDescent="0.25">
      <c r="A4050" t="s">
        <v>3599</v>
      </c>
      <c r="B4050" t="s">
        <v>13</v>
      </c>
      <c r="C4050">
        <v>91.19</v>
      </c>
      <c r="D4050">
        <v>87</v>
      </c>
      <c r="E4050" t="s">
        <v>17</v>
      </c>
      <c r="F4050">
        <v>25.33</v>
      </c>
      <c r="G4050">
        <v>25.29</v>
      </c>
      <c r="H4050" t="s">
        <v>17</v>
      </c>
      <c r="I4050" t="str">
        <f>"062160010755"</f>
        <v>062160010755</v>
      </c>
    </row>
    <row r="4051" spans="1:9" x14ac:dyDescent="0.25">
      <c r="A4051" t="s">
        <v>3599</v>
      </c>
      <c r="B4051" t="s">
        <v>13</v>
      </c>
      <c r="C4051">
        <v>89.68</v>
      </c>
      <c r="D4051">
        <v>96.12</v>
      </c>
      <c r="E4051" t="s">
        <v>17</v>
      </c>
      <c r="F4051">
        <v>29.16</v>
      </c>
      <c r="G4051">
        <v>28.19</v>
      </c>
      <c r="H4051" t="s">
        <v>17</v>
      </c>
      <c r="I4051" t="str">
        <f>"063021011848"</f>
        <v>063021011848</v>
      </c>
    </row>
    <row r="4052" spans="1:9" x14ac:dyDescent="0.25">
      <c r="A4052" t="s">
        <v>3600</v>
      </c>
      <c r="B4052" t="s">
        <v>13</v>
      </c>
      <c r="C4052">
        <v>49.5</v>
      </c>
      <c r="D4052">
        <v>50.08</v>
      </c>
      <c r="E4052" t="s">
        <v>17</v>
      </c>
      <c r="F4052">
        <v>25.82</v>
      </c>
      <c r="G4052">
        <v>25.62</v>
      </c>
      <c r="H4052" t="s">
        <v>17</v>
      </c>
      <c r="I4052" t="str">
        <f>"061296010610"</f>
        <v>061296010610</v>
      </c>
    </row>
    <row r="4053" spans="1:9" x14ac:dyDescent="0.25">
      <c r="A4053" t="s">
        <v>3601</v>
      </c>
      <c r="B4053" t="s">
        <v>13</v>
      </c>
      <c r="C4053">
        <v>28.57</v>
      </c>
      <c r="D4053">
        <v>27.55</v>
      </c>
      <c r="E4053" t="s">
        <v>17</v>
      </c>
      <c r="F4053">
        <v>28.95</v>
      </c>
      <c r="G4053">
        <v>26.68</v>
      </c>
      <c r="H4053" t="s">
        <v>17</v>
      </c>
      <c r="I4053" t="str">
        <f>"061288011228"</f>
        <v>061288011228</v>
      </c>
    </row>
    <row r="4054" spans="1:9" x14ac:dyDescent="0.25">
      <c r="A4054" t="s">
        <v>3602</v>
      </c>
      <c r="B4054" t="s">
        <v>13</v>
      </c>
      <c r="C4054">
        <v>24.65</v>
      </c>
      <c r="D4054">
        <v>25.6</v>
      </c>
      <c r="E4054" t="s">
        <v>17</v>
      </c>
      <c r="F4054">
        <v>23.04</v>
      </c>
      <c r="G4054">
        <v>22.27</v>
      </c>
      <c r="H4054" t="s">
        <v>17</v>
      </c>
      <c r="I4054" t="str">
        <f>"061149009791"</f>
        <v>061149009791</v>
      </c>
    </row>
    <row r="4055" spans="1:9" x14ac:dyDescent="0.25">
      <c r="A4055" t="s">
        <v>3603</v>
      </c>
      <c r="B4055" t="s">
        <v>13</v>
      </c>
      <c r="C4055">
        <v>51.36</v>
      </c>
      <c r="D4055">
        <v>51.37</v>
      </c>
      <c r="E4055" t="s">
        <v>17</v>
      </c>
      <c r="F4055">
        <v>20.46</v>
      </c>
      <c r="G4055">
        <v>20.87</v>
      </c>
      <c r="H4055" t="s">
        <v>17</v>
      </c>
      <c r="I4055" t="str">
        <f>"060133211073"</f>
        <v>060133211073</v>
      </c>
    </row>
    <row r="4056" spans="1:9" x14ac:dyDescent="0.25">
      <c r="A4056" t="s">
        <v>3604</v>
      </c>
      <c r="B4056" t="s">
        <v>13</v>
      </c>
      <c r="C4056">
        <v>1</v>
      </c>
      <c r="D4056">
        <v>1.67</v>
      </c>
      <c r="E4056" t="s">
        <v>14</v>
      </c>
      <c r="F4056">
        <v>34</v>
      </c>
      <c r="G4056">
        <v>36.53</v>
      </c>
      <c r="H4056" t="s">
        <v>14</v>
      </c>
      <c r="I4056" t="str">
        <f>"061380012893"</f>
        <v>061380012893</v>
      </c>
    </row>
    <row r="4057" spans="1:9" x14ac:dyDescent="0.25">
      <c r="A4057" t="s">
        <v>3605</v>
      </c>
      <c r="B4057" t="s">
        <v>13</v>
      </c>
      <c r="C4057">
        <v>21</v>
      </c>
      <c r="D4057" t="s">
        <v>14</v>
      </c>
      <c r="E4057" t="s">
        <v>14</v>
      </c>
      <c r="F4057">
        <v>24.29</v>
      </c>
      <c r="G4057" t="s">
        <v>14</v>
      </c>
      <c r="H4057" t="s">
        <v>14</v>
      </c>
      <c r="I4057" t="str">
        <f>"062454013172"</f>
        <v>062454013172</v>
      </c>
    </row>
    <row r="4058" spans="1:9" x14ac:dyDescent="0.25">
      <c r="A4058" t="s">
        <v>3606</v>
      </c>
      <c r="B4058" t="s">
        <v>13</v>
      </c>
      <c r="C4058">
        <v>7.18</v>
      </c>
      <c r="D4058">
        <v>7.79</v>
      </c>
      <c r="E4058" t="s">
        <v>17</v>
      </c>
      <c r="F4058">
        <v>10.17</v>
      </c>
      <c r="G4058">
        <v>10.01</v>
      </c>
      <c r="H4058" t="s">
        <v>17</v>
      </c>
      <c r="I4058" t="str">
        <f>"060001109065"</f>
        <v>060001109065</v>
      </c>
    </row>
    <row r="4059" spans="1:9" x14ac:dyDescent="0.25">
      <c r="A4059" t="s">
        <v>3607</v>
      </c>
      <c r="B4059" t="s">
        <v>13</v>
      </c>
      <c r="C4059">
        <v>38.47</v>
      </c>
      <c r="D4059">
        <v>39</v>
      </c>
      <c r="E4059" t="s">
        <v>17</v>
      </c>
      <c r="F4059">
        <v>21.63</v>
      </c>
      <c r="G4059">
        <v>22.05</v>
      </c>
      <c r="H4059" t="s">
        <v>17</v>
      </c>
      <c r="I4059" t="str">
        <f>"062781004216"</f>
        <v>062781004216</v>
      </c>
    </row>
    <row r="4060" spans="1:9" x14ac:dyDescent="0.25">
      <c r="A4060" t="s">
        <v>3608</v>
      </c>
      <c r="B4060" t="s">
        <v>13</v>
      </c>
      <c r="C4060">
        <v>28</v>
      </c>
      <c r="D4060">
        <v>28</v>
      </c>
      <c r="E4060" t="s">
        <v>17</v>
      </c>
      <c r="F4060">
        <v>24.93</v>
      </c>
      <c r="G4060">
        <v>24.04</v>
      </c>
      <c r="H4060" t="s">
        <v>17</v>
      </c>
      <c r="I4060" t="str">
        <f>"061233001404"</f>
        <v>061233001404</v>
      </c>
    </row>
    <row r="4061" spans="1:9" x14ac:dyDescent="0.25">
      <c r="A4061" t="s">
        <v>3609</v>
      </c>
      <c r="B4061" t="s">
        <v>13</v>
      </c>
      <c r="C4061">
        <v>19</v>
      </c>
      <c r="D4061">
        <v>20</v>
      </c>
      <c r="E4061" t="s">
        <v>17</v>
      </c>
      <c r="F4061">
        <v>26.05</v>
      </c>
      <c r="G4061">
        <v>24.6</v>
      </c>
      <c r="H4061" t="s">
        <v>17</v>
      </c>
      <c r="I4061" t="str">
        <f>"061473001794"</f>
        <v>061473001794</v>
      </c>
    </row>
    <row r="4062" spans="1:9" x14ac:dyDescent="0.25">
      <c r="A4062" t="s">
        <v>3610</v>
      </c>
      <c r="B4062" t="s">
        <v>13</v>
      </c>
      <c r="C4062">
        <v>18</v>
      </c>
      <c r="D4062">
        <v>19</v>
      </c>
      <c r="E4062" t="s">
        <v>17</v>
      </c>
      <c r="F4062">
        <v>28.44</v>
      </c>
      <c r="G4062">
        <v>28.16</v>
      </c>
      <c r="H4062" t="s">
        <v>17</v>
      </c>
      <c r="I4062" t="str">
        <f>"060216008114"</f>
        <v>060216008114</v>
      </c>
    </row>
    <row r="4063" spans="1:9" x14ac:dyDescent="0.25">
      <c r="A4063" t="s">
        <v>3611</v>
      </c>
      <c r="B4063" t="s">
        <v>13</v>
      </c>
      <c r="C4063">
        <v>39.799999999999997</v>
      </c>
      <c r="D4063">
        <v>37.6</v>
      </c>
      <c r="E4063" t="s">
        <v>17</v>
      </c>
      <c r="F4063">
        <v>23.34</v>
      </c>
      <c r="G4063">
        <v>22.98</v>
      </c>
      <c r="H4063" t="s">
        <v>17</v>
      </c>
      <c r="I4063" t="str">
        <f>"061704002162"</f>
        <v>061704002162</v>
      </c>
    </row>
    <row r="4064" spans="1:9" x14ac:dyDescent="0.25">
      <c r="A4064" t="s">
        <v>3612</v>
      </c>
      <c r="B4064" t="s">
        <v>13</v>
      </c>
      <c r="C4064">
        <v>20.399999999999999</v>
      </c>
      <c r="D4064">
        <v>18.25</v>
      </c>
      <c r="E4064" t="s">
        <v>17</v>
      </c>
      <c r="F4064">
        <v>22.89</v>
      </c>
      <c r="G4064">
        <v>24.77</v>
      </c>
      <c r="H4064" t="s">
        <v>17</v>
      </c>
      <c r="I4064" t="str">
        <f>"061704002103"</f>
        <v>061704002103</v>
      </c>
    </row>
    <row r="4065" spans="1:9" x14ac:dyDescent="0.25">
      <c r="A4065" t="s">
        <v>3613</v>
      </c>
      <c r="B4065" t="s">
        <v>13</v>
      </c>
      <c r="C4065">
        <v>27.03</v>
      </c>
      <c r="D4065">
        <v>24.2</v>
      </c>
      <c r="E4065" t="s">
        <v>17</v>
      </c>
      <c r="F4065">
        <v>17.829999999999998</v>
      </c>
      <c r="G4065">
        <v>18.059999999999999</v>
      </c>
      <c r="H4065" t="s">
        <v>17</v>
      </c>
      <c r="I4065" t="str">
        <f>"060797007668"</f>
        <v>060797007668</v>
      </c>
    </row>
    <row r="4066" spans="1:9" x14ac:dyDescent="0.25">
      <c r="A4066" t="s">
        <v>3614</v>
      </c>
      <c r="B4066" t="s">
        <v>13</v>
      </c>
      <c r="C4066">
        <v>23.5</v>
      </c>
      <c r="D4066">
        <v>26.5</v>
      </c>
      <c r="E4066" t="s">
        <v>17</v>
      </c>
      <c r="F4066">
        <v>30.64</v>
      </c>
      <c r="G4066">
        <v>27.09</v>
      </c>
      <c r="H4066" t="s">
        <v>17</v>
      </c>
      <c r="I4066" t="str">
        <f>"063531012200"</f>
        <v>063531012200</v>
      </c>
    </row>
    <row r="4067" spans="1:9" x14ac:dyDescent="0.25">
      <c r="A4067" t="s">
        <v>3615</v>
      </c>
      <c r="B4067" t="s">
        <v>13</v>
      </c>
      <c r="C4067">
        <v>35</v>
      </c>
      <c r="D4067">
        <v>33.33</v>
      </c>
      <c r="E4067" t="s">
        <v>17</v>
      </c>
      <c r="F4067">
        <v>25.46</v>
      </c>
      <c r="G4067">
        <v>25.11</v>
      </c>
      <c r="H4067" t="s">
        <v>17</v>
      </c>
      <c r="I4067" t="str">
        <f>"060003611734"</f>
        <v>060003611734</v>
      </c>
    </row>
    <row r="4068" spans="1:9" x14ac:dyDescent="0.25">
      <c r="A4068" t="s">
        <v>3616</v>
      </c>
      <c r="B4068" t="s">
        <v>13</v>
      </c>
      <c r="C4068">
        <v>26</v>
      </c>
      <c r="D4068">
        <v>31</v>
      </c>
      <c r="E4068" t="s">
        <v>17</v>
      </c>
      <c r="F4068">
        <v>22.77</v>
      </c>
      <c r="G4068">
        <v>22.65</v>
      </c>
      <c r="H4068" t="s">
        <v>17</v>
      </c>
      <c r="I4068" t="str">
        <f>"062271003080"</f>
        <v>062271003080</v>
      </c>
    </row>
    <row r="4069" spans="1:9" x14ac:dyDescent="0.25">
      <c r="A4069" t="s">
        <v>3617</v>
      </c>
      <c r="B4069" t="s">
        <v>13</v>
      </c>
      <c r="C4069">
        <v>21.5</v>
      </c>
      <c r="D4069">
        <v>20</v>
      </c>
      <c r="E4069" t="s">
        <v>17</v>
      </c>
      <c r="F4069">
        <v>24.42</v>
      </c>
      <c r="G4069">
        <v>25.95</v>
      </c>
      <c r="H4069" t="s">
        <v>17</v>
      </c>
      <c r="I4069" t="str">
        <f>"062271011654"</f>
        <v>062271011654</v>
      </c>
    </row>
    <row r="4070" spans="1:9" x14ac:dyDescent="0.25">
      <c r="A4070" t="s">
        <v>3618</v>
      </c>
      <c r="B4070" t="s">
        <v>13</v>
      </c>
      <c r="C4070">
        <v>3</v>
      </c>
      <c r="D4070">
        <v>3</v>
      </c>
      <c r="E4070" t="s">
        <v>17</v>
      </c>
      <c r="F4070">
        <v>6.67</v>
      </c>
      <c r="G4070">
        <v>9.33</v>
      </c>
      <c r="H4070" t="s">
        <v>17</v>
      </c>
      <c r="I4070" t="str">
        <f>"060001408296"</f>
        <v>060001408296</v>
      </c>
    </row>
    <row r="4071" spans="1:9" x14ac:dyDescent="0.25">
      <c r="A4071" t="s">
        <v>3619</v>
      </c>
      <c r="B4071" t="s">
        <v>13</v>
      </c>
      <c r="C4071">
        <v>69.89</v>
      </c>
      <c r="D4071">
        <v>75.55</v>
      </c>
      <c r="E4071" t="s">
        <v>17</v>
      </c>
      <c r="F4071">
        <v>28.5</v>
      </c>
      <c r="G4071">
        <v>26.05</v>
      </c>
      <c r="H4071" t="s">
        <v>17</v>
      </c>
      <c r="I4071" t="str">
        <f>"060001409072"</f>
        <v>060001409072</v>
      </c>
    </row>
    <row r="4072" spans="1:9" x14ac:dyDescent="0.25">
      <c r="A4072" t="s">
        <v>3620</v>
      </c>
      <c r="B4072" t="s">
        <v>13</v>
      </c>
      <c r="C4072">
        <v>45</v>
      </c>
      <c r="D4072">
        <v>44</v>
      </c>
      <c r="E4072" t="s">
        <v>17</v>
      </c>
      <c r="F4072">
        <v>20.36</v>
      </c>
      <c r="G4072">
        <v>21.39</v>
      </c>
      <c r="H4072" t="s">
        <v>17</v>
      </c>
      <c r="I4072" t="str">
        <f>"060001409077"</f>
        <v>060001409077</v>
      </c>
    </row>
    <row r="4073" spans="1:9" x14ac:dyDescent="0.25">
      <c r="A4073" t="s">
        <v>3621</v>
      </c>
      <c r="B4073" t="s">
        <v>13</v>
      </c>
      <c r="C4073">
        <v>30.98</v>
      </c>
      <c r="D4073">
        <v>30.16</v>
      </c>
      <c r="E4073" t="s">
        <v>17</v>
      </c>
      <c r="F4073">
        <v>22.47</v>
      </c>
      <c r="G4073">
        <v>23.04</v>
      </c>
      <c r="H4073" t="s">
        <v>17</v>
      </c>
      <c r="I4073" t="str">
        <f>"063471005852"</f>
        <v>063471005852</v>
      </c>
    </row>
    <row r="4074" spans="1:9" x14ac:dyDescent="0.25">
      <c r="A4074" t="s">
        <v>3622</v>
      </c>
      <c r="B4074" t="s">
        <v>13</v>
      </c>
      <c r="C4074">
        <v>31.57</v>
      </c>
      <c r="D4074">
        <v>36.22</v>
      </c>
      <c r="E4074" t="s">
        <v>17</v>
      </c>
      <c r="F4074">
        <v>29.52</v>
      </c>
      <c r="G4074">
        <v>28.41</v>
      </c>
      <c r="H4074" t="s">
        <v>17</v>
      </c>
      <c r="I4074" t="str">
        <f>"064015006640"</f>
        <v>064015006640</v>
      </c>
    </row>
    <row r="4075" spans="1:9" x14ac:dyDescent="0.25">
      <c r="A4075" t="s">
        <v>3623</v>
      </c>
      <c r="B4075" t="s">
        <v>13</v>
      </c>
      <c r="C4075">
        <v>26.79</v>
      </c>
      <c r="D4075">
        <v>26.54</v>
      </c>
      <c r="E4075" t="s">
        <v>17</v>
      </c>
      <c r="F4075">
        <v>23.74</v>
      </c>
      <c r="G4075">
        <v>22.46</v>
      </c>
      <c r="H4075" t="s">
        <v>17</v>
      </c>
      <c r="I4075" t="str">
        <f>"061716005507"</f>
        <v>061716005507</v>
      </c>
    </row>
    <row r="4076" spans="1:9" x14ac:dyDescent="0.25">
      <c r="A4076" t="s">
        <v>3624</v>
      </c>
      <c r="B4076" t="s">
        <v>13</v>
      </c>
      <c r="C4076">
        <v>14.83</v>
      </c>
      <c r="D4076">
        <v>15.2</v>
      </c>
      <c r="E4076" t="s">
        <v>17</v>
      </c>
      <c r="F4076">
        <v>20.63</v>
      </c>
      <c r="G4076">
        <v>20.13</v>
      </c>
      <c r="H4076" t="s">
        <v>17</v>
      </c>
      <c r="I4076" t="str">
        <f>"061716002171"</f>
        <v>061716002171</v>
      </c>
    </row>
    <row r="4077" spans="1:9" x14ac:dyDescent="0.25">
      <c r="A4077" t="s">
        <v>3624</v>
      </c>
      <c r="B4077" t="s">
        <v>13</v>
      </c>
      <c r="C4077">
        <v>29</v>
      </c>
      <c r="D4077">
        <v>28</v>
      </c>
      <c r="E4077" t="s">
        <v>17</v>
      </c>
      <c r="F4077">
        <v>21.97</v>
      </c>
      <c r="G4077">
        <v>23.32</v>
      </c>
      <c r="H4077" t="s">
        <v>17</v>
      </c>
      <c r="I4077" t="str">
        <f>"063432005480"</f>
        <v>063432005480</v>
      </c>
    </row>
    <row r="4078" spans="1:9" x14ac:dyDescent="0.25">
      <c r="A4078" t="s">
        <v>3625</v>
      </c>
      <c r="B4078" t="s">
        <v>13</v>
      </c>
      <c r="C4078">
        <v>6.57</v>
      </c>
      <c r="D4078">
        <v>6.36</v>
      </c>
      <c r="E4078" t="s">
        <v>17</v>
      </c>
      <c r="F4078">
        <v>28.01</v>
      </c>
      <c r="G4078">
        <v>30.35</v>
      </c>
      <c r="H4078" t="s">
        <v>17</v>
      </c>
      <c r="I4078" t="str">
        <f>"061716008411"</f>
        <v>061716008411</v>
      </c>
    </row>
    <row r="4079" spans="1:9" x14ac:dyDescent="0.25">
      <c r="A4079" t="s">
        <v>3626</v>
      </c>
      <c r="B4079" t="s">
        <v>13</v>
      </c>
      <c r="C4079">
        <v>32.17</v>
      </c>
      <c r="D4079">
        <v>32.28</v>
      </c>
      <c r="E4079" t="s">
        <v>17</v>
      </c>
      <c r="F4079">
        <v>27.35</v>
      </c>
      <c r="G4079">
        <v>27.01</v>
      </c>
      <c r="H4079" t="s">
        <v>17</v>
      </c>
      <c r="I4079" t="str">
        <f>"063942006559"</f>
        <v>063942006559</v>
      </c>
    </row>
    <row r="4080" spans="1:9" x14ac:dyDescent="0.25">
      <c r="A4080" t="s">
        <v>3627</v>
      </c>
      <c r="B4080" t="s">
        <v>13</v>
      </c>
      <c r="C4080">
        <v>31</v>
      </c>
      <c r="D4080">
        <v>32</v>
      </c>
      <c r="E4080" t="s">
        <v>17</v>
      </c>
      <c r="F4080">
        <v>31</v>
      </c>
      <c r="G4080">
        <v>29.34</v>
      </c>
      <c r="H4080" t="s">
        <v>17</v>
      </c>
      <c r="I4080" t="str">
        <f>"064015010995"</f>
        <v>064015010995</v>
      </c>
    </row>
    <row r="4081" spans="1:9" x14ac:dyDescent="0.25">
      <c r="A4081" t="s">
        <v>3628</v>
      </c>
      <c r="B4081" t="s">
        <v>13</v>
      </c>
      <c r="C4081">
        <v>16.43</v>
      </c>
      <c r="D4081">
        <v>16.8</v>
      </c>
      <c r="E4081" t="s">
        <v>17</v>
      </c>
      <c r="F4081">
        <v>28.42</v>
      </c>
      <c r="G4081">
        <v>29.52</v>
      </c>
      <c r="H4081" t="s">
        <v>17</v>
      </c>
      <c r="I4081" t="str">
        <f>"060744003367"</f>
        <v>060744003367</v>
      </c>
    </row>
    <row r="4082" spans="1:9" x14ac:dyDescent="0.25">
      <c r="A4082" t="s">
        <v>3628</v>
      </c>
      <c r="B4082" t="s">
        <v>13</v>
      </c>
      <c r="C4082">
        <v>44.42</v>
      </c>
      <c r="D4082">
        <v>44.71</v>
      </c>
      <c r="E4082" t="s">
        <v>17</v>
      </c>
      <c r="F4082">
        <v>24.7</v>
      </c>
      <c r="G4082">
        <v>24.13</v>
      </c>
      <c r="H4082" t="s">
        <v>17</v>
      </c>
      <c r="I4082" t="str">
        <f>"063513010758"</f>
        <v>063513010758</v>
      </c>
    </row>
    <row r="4083" spans="1:9" x14ac:dyDescent="0.25">
      <c r="A4083" t="s">
        <v>3629</v>
      </c>
      <c r="B4083" t="s">
        <v>13</v>
      </c>
      <c r="C4083">
        <v>21.01</v>
      </c>
      <c r="D4083">
        <v>21</v>
      </c>
      <c r="E4083" t="s">
        <v>17</v>
      </c>
      <c r="F4083">
        <v>26.51</v>
      </c>
      <c r="G4083">
        <v>26.52</v>
      </c>
      <c r="H4083" t="s">
        <v>17</v>
      </c>
      <c r="I4083" t="str">
        <f>"062580009588"</f>
        <v>062580009588</v>
      </c>
    </row>
    <row r="4084" spans="1:9" x14ac:dyDescent="0.25">
      <c r="A4084" t="s">
        <v>3630</v>
      </c>
      <c r="B4084" t="s">
        <v>13</v>
      </c>
      <c r="C4084">
        <v>18.5</v>
      </c>
      <c r="D4084">
        <v>18.079999999999998</v>
      </c>
      <c r="E4084" t="s">
        <v>17</v>
      </c>
      <c r="F4084">
        <v>25.68</v>
      </c>
      <c r="G4084">
        <v>25.94</v>
      </c>
      <c r="H4084" t="s">
        <v>17</v>
      </c>
      <c r="I4084" t="str">
        <f>"060846005036"</f>
        <v>060846005036</v>
      </c>
    </row>
    <row r="4085" spans="1:9" x14ac:dyDescent="0.25">
      <c r="A4085" t="s">
        <v>3631</v>
      </c>
      <c r="B4085" t="s">
        <v>13</v>
      </c>
      <c r="C4085">
        <v>29.75</v>
      </c>
      <c r="D4085">
        <v>28</v>
      </c>
      <c r="E4085" t="s">
        <v>17</v>
      </c>
      <c r="F4085">
        <v>25.45</v>
      </c>
      <c r="G4085">
        <v>26.39</v>
      </c>
      <c r="H4085" t="s">
        <v>17</v>
      </c>
      <c r="I4085" t="str">
        <f>"062637003950"</f>
        <v>062637003950</v>
      </c>
    </row>
    <row r="4086" spans="1:9" x14ac:dyDescent="0.25">
      <c r="A4086" t="s">
        <v>3631</v>
      </c>
      <c r="B4086" t="s">
        <v>13</v>
      </c>
      <c r="C4086">
        <v>19.3</v>
      </c>
      <c r="D4086">
        <v>19.3</v>
      </c>
      <c r="E4086" t="s">
        <v>14</v>
      </c>
      <c r="F4086">
        <v>21.4</v>
      </c>
      <c r="G4086">
        <v>22.49</v>
      </c>
      <c r="H4086" t="s">
        <v>14</v>
      </c>
      <c r="I4086" t="str">
        <f>"060000612911"</f>
        <v>060000612911</v>
      </c>
    </row>
    <row r="4087" spans="1:9" x14ac:dyDescent="0.25">
      <c r="A4087" t="s">
        <v>3632</v>
      </c>
      <c r="B4087" t="s">
        <v>13</v>
      </c>
      <c r="C4087">
        <v>35.130000000000003</v>
      </c>
      <c r="D4087">
        <v>35.21</v>
      </c>
      <c r="E4087" t="s">
        <v>17</v>
      </c>
      <c r="F4087">
        <v>19.78</v>
      </c>
      <c r="G4087">
        <v>19.989999999999998</v>
      </c>
      <c r="H4087" t="s">
        <v>17</v>
      </c>
      <c r="I4087" t="str">
        <f>"063581006122"</f>
        <v>063581006122</v>
      </c>
    </row>
    <row r="4088" spans="1:9" x14ac:dyDescent="0.25">
      <c r="A4088" t="s">
        <v>3633</v>
      </c>
      <c r="B4088" t="s">
        <v>13</v>
      </c>
      <c r="C4088">
        <v>56.88</v>
      </c>
      <c r="D4088">
        <v>55.17</v>
      </c>
      <c r="E4088" t="s">
        <v>17</v>
      </c>
      <c r="F4088">
        <v>21.78</v>
      </c>
      <c r="G4088">
        <v>22.6</v>
      </c>
      <c r="H4088" t="s">
        <v>17</v>
      </c>
      <c r="I4088" t="str">
        <f>"061288001457"</f>
        <v>061288001457</v>
      </c>
    </row>
    <row r="4089" spans="1:9" x14ac:dyDescent="0.25">
      <c r="A4089" t="s">
        <v>3634</v>
      </c>
      <c r="B4089" t="s">
        <v>13</v>
      </c>
      <c r="C4089">
        <v>12.5</v>
      </c>
      <c r="D4089">
        <v>16.5</v>
      </c>
      <c r="E4089" t="s">
        <v>17</v>
      </c>
      <c r="F4089">
        <v>26.56</v>
      </c>
      <c r="G4089">
        <v>24.18</v>
      </c>
      <c r="H4089" t="s">
        <v>17</v>
      </c>
      <c r="I4089" t="str">
        <f>"060000109444"</f>
        <v>060000109444</v>
      </c>
    </row>
    <row r="4090" spans="1:9" x14ac:dyDescent="0.25">
      <c r="A4090" t="s">
        <v>3635</v>
      </c>
      <c r="B4090" t="s">
        <v>13</v>
      </c>
      <c r="C4090" t="s">
        <v>14</v>
      </c>
      <c r="D4090">
        <v>2.1</v>
      </c>
      <c r="E4090" t="s">
        <v>17</v>
      </c>
      <c r="F4090" t="s">
        <v>17</v>
      </c>
      <c r="G4090">
        <v>4.76</v>
      </c>
      <c r="H4090" t="s">
        <v>17</v>
      </c>
      <c r="I4090" t="str">
        <f>"061187006047"</f>
        <v>061187006047</v>
      </c>
    </row>
    <row r="4091" spans="1:9" x14ac:dyDescent="0.25">
      <c r="A4091" t="s">
        <v>3636</v>
      </c>
      <c r="B4091" t="s">
        <v>13</v>
      </c>
      <c r="C4091" t="s">
        <v>14</v>
      </c>
      <c r="D4091" t="s">
        <v>14</v>
      </c>
      <c r="E4091" t="s">
        <v>17</v>
      </c>
      <c r="F4091" t="s">
        <v>14</v>
      </c>
      <c r="G4091" t="s">
        <v>14</v>
      </c>
      <c r="H4091" t="s">
        <v>17</v>
      </c>
      <c r="I4091" t="str">
        <f>"063697211112"</f>
        <v>063697211112</v>
      </c>
    </row>
    <row r="4092" spans="1:9" x14ac:dyDescent="0.25">
      <c r="A4092" t="s">
        <v>3637</v>
      </c>
      <c r="B4092" t="s">
        <v>13</v>
      </c>
      <c r="C4092" t="str">
        <f>"0.75"</f>
        <v>0.75</v>
      </c>
      <c r="D4092" t="str">
        <f>"0.50"</f>
        <v>0.50</v>
      </c>
      <c r="E4092" t="s">
        <v>17</v>
      </c>
      <c r="F4092">
        <v>5.33</v>
      </c>
      <c r="G4092">
        <v>4</v>
      </c>
      <c r="H4092" t="s">
        <v>17</v>
      </c>
      <c r="I4092" t="str">
        <f>"062519008526"</f>
        <v>062519008526</v>
      </c>
    </row>
    <row r="4093" spans="1:9" x14ac:dyDescent="0.25">
      <c r="A4093" t="s">
        <v>3638</v>
      </c>
      <c r="B4093" t="s">
        <v>13</v>
      </c>
      <c r="C4093">
        <v>6</v>
      </c>
      <c r="D4093">
        <v>7</v>
      </c>
      <c r="E4093" t="s">
        <v>17</v>
      </c>
      <c r="F4093">
        <v>15</v>
      </c>
      <c r="G4093">
        <v>8.57</v>
      </c>
      <c r="H4093" t="s">
        <v>17</v>
      </c>
      <c r="I4093" t="str">
        <f>"069102912618"</f>
        <v>069102912618</v>
      </c>
    </row>
    <row r="4094" spans="1:9" x14ac:dyDescent="0.25">
      <c r="A4094" t="s">
        <v>3639</v>
      </c>
      <c r="B4094" t="s">
        <v>13</v>
      </c>
      <c r="C4094">
        <v>16.71</v>
      </c>
      <c r="D4094">
        <v>15.66</v>
      </c>
      <c r="E4094" t="s">
        <v>17</v>
      </c>
      <c r="F4094">
        <v>30.22</v>
      </c>
      <c r="G4094">
        <v>34.74</v>
      </c>
      <c r="H4094" t="s">
        <v>17</v>
      </c>
      <c r="I4094" t="str">
        <f>"060001708588"</f>
        <v>060001708588</v>
      </c>
    </row>
    <row r="4095" spans="1:9" x14ac:dyDescent="0.25">
      <c r="A4095" t="s">
        <v>3640</v>
      </c>
      <c r="B4095" t="s">
        <v>13</v>
      </c>
      <c r="C4095">
        <v>18</v>
      </c>
      <c r="D4095">
        <v>18</v>
      </c>
      <c r="E4095" t="s">
        <v>14</v>
      </c>
      <c r="F4095">
        <v>23.56</v>
      </c>
      <c r="G4095">
        <v>21.94</v>
      </c>
      <c r="H4095" t="s">
        <v>14</v>
      </c>
      <c r="I4095" t="str">
        <f>"060132212726"</f>
        <v>060132212726</v>
      </c>
    </row>
    <row r="4096" spans="1:9" x14ac:dyDescent="0.25">
      <c r="A4096" t="s">
        <v>3641</v>
      </c>
      <c r="B4096" t="s">
        <v>13</v>
      </c>
      <c r="C4096" t="s">
        <v>17</v>
      </c>
      <c r="D4096" t="s">
        <v>14</v>
      </c>
      <c r="E4096" t="s">
        <v>14</v>
      </c>
      <c r="F4096" t="s">
        <v>17</v>
      </c>
      <c r="G4096" t="s">
        <v>14</v>
      </c>
      <c r="H4096" t="s">
        <v>14</v>
      </c>
      <c r="I4096" t="str">
        <f>"060132213517"</f>
        <v>060132213517</v>
      </c>
    </row>
    <row r="4097" spans="1:9" x14ac:dyDescent="0.25">
      <c r="A4097" t="s">
        <v>3642</v>
      </c>
      <c r="B4097" t="s">
        <v>13</v>
      </c>
      <c r="C4097">
        <v>26.9</v>
      </c>
      <c r="D4097">
        <v>29.5</v>
      </c>
      <c r="E4097" t="s">
        <v>17</v>
      </c>
      <c r="F4097">
        <v>21.49</v>
      </c>
      <c r="G4097">
        <v>19.36</v>
      </c>
      <c r="H4097" t="s">
        <v>17</v>
      </c>
      <c r="I4097" t="str">
        <f>"063432008599"</f>
        <v>063432008599</v>
      </c>
    </row>
    <row r="4098" spans="1:9" x14ac:dyDescent="0.25">
      <c r="A4098" t="s">
        <v>3643</v>
      </c>
      <c r="B4098" t="s">
        <v>13</v>
      </c>
      <c r="C4098">
        <v>30</v>
      </c>
      <c r="D4098">
        <v>29</v>
      </c>
      <c r="E4098" t="s">
        <v>17</v>
      </c>
      <c r="F4098">
        <v>20.87</v>
      </c>
      <c r="G4098">
        <v>20.97</v>
      </c>
      <c r="H4098" t="s">
        <v>17</v>
      </c>
      <c r="I4098" t="str">
        <f>"060132212083"</f>
        <v>060132212083</v>
      </c>
    </row>
    <row r="4099" spans="1:9" x14ac:dyDescent="0.25">
      <c r="A4099" t="s">
        <v>3644</v>
      </c>
      <c r="B4099" t="s">
        <v>13</v>
      </c>
      <c r="C4099">
        <v>18.64</v>
      </c>
      <c r="D4099">
        <v>20</v>
      </c>
      <c r="E4099" t="s">
        <v>17</v>
      </c>
      <c r="F4099">
        <v>21.89</v>
      </c>
      <c r="G4099">
        <v>20</v>
      </c>
      <c r="H4099" t="s">
        <v>17</v>
      </c>
      <c r="I4099" t="str">
        <f>"063432011138"</f>
        <v>063432011138</v>
      </c>
    </row>
    <row r="4100" spans="1:9" x14ac:dyDescent="0.25">
      <c r="A4100" t="s">
        <v>3645</v>
      </c>
      <c r="B4100" t="s">
        <v>13</v>
      </c>
      <c r="C4100">
        <v>17.940000000000001</v>
      </c>
      <c r="D4100">
        <v>20.5</v>
      </c>
      <c r="E4100" t="s">
        <v>17</v>
      </c>
      <c r="F4100">
        <v>23.02</v>
      </c>
      <c r="G4100">
        <v>20.05</v>
      </c>
      <c r="H4100" t="s">
        <v>17</v>
      </c>
      <c r="I4100" t="str">
        <f>"063432011386"</f>
        <v>063432011386</v>
      </c>
    </row>
    <row r="4101" spans="1:9" x14ac:dyDescent="0.25">
      <c r="A4101" t="s">
        <v>3646</v>
      </c>
      <c r="B4101" t="s">
        <v>13</v>
      </c>
      <c r="C4101">
        <v>28</v>
      </c>
      <c r="D4101">
        <v>26</v>
      </c>
      <c r="E4101" t="s">
        <v>17</v>
      </c>
      <c r="F4101">
        <v>19.32</v>
      </c>
      <c r="G4101">
        <v>20.73</v>
      </c>
      <c r="H4101" t="s">
        <v>17</v>
      </c>
      <c r="I4101" t="str">
        <f>"060132212064"</f>
        <v>060132212064</v>
      </c>
    </row>
    <row r="4102" spans="1:9" x14ac:dyDescent="0.25">
      <c r="A4102" t="s">
        <v>3647</v>
      </c>
      <c r="B4102" t="s">
        <v>13</v>
      </c>
      <c r="C4102">
        <v>16.25</v>
      </c>
      <c r="D4102">
        <v>16.25</v>
      </c>
      <c r="E4102" t="s">
        <v>17</v>
      </c>
      <c r="F4102">
        <v>21.78</v>
      </c>
      <c r="G4102">
        <v>22.52</v>
      </c>
      <c r="H4102" t="s">
        <v>17</v>
      </c>
      <c r="I4102" t="str">
        <f>"062271010829"</f>
        <v>062271010829</v>
      </c>
    </row>
    <row r="4103" spans="1:9" x14ac:dyDescent="0.25">
      <c r="A4103" t="s">
        <v>3648</v>
      </c>
      <c r="B4103" t="s">
        <v>13</v>
      </c>
      <c r="C4103">
        <v>15</v>
      </c>
      <c r="D4103">
        <v>15</v>
      </c>
      <c r="E4103" t="s">
        <v>17</v>
      </c>
      <c r="F4103">
        <v>22.4</v>
      </c>
      <c r="G4103">
        <v>22.33</v>
      </c>
      <c r="H4103" t="s">
        <v>17</v>
      </c>
      <c r="I4103" t="str">
        <f>"063432011262"</f>
        <v>063432011262</v>
      </c>
    </row>
    <row r="4104" spans="1:9" x14ac:dyDescent="0.25">
      <c r="A4104" t="s">
        <v>3649</v>
      </c>
      <c r="B4104" t="s">
        <v>13</v>
      </c>
      <c r="C4104">
        <v>15</v>
      </c>
      <c r="D4104">
        <v>13.5</v>
      </c>
      <c r="E4104" t="s">
        <v>14</v>
      </c>
      <c r="F4104">
        <v>22.4</v>
      </c>
      <c r="G4104">
        <v>24.89</v>
      </c>
      <c r="H4104" t="s">
        <v>14</v>
      </c>
      <c r="I4104" t="str">
        <f>"060132212642"</f>
        <v>060132212642</v>
      </c>
    </row>
    <row r="4105" spans="1:9" x14ac:dyDescent="0.25">
      <c r="A4105" t="s">
        <v>3650</v>
      </c>
      <c r="B4105" t="s">
        <v>13</v>
      </c>
      <c r="C4105">
        <v>13.33</v>
      </c>
      <c r="D4105">
        <v>15</v>
      </c>
      <c r="E4105" t="s">
        <v>17</v>
      </c>
      <c r="F4105">
        <v>25.06</v>
      </c>
      <c r="G4105">
        <v>22.4</v>
      </c>
      <c r="H4105" t="s">
        <v>17</v>
      </c>
      <c r="I4105" t="str">
        <f>"063432011155"</f>
        <v>063432011155</v>
      </c>
    </row>
    <row r="4106" spans="1:9" x14ac:dyDescent="0.25">
      <c r="A4106" t="s">
        <v>3651</v>
      </c>
      <c r="B4106" t="s">
        <v>13</v>
      </c>
      <c r="C4106">
        <v>15.6</v>
      </c>
      <c r="D4106">
        <v>15</v>
      </c>
      <c r="E4106" t="s">
        <v>17</v>
      </c>
      <c r="F4106">
        <v>22.31</v>
      </c>
      <c r="G4106">
        <v>22.47</v>
      </c>
      <c r="H4106" t="s">
        <v>17</v>
      </c>
      <c r="I4106" t="str">
        <f>"060132212388"</f>
        <v>060132212388</v>
      </c>
    </row>
    <row r="4107" spans="1:9" x14ac:dyDescent="0.25">
      <c r="A4107" t="s">
        <v>3652</v>
      </c>
      <c r="B4107" t="s">
        <v>13</v>
      </c>
      <c r="C4107">
        <v>10.5</v>
      </c>
      <c r="D4107">
        <v>11</v>
      </c>
      <c r="E4107" t="s">
        <v>17</v>
      </c>
      <c r="F4107">
        <v>18.86</v>
      </c>
      <c r="G4107">
        <v>19.82</v>
      </c>
      <c r="H4107" t="s">
        <v>17</v>
      </c>
      <c r="I4107" t="str">
        <f>"060133211916"</f>
        <v>060133211916</v>
      </c>
    </row>
    <row r="4108" spans="1:9" x14ac:dyDescent="0.25">
      <c r="A4108" t="s">
        <v>3653</v>
      </c>
      <c r="B4108" t="s">
        <v>13</v>
      </c>
      <c r="C4108">
        <v>21.2</v>
      </c>
      <c r="D4108">
        <v>23.16</v>
      </c>
      <c r="E4108" t="s">
        <v>17</v>
      </c>
      <c r="F4108">
        <v>28.44</v>
      </c>
      <c r="G4108">
        <v>25.69</v>
      </c>
      <c r="H4108" t="s">
        <v>17</v>
      </c>
      <c r="I4108" t="str">
        <f>"063315005142"</f>
        <v>063315005142</v>
      </c>
    </row>
    <row r="4109" spans="1:9" x14ac:dyDescent="0.25">
      <c r="A4109" t="s">
        <v>3654</v>
      </c>
      <c r="B4109" t="s">
        <v>13</v>
      </c>
      <c r="C4109" t="s">
        <v>17</v>
      </c>
      <c r="D4109" t="s">
        <v>14</v>
      </c>
      <c r="E4109" t="s">
        <v>14</v>
      </c>
      <c r="F4109" t="s">
        <v>17</v>
      </c>
      <c r="G4109" t="s">
        <v>14</v>
      </c>
      <c r="H4109" t="s">
        <v>14</v>
      </c>
      <c r="I4109" t="str">
        <f>"060429013150"</f>
        <v>060429013150</v>
      </c>
    </row>
    <row r="4110" spans="1:9" x14ac:dyDescent="0.25">
      <c r="A4110" t="s">
        <v>3655</v>
      </c>
      <c r="B4110" t="s">
        <v>13</v>
      </c>
      <c r="C4110">
        <v>28.4</v>
      </c>
      <c r="D4110">
        <v>31.2</v>
      </c>
      <c r="E4110" t="s">
        <v>17</v>
      </c>
      <c r="F4110">
        <v>25.46</v>
      </c>
      <c r="G4110">
        <v>25.42</v>
      </c>
      <c r="H4110" t="s">
        <v>17</v>
      </c>
      <c r="I4110" t="str">
        <f>"063315005143"</f>
        <v>063315005143</v>
      </c>
    </row>
    <row r="4111" spans="1:9" x14ac:dyDescent="0.25">
      <c r="A4111" t="s">
        <v>3655</v>
      </c>
      <c r="B4111" t="s">
        <v>13</v>
      </c>
      <c r="C4111">
        <v>29</v>
      </c>
      <c r="D4111">
        <v>29</v>
      </c>
      <c r="E4111" t="s">
        <v>17</v>
      </c>
      <c r="F4111">
        <v>23.45</v>
      </c>
      <c r="G4111">
        <v>23.86</v>
      </c>
      <c r="H4111" t="s">
        <v>17</v>
      </c>
      <c r="I4111" t="str">
        <f>"060985001054"</f>
        <v>060985001054</v>
      </c>
    </row>
    <row r="4112" spans="1:9" x14ac:dyDescent="0.25">
      <c r="A4112" t="s">
        <v>3655</v>
      </c>
      <c r="B4112" t="s">
        <v>13</v>
      </c>
      <c r="C4112">
        <v>23</v>
      </c>
      <c r="D4112">
        <v>22.5</v>
      </c>
      <c r="E4112" t="s">
        <v>17</v>
      </c>
      <c r="F4112">
        <v>19.39</v>
      </c>
      <c r="G4112">
        <v>20.84</v>
      </c>
      <c r="H4112" t="s">
        <v>17</v>
      </c>
      <c r="I4112" t="str">
        <f>"062553003828"</f>
        <v>062553003828</v>
      </c>
    </row>
    <row r="4113" spans="1:9" x14ac:dyDescent="0.25">
      <c r="A4113" t="s">
        <v>3655</v>
      </c>
      <c r="B4113" t="s">
        <v>13</v>
      </c>
      <c r="C4113">
        <v>19</v>
      </c>
      <c r="D4113">
        <v>17</v>
      </c>
      <c r="E4113" t="s">
        <v>17</v>
      </c>
      <c r="F4113">
        <v>27.37</v>
      </c>
      <c r="G4113">
        <v>27.76</v>
      </c>
      <c r="H4113" t="s">
        <v>17</v>
      </c>
      <c r="I4113" t="str">
        <f>"064116006795"</f>
        <v>064116006795</v>
      </c>
    </row>
    <row r="4114" spans="1:9" x14ac:dyDescent="0.25">
      <c r="A4114" t="s">
        <v>3655</v>
      </c>
      <c r="B4114" t="s">
        <v>13</v>
      </c>
      <c r="C4114">
        <v>25.01</v>
      </c>
      <c r="D4114">
        <v>27.02</v>
      </c>
      <c r="E4114" t="s">
        <v>17</v>
      </c>
      <c r="F4114">
        <v>26.95</v>
      </c>
      <c r="G4114">
        <v>23.98</v>
      </c>
      <c r="H4114" t="s">
        <v>17</v>
      </c>
      <c r="I4114" t="str">
        <f>"064074006728"</f>
        <v>064074006728</v>
      </c>
    </row>
    <row r="4115" spans="1:9" x14ac:dyDescent="0.25">
      <c r="A4115" t="s">
        <v>3655</v>
      </c>
      <c r="B4115" t="s">
        <v>13</v>
      </c>
      <c r="C4115">
        <v>19</v>
      </c>
      <c r="D4115">
        <v>21</v>
      </c>
      <c r="E4115" t="s">
        <v>17</v>
      </c>
      <c r="F4115">
        <v>27.21</v>
      </c>
      <c r="G4115">
        <v>22.67</v>
      </c>
      <c r="H4115" t="s">
        <v>17</v>
      </c>
      <c r="I4115" t="str">
        <f>"063255010022"</f>
        <v>063255010022</v>
      </c>
    </row>
    <row r="4116" spans="1:9" x14ac:dyDescent="0.25">
      <c r="A4116" t="s">
        <v>3655</v>
      </c>
      <c r="B4116" t="s">
        <v>13</v>
      </c>
      <c r="C4116">
        <v>22.25</v>
      </c>
      <c r="D4116">
        <v>28</v>
      </c>
      <c r="E4116" t="s">
        <v>17</v>
      </c>
      <c r="F4116">
        <v>29.71</v>
      </c>
      <c r="G4116">
        <v>24.75</v>
      </c>
      <c r="H4116" t="s">
        <v>17</v>
      </c>
      <c r="I4116" t="str">
        <f>"061839002251"</f>
        <v>061839002251</v>
      </c>
    </row>
    <row r="4117" spans="1:9" x14ac:dyDescent="0.25">
      <c r="A4117" t="s">
        <v>3655</v>
      </c>
      <c r="B4117" t="s">
        <v>13</v>
      </c>
      <c r="C4117">
        <v>36</v>
      </c>
      <c r="D4117">
        <v>34</v>
      </c>
      <c r="E4117" t="s">
        <v>17</v>
      </c>
      <c r="F4117">
        <v>22.64</v>
      </c>
      <c r="G4117">
        <v>24.56</v>
      </c>
      <c r="H4117" t="s">
        <v>17</v>
      </c>
      <c r="I4117" t="str">
        <f>"063789006389"</f>
        <v>063789006389</v>
      </c>
    </row>
    <row r="4118" spans="1:9" x14ac:dyDescent="0.25">
      <c r="A4118" t="s">
        <v>3656</v>
      </c>
      <c r="B4118" t="s">
        <v>13</v>
      </c>
      <c r="C4118">
        <v>21.83</v>
      </c>
      <c r="D4118">
        <v>24.28</v>
      </c>
      <c r="E4118" t="s">
        <v>17</v>
      </c>
      <c r="F4118">
        <v>25.06</v>
      </c>
      <c r="G4118">
        <v>22.2</v>
      </c>
      <c r="H4118" t="s">
        <v>17</v>
      </c>
      <c r="I4118" t="str">
        <f>"063207011102"</f>
        <v>063207011102</v>
      </c>
    </row>
    <row r="4119" spans="1:9" x14ac:dyDescent="0.25">
      <c r="A4119" t="s">
        <v>3657</v>
      </c>
      <c r="B4119" t="s">
        <v>13</v>
      </c>
      <c r="C4119">
        <v>81.56</v>
      </c>
      <c r="D4119">
        <v>81.3</v>
      </c>
      <c r="E4119" t="s">
        <v>17</v>
      </c>
      <c r="F4119">
        <v>22.95</v>
      </c>
      <c r="G4119">
        <v>23.8</v>
      </c>
      <c r="H4119" t="s">
        <v>17</v>
      </c>
      <c r="I4119" t="str">
        <f>"061954002345"</f>
        <v>061954002345</v>
      </c>
    </row>
    <row r="4120" spans="1:9" x14ac:dyDescent="0.25">
      <c r="A4120" t="s">
        <v>3657</v>
      </c>
      <c r="B4120" t="s">
        <v>13</v>
      </c>
      <c r="C4120">
        <v>130.5</v>
      </c>
      <c r="D4120">
        <v>131.4</v>
      </c>
      <c r="E4120" t="s">
        <v>17</v>
      </c>
      <c r="F4120">
        <v>24.12</v>
      </c>
      <c r="G4120">
        <v>24.63</v>
      </c>
      <c r="H4120" t="s">
        <v>17</v>
      </c>
      <c r="I4120" t="str">
        <f>"060282009515"</f>
        <v>060282009515</v>
      </c>
    </row>
    <row r="4121" spans="1:9" x14ac:dyDescent="0.25">
      <c r="A4121" t="s">
        <v>3658</v>
      </c>
      <c r="B4121" t="s">
        <v>13</v>
      </c>
      <c r="C4121">
        <v>27</v>
      </c>
      <c r="D4121">
        <v>26</v>
      </c>
      <c r="E4121" t="s">
        <v>17</v>
      </c>
      <c r="F4121">
        <v>25.85</v>
      </c>
      <c r="G4121">
        <v>24.19</v>
      </c>
      <c r="H4121" t="s">
        <v>17</v>
      </c>
      <c r="I4121" t="str">
        <f>"060297000230"</f>
        <v>060297000230</v>
      </c>
    </row>
    <row r="4122" spans="1:9" x14ac:dyDescent="0.25">
      <c r="A4122" t="s">
        <v>3659</v>
      </c>
      <c r="B4122" t="s">
        <v>13</v>
      </c>
      <c r="C4122">
        <v>14</v>
      </c>
      <c r="D4122">
        <v>15</v>
      </c>
      <c r="E4122" t="s">
        <v>17</v>
      </c>
      <c r="F4122">
        <v>27.93</v>
      </c>
      <c r="G4122">
        <v>26.93</v>
      </c>
      <c r="H4122" t="s">
        <v>17</v>
      </c>
      <c r="I4122" t="str">
        <f>"063417008959"</f>
        <v>063417008959</v>
      </c>
    </row>
    <row r="4123" spans="1:9" x14ac:dyDescent="0.25">
      <c r="A4123" t="s">
        <v>3660</v>
      </c>
      <c r="B4123" t="s">
        <v>13</v>
      </c>
      <c r="C4123">
        <v>4.5</v>
      </c>
      <c r="D4123">
        <v>5.01</v>
      </c>
      <c r="E4123" t="s">
        <v>17</v>
      </c>
      <c r="F4123">
        <v>18</v>
      </c>
      <c r="G4123">
        <v>16.97</v>
      </c>
      <c r="H4123" t="s">
        <v>17</v>
      </c>
      <c r="I4123" t="str">
        <f>"062271003082"</f>
        <v>062271003082</v>
      </c>
    </row>
    <row r="4124" spans="1:9" x14ac:dyDescent="0.25">
      <c r="A4124" t="s">
        <v>3661</v>
      </c>
      <c r="B4124" t="s">
        <v>13</v>
      </c>
      <c r="C4124">
        <v>28.1</v>
      </c>
      <c r="D4124">
        <v>28.5</v>
      </c>
      <c r="E4124" t="s">
        <v>17</v>
      </c>
      <c r="F4124">
        <v>27.12</v>
      </c>
      <c r="G4124">
        <v>27.02</v>
      </c>
      <c r="H4124" t="s">
        <v>17</v>
      </c>
      <c r="I4124" t="str">
        <f>"063153001204"</f>
        <v>063153001204</v>
      </c>
    </row>
    <row r="4125" spans="1:9" x14ac:dyDescent="0.25">
      <c r="A4125" t="s">
        <v>3662</v>
      </c>
      <c r="B4125" t="s">
        <v>13</v>
      </c>
      <c r="C4125">
        <v>3</v>
      </c>
      <c r="D4125">
        <v>4</v>
      </c>
      <c r="E4125" t="s">
        <v>17</v>
      </c>
      <c r="F4125">
        <v>10.67</v>
      </c>
      <c r="G4125">
        <v>9.5</v>
      </c>
      <c r="H4125" t="s">
        <v>17</v>
      </c>
      <c r="I4125" t="str">
        <f>"062007002402"</f>
        <v>062007002402</v>
      </c>
    </row>
    <row r="4126" spans="1:9" x14ac:dyDescent="0.25">
      <c r="A4126" t="s">
        <v>3663</v>
      </c>
      <c r="B4126" t="s">
        <v>13</v>
      </c>
      <c r="C4126">
        <v>17</v>
      </c>
      <c r="D4126">
        <v>23</v>
      </c>
      <c r="E4126" t="s">
        <v>17</v>
      </c>
      <c r="F4126">
        <v>26.47</v>
      </c>
      <c r="G4126">
        <v>22.57</v>
      </c>
      <c r="H4126" t="s">
        <v>17</v>
      </c>
      <c r="I4126" t="str">
        <f>"063597006155"</f>
        <v>063597006155</v>
      </c>
    </row>
    <row r="4127" spans="1:9" x14ac:dyDescent="0.25">
      <c r="A4127" t="s">
        <v>3663</v>
      </c>
      <c r="B4127" t="s">
        <v>13</v>
      </c>
      <c r="C4127">
        <v>18</v>
      </c>
      <c r="D4127">
        <v>18</v>
      </c>
      <c r="E4127" t="s">
        <v>17</v>
      </c>
      <c r="F4127">
        <v>27.61</v>
      </c>
      <c r="G4127">
        <v>29.61</v>
      </c>
      <c r="H4127" t="s">
        <v>17</v>
      </c>
      <c r="I4127" t="str">
        <f>"062025002429"</f>
        <v>062025002429</v>
      </c>
    </row>
    <row r="4128" spans="1:9" x14ac:dyDescent="0.25">
      <c r="A4128" t="s">
        <v>3663</v>
      </c>
      <c r="B4128" t="s">
        <v>13</v>
      </c>
      <c r="C4128">
        <v>25.9</v>
      </c>
      <c r="D4128">
        <v>24</v>
      </c>
      <c r="E4128" t="s">
        <v>17</v>
      </c>
      <c r="F4128">
        <v>26.6</v>
      </c>
      <c r="G4128">
        <v>25.96</v>
      </c>
      <c r="H4128" t="s">
        <v>17</v>
      </c>
      <c r="I4128" t="str">
        <f>"062637003951"</f>
        <v>062637003951</v>
      </c>
    </row>
    <row r="4129" spans="1:9" x14ac:dyDescent="0.25">
      <c r="A4129" t="s">
        <v>3663</v>
      </c>
      <c r="B4129" t="s">
        <v>13</v>
      </c>
      <c r="C4129">
        <v>25</v>
      </c>
      <c r="D4129">
        <v>26.5</v>
      </c>
      <c r="E4129" t="s">
        <v>17</v>
      </c>
      <c r="F4129">
        <v>24.6</v>
      </c>
      <c r="G4129">
        <v>23.77</v>
      </c>
      <c r="H4129" t="s">
        <v>17</v>
      </c>
      <c r="I4129" t="str">
        <f>"063060004748"</f>
        <v>063060004748</v>
      </c>
    </row>
    <row r="4130" spans="1:9" x14ac:dyDescent="0.25">
      <c r="A4130" t="s">
        <v>3663</v>
      </c>
      <c r="B4130" t="s">
        <v>13</v>
      </c>
      <c r="C4130">
        <v>25</v>
      </c>
      <c r="D4130">
        <v>23.1</v>
      </c>
      <c r="E4130" t="s">
        <v>17</v>
      </c>
      <c r="F4130">
        <v>23.72</v>
      </c>
      <c r="G4130">
        <v>24.98</v>
      </c>
      <c r="H4130" t="s">
        <v>17</v>
      </c>
      <c r="I4130" t="str">
        <f>"063492005907"</f>
        <v>063492005907</v>
      </c>
    </row>
    <row r="4131" spans="1:9" x14ac:dyDescent="0.25">
      <c r="A4131" t="s">
        <v>3664</v>
      </c>
      <c r="B4131" t="s">
        <v>13</v>
      </c>
      <c r="C4131">
        <v>46.04</v>
      </c>
      <c r="D4131">
        <v>42</v>
      </c>
      <c r="E4131" t="s">
        <v>17</v>
      </c>
      <c r="F4131">
        <v>19.350000000000001</v>
      </c>
      <c r="G4131">
        <v>20.52</v>
      </c>
      <c r="H4131" t="s">
        <v>17</v>
      </c>
      <c r="I4131" t="str">
        <f>"060133201988"</f>
        <v>060133201988</v>
      </c>
    </row>
    <row r="4132" spans="1:9" x14ac:dyDescent="0.25">
      <c r="A4132" t="s">
        <v>3664</v>
      </c>
      <c r="B4132" t="s">
        <v>13</v>
      </c>
      <c r="C4132" t="s">
        <v>17</v>
      </c>
      <c r="D4132" t="s">
        <v>17</v>
      </c>
      <c r="E4132" t="s">
        <v>17</v>
      </c>
      <c r="F4132" t="s">
        <v>17</v>
      </c>
      <c r="G4132" t="s">
        <v>17</v>
      </c>
      <c r="H4132" t="s">
        <v>17</v>
      </c>
      <c r="I4132" t="str">
        <f>"062007012241"</f>
        <v>062007012241</v>
      </c>
    </row>
    <row r="4133" spans="1:9" x14ac:dyDescent="0.25">
      <c r="A4133" t="s">
        <v>3665</v>
      </c>
      <c r="B4133" t="s">
        <v>13</v>
      </c>
      <c r="C4133">
        <v>7</v>
      </c>
      <c r="D4133" t="s">
        <v>14</v>
      </c>
      <c r="E4133" t="s">
        <v>14</v>
      </c>
      <c r="F4133">
        <v>18</v>
      </c>
      <c r="G4133" t="s">
        <v>14</v>
      </c>
      <c r="H4133" t="s">
        <v>14</v>
      </c>
      <c r="I4133" t="str">
        <f>"062271013101"</f>
        <v>062271013101</v>
      </c>
    </row>
    <row r="4134" spans="1:9" x14ac:dyDescent="0.25">
      <c r="A4134" t="s">
        <v>3666</v>
      </c>
      <c r="B4134" t="s">
        <v>13</v>
      </c>
      <c r="C4134">
        <v>33.97</v>
      </c>
      <c r="D4134">
        <v>39.270000000000003</v>
      </c>
      <c r="E4134" t="s">
        <v>17</v>
      </c>
      <c r="F4134">
        <v>26.99</v>
      </c>
      <c r="G4134">
        <v>25.39</v>
      </c>
      <c r="H4134" t="s">
        <v>17</v>
      </c>
      <c r="I4134" t="str">
        <f>"062250002722"</f>
        <v>062250002722</v>
      </c>
    </row>
    <row r="4135" spans="1:9" x14ac:dyDescent="0.25">
      <c r="A4135" t="s">
        <v>3667</v>
      </c>
      <c r="B4135" t="s">
        <v>13</v>
      </c>
      <c r="C4135">
        <v>34.28</v>
      </c>
      <c r="D4135">
        <v>34.28</v>
      </c>
      <c r="E4135" t="s">
        <v>17</v>
      </c>
      <c r="F4135">
        <v>21.53</v>
      </c>
      <c r="G4135">
        <v>22.17</v>
      </c>
      <c r="H4135" t="s">
        <v>17</v>
      </c>
      <c r="I4135" t="str">
        <f>"063588006141"</f>
        <v>063588006141</v>
      </c>
    </row>
    <row r="4136" spans="1:9" x14ac:dyDescent="0.25">
      <c r="A4136" t="s">
        <v>3668</v>
      </c>
      <c r="B4136" t="s">
        <v>13</v>
      </c>
      <c r="C4136" t="s">
        <v>14</v>
      </c>
      <c r="D4136" t="s">
        <v>14</v>
      </c>
      <c r="E4136" t="s">
        <v>17</v>
      </c>
      <c r="F4136" t="s">
        <v>14</v>
      </c>
      <c r="G4136" t="s">
        <v>14</v>
      </c>
      <c r="H4136" t="s">
        <v>17</v>
      </c>
      <c r="I4136" t="str">
        <f>"062772010256"</f>
        <v>062772010256</v>
      </c>
    </row>
    <row r="4137" spans="1:9" x14ac:dyDescent="0.25">
      <c r="A4137" t="s">
        <v>3669</v>
      </c>
      <c r="B4137" t="s">
        <v>13</v>
      </c>
      <c r="C4137">
        <v>7</v>
      </c>
      <c r="D4137">
        <v>7</v>
      </c>
      <c r="E4137" t="s">
        <v>17</v>
      </c>
      <c r="F4137">
        <v>10</v>
      </c>
      <c r="G4137">
        <v>13.57</v>
      </c>
      <c r="H4137" t="s">
        <v>17</v>
      </c>
      <c r="I4137" t="str">
        <f>"069103309248"</f>
        <v>069103309248</v>
      </c>
    </row>
    <row r="4138" spans="1:9" x14ac:dyDescent="0.25">
      <c r="A4138" t="s">
        <v>3670</v>
      </c>
      <c r="B4138" t="s">
        <v>13</v>
      </c>
      <c r="C4138">
        <v>29</v>
      </c>
      <c r="D4138">
        <v>42</v>
      </c>
      <c r="E4138" t="s">
        <v>17</v>
      </c>
      <c r="F4138">
        <v>24.62</v>
      </c>
      <c r="G4138">
        <v>17.86</v>
      </c>
      <c r="H4138" t="s">
        <v>17</v>
      </c>
      <c r="I4138" t="str">
        <f>"062271003084"</f>
        <v>062271003084</v>
      </c>
    </row>
    <row r="4139" spans="1:9" x14ac:dyDescent="0.25">
      <c r="A4139" t="s">
        <v>3671</v>
      </c>
      <c r="B4139" t="s">
        <v>13</v>
      </c>
      <c r="C4139">
        <v>18.25</v>
      </c>
      <c r="D4139">
        <v>19.25</v>
      </c>
      <c r="E4139" t="s">
        <v>17</v>
      </c>
      <c r="F4139">
        <v>24.27</v>
      </c>
      <c r="G4139">
        <v>24.36</v>
      </c>
      <c r="H4139" t="s">
        <v>17</v>
      </c>
      <c r="I4139" t="str">
        <f>"061494001896"</f>
        <v>061494001896</v>
      </c>
    </row>
    <row r="4140" spans="1:9" x14ac:dyDescent="0.25">
      <c r="A4140" t="s">
        <v>3671</v>
      </c>
      <c r="B4140" t="s">
        <v>13</v>
      </c>
      <c r="C4140">
        <v>25</v>
      </c>
      <c r="D4140">
        <v>25.8</v>
      </c>
      <c r="E4140" t="s">
        <v>17</v>
      </c>
      <c r="F4140">
        <v>17.920000000000002</v>
      </c>
      <c r="G4140">
        <v>17.64</v>
      </c>
      <c r="H4140" t="s">
        <v>17</v>
      </c>
      <c r="I4140" t="str">
        <f>"063441005625"</f>
        <v>063441005625</v>
      </c>
    </row>
    <row r="4141" spans="1:9" x14ac:dyDescent="0.25">
      <c r="A4141" t="s">
        <v>3671</v>
      </c>
      <c r="B4141" t="s">
        <v>13</v>
      </c>
      <c r="C4141">
        <v>14.61</v>
      </c>
      <c r="D4141">
        <v>14.51</v>
      </c>
      <c r="E4141" t="s">
        <v>17</v>
      </c>
      <c r="F4141">
        <v>23.82</v>
      </c>
      <c r="G4141">
        <v>23.02</v>
      </c>
      <c r="H4141" t="s">
        <v>17</v>
      </c>
      <c r="I4141" t="str">
        <f>"062805004275"</f>
        <v>062805004275</v>
      </c>
    </row>
    <row r="4142" spans="1:9" x14ac:dyDescent="0.25">
      <c r="A4142" t="s">
        <v>3672</v>
      </c>
      <c r="B4142" t="s">
        <v>13</v>
      </c>
      <c r="C4142">
        <v>16.899999999999999</v>
      </c>
      <c r="D4142" t="s">
        <v>14</v>
      </c>
      <c r="E4142" t="s">
        <v>14</v>
      </c>
      <c r="F4142">
        <v>25.27</v>
      </c>
      <c r="G4142" t="s">
        <v>14</v>
      </c>
      <c r="H4142" t="s">
        <v>14</v>
      </c>
      <c r="I4142" t="str">
        <f>"060243013184"</f>
        <v>060243013184</v>
      </c>
    </row>
    <row r="4143" spans="1:9" x14ac:dyDescent="0.25">
      <c r="A4143" t="s">
        <v>3673</v>
      </c>
      <c r="B4143" t="s">
        <v>13</v>
      </c>
      <c r="C4143">
        <v>16.309999999999999</v>
      </c>
      <c r="D4143">
        <v>15.3</v>
      </c>
      <c r="E4143" t="s">
        <v>17</v>
      </c>
      <c r="F4143">
        <v>18.21</v>
      </c>
      <c r="G4143">
        <v>16.93</v>
      </c>
      <c r="H4143" t="s">
        <v>17</v>
      </c>
      <c r="I4143" t="str">
        <f>"061584002001"</f>
        <v>061584002001</v>
      </c>
    </row>
    <row r="4144" spans="1:9" x14ac:dyDescent="0.25">
      <c r="A4144" t="s">
        <v>3674</v>
      </c>
      <c r="B4144" t="s">
        <v>13</v>
      </c>
      <c r="C4144">
        <v>32</v>
      </c>
      <c r="D4144">
        <v>33.5</v>
      </c>
      <c r="E4144" t="s">
        <v>17</v>
      </c>
      <c r="F4144">
        <v>24.16</v>
      </c>
      <c r="G4144">
        <v>23.19</v>
      </c>
      <c r="H4144" t="s">
        <v>17</v>
      </c>
      <c r="I4144" t="str">
        <f>"062271003008"</f>
        <v>062271003008</v>
      </c>
    </row>
    <row r="4145" spans="1:9" x14ac:dyDescent="0.25">
      <c r="A4145" t="s">
        <v>3675</v>
      </c>
      <c r="B4145" t="s">
        <v>13</v>
      </c>
      <c r="C4145">
        <v>15.5</v>
      </c>
      <c r="D4145">
        <v>15.5</v>
      </c>
      <c r="E4145" t="s">
        <v>17</v>
      </c>
      <c r="F4145">
        <v>21.29</v>
      </c>
      <c r="G4145">
        <v>20.58</v>
      </c>
      <c r="H4145" t="s">
        <v>17</v>
      </c>
      <c r="I4145" t="str">
        <f>"063583006123"</f>
        <v>063583006123</v>
      </c>
    </row>
    <row r="4146" spans="1:9" x14ac:dyDescent="0.25">
      <c r="A4146" t="s">
        <v>3676</v>
      </c>
      <c r="B4146" t="s">
        <v>13</v>
      </c>
      <c r="C4146">
        <v>15.5</v>
      </c>
      <c r="D4146">
        <v>15.5</v>
      </c>
      <c r="E4146" t="s">
        <v>17</v>
      </c>
      <c r="F4146">
        <v>25.74</v>
      </c>
      <c r="G4146">
        <v>26.13</v>
      </c>
      <c r="H4146" t="s">
        <v>17</v>
      </c>
      <c r="I4146" t="str">
        <f>"060133205098"</f>
        <v>060133205098</v>
      </c>
    </row>
    <row r="4147" spans="1:9" x14ac:dyDescent="0.25">
      <c r="A4147" t="s">
        <v>3677</v>
      </c>
      <c r="B4147" t="s">
        <v>13</v>
      </c>
      <c r="C4147">
        <v>68.38</v>
      </c>
      <c r="D4147">
        <v>68.95</v>
      </c>
      <c r="E4147" t="s">
        <v>17</v>
      </c>
      <c r="F4147">
        <v>19.739999999999998</v>
      </c>
      <c r="G4147">
        <v>19.12</v>
      </c>
      <c r="H4147" t="s">
        <v>17</v>
      </c>
      <c r="I4147" t="str">
        <f>"063498005923"</f>
        <v>063498005923</v>
      </c>
    </row>
    <row r="4148" spans="1:9" x14ac:dyDescent="0.25">
      <c r="A4148" t="s">
        <v>3678</v>
      </c>
      <c r="B4148" t="s">
        <v>13</v>
      </c>
      <c r="C4148">
        <v>57.31</v>
      </c>
      <c r="D4148">
        <v>56.8</v>
      </c>
      <c r="E4148" t="s">
        <v>17</v>
      </c>
      <c r="F4148">
        <v>25.53</v>
      </c>
      <c r="G4148">
        <v>25.56</v>
      </c>
      <c r="H4148" t="s">
        <v>17</v>
      </c>
      <c r="I4148" t="str">
        <f>"060681005234"</f>
        <v>060681005234</v>
      </c>
    </row>
    <row r="4149" spans="1:9" x14ac:dyDescent="0.25">
      <c r="A4149" t="s">
        <v>3679</v>
      </c>
      <c r="B4149" t="s">
        <v>13</v>
      </c>
      <c r="C4149">
        <v>2</v>
      </c>
      <c r="D4149">
        <v>2</v>
      </c>
      <c r="E4149" t="s">
        <v>17</v>
      </c>
      <c r="F4149">
        <v>7.5</v>
      </c>
      <c r="G4149">
        <v>6</v>
      </c>
      <c r="H4149" t="s">
        <v>17</v>
      </c>
      <c r="I4149" t="str">
        <f>"062805004244"</f>
        <v>062805004244</v>
      </c>
    </row>
    <row r="4150" spans="1:9" x14ac:dyDescent="0.25">
      <c r="A4150" t="s">
        <v>3680</v>
      </c>
      <c r="B4150" t="s">
        <v>13</v>
      </c>
      <c r="C4150">
        <v>24.1</v>
      </c>
      <c r="D4150">
        <v>23.86</v>
      </c>
      <c r="E4150" t="s">
        <v>17</v>
      </c>
      <c r="F4150">
        <v>20.71</v>
      </c>
      <c r="G4150">
        <v>21.42</v>
      </c>
      <c r="H4150" t="s">
        <v>17</v>
      </c>
      <c r="I4150" t="str">
        <f>"063471005853"</f>
        <v>063471005853</v>
      </c>
    </row>
    <row r="4151" spans="1:9" x14ac:dyDescent="0.25">
      <c r="A4151" t="s">
        <v>3680</v>
      </c>
      <c r="B4151" t="s">
        <v>13</v>
      </c>
      <c r="C4151">
        <v>26</v>
      </c>
      <c r="D4151">
        <v>28</v>
      </c>
      <c r="E4151" t="s">
        <v>17</v>
      </c>
      <c r="F4151">
        <v>27.81</v>
      </c>
      <c r="G4151">
        <v>25.46</v>
      </c>
      <c r="H4151" t="s">
        <v>17</v>
      </c>
      <c r="I4151" t="str">
        <f>"063417009187"</f>
        <v>063417009187</v>
      </c>
    </row>
    <row r="4152" spans="1:9" x14ac:dyDescent="0.25">
      <c r="A4152" t="s">
        <v>3680</v>
      </c>
      <c r="B4152" t="s">
        <v>13</v>
      </c>
      <c r="C4152">
        <v>16</v>
      </c>
      <c r="D4152">
        <v>17.5</v>
      </c>
      <c r="E4152" t="s">
        <v>17</v>
      </c>
      <c r="F4152">
        <v>21.94</v>
      </c>
      <c r="G4152">
        <v>22.4</v>
      </c>
      <c r="H4152" t="s">
        <v>17</v>
      </c>
      <c r="I4152" t="str">
        <f>"062271003085"</f>
        <v>062271003085</v>
      </c>
    </row>
    <row r="4153" spans="1:9" x14ac:dyDescent="0.25">
      <c r="A4153" t="s">
        <v>3681</v>
      </c>
      <c r="B4153" t="s">
        <v>13</v>
      </c>
      <c r="C4153">
        <v>12.63</v>
      </c>
      <c r="D4153">
        <v>13</v>
      </c>
      <c r="E4153" t="s">
        <v>17</v>
      </c>
      <c r="F4153">
        <v>18.690000000000001</v>
      </c>
      <c r="G4153">
        <v>20.079999999999998</v>
      </c>
      <c r="H4153" t="s">
        <v>17</v>
      </c>
      <c r="I4153" t="str">
        <f>"060001609085"</f>
        <v>060001609085</v>
      </c>
    </row>
    <row r="4154" spans="1:9" x14ac:dyDescent="0.25">
      <c r="A4154" t="s">
        <v>3682</v>
      </c>
      <c r="B4154" t="s">
        <v>13</v>
      </c>
      <c r="C4154">
        <v>1.75</v>
      </c>
      <c r="D4154">
        <v>3.67</v>
      </c>
      <c r="E4154" t="s">
        <v>17</v>
      </c>
      <c r="F4154">
        <v>7.43</v>
      </c>
      <c r="G4154">
        <v>6.27</v>
      </c>
      <c r="H4154" t="s">
        <v>17</v>
      </c>
      <c r="I4154" t="str">
        <f>"062610006496"</f>
        <v>062610006496</v>
      </c>
    </row>
    <row r="4155" spans="1:9" x14ac:dyDescent="0.25">
      <c r="A4155" t="s">
        <v>3683</v>
      </c>
      <c r="B4155" t="s">
        <v>13</v>
      </c>
      <c r="C4155">
        <v>35.9</v>
      </c>
      <c r="D4155">
        <v>37.9</v>
      </c>
      <c r="E4155" t="s">
        <v>17</v>
      </c>
      <c r="F4155">
        <v>21.5</v>
      </c>
      <c r="G4155">
        <v>23.06</v>
      </c>
      <c r="H4155" t="s">
        <v>17</v>
      </c>
      <c r="I4155" t="str">
        <f>"063684006255"</f>
        <v>063684006255</v>
      </c>
    </row>
    <row r="4156" spans="1:9" x14ac:dyDescent="0.25">
      <c r="A4156" t="s">
        <v>3684</v>
      </c>
      <c r="B4156" t="s">
        <v>13</v>
      </c>
      <c r="C4156">
        <v>26</v>
      </c>
      <c r="D4156">
        <v>26.5</v>
      </c>
      <c r="E4156" t="s">
        <v>17</v>
      </c>
      <c r="F4156">
        <v>21.42</v>
      </c>
      <c r="G4156">
        <v>21.47</v>
      </c>
      <c r="H4156" t="s">
        <v>17</v>
      </c>
      <c r="I4156" t="str">
        <f>"060861000862"</f>
        <v>060861000862</v>
      </c>
    </row>
    <row r="4157" spans="1:9" x14ac:dyDescent="0.25">
      <c r="A4157" t="s">
        <v>3685</v>
      </c>
      <c r="B4157" t="s">
        <v>13</v>
      </c>
      <c r="C4157">
        <v>44.21</v>
      </c>
      <c r="D4157">
        <v>45.2</v>
      </c>
      <c r="E4157" t="s">
        <v>17</v>
      </c>
      <c r="F4157">
        <v>25.22</v>
      </c>
      <c r="G4157">
        <v>23.69</v>
      </c>
      <c r="H4157" t="s">
        <v>17</v>
      </c>
      <c r="I4157" t="str">
        <f>"063864006483"</f>
        <v>063864006483</v>
      </c>
    </row>
    <row r="4158" spans="1:9" x14ac:dyDescent="0.25">
      <c r="A4158" t="s">
        <v>3686</v>
      </c>
      <c r="B4158" t="s">
        <v>13</v>
      </c>
      <c r="C4158">
        <v>79.349999999999994</v>
      </c>
      <c r="D4158">
        <v>77.36</v>
      </c>
      <c r="E4158" t="s">
        <v>17</v>
      </c>
      <c r="F4158">
        <v>28.05</v>
      </c>
      <c r="G4158">
        <v>27.22</v>
      </c>
      <c r="H4158" t="s">
        <v>17</v>
      </c>
      <c r="I4158" t="str">
        <f>"063864006484"</f>
        <v>063864006484</v>
      </c>
    </row>
    <row r="4159" spans="1:9" x14ac:dyDescent="0.25">
      <c r="A4159" t="s">
        <v>3687</v>
      </c>
      <c r="B4159" t="s">
        <v>13</v>
      </c>
      <c r="C4159">
        <v>29</v>
      </c>
      <c r="D4159">
        <v>33</v>
      </c>
      <c r="E4159" t="s">
        <v>17</v>
      </c>
      <c r="F4159">
        <v>23.83</v>
      </c>
      <c r="G4159">
        <v>20.21</v>
      </c>
      <c r="H4159" t="s">
        <v>17</v>
      </c>
      <c r="I4159" t="str">
        <f>"062691004071"</f>
        <v>062691004071</v>
      </c>
    </row>
    <row r="4160" spans="1:9" x14ac:dyDescent="0.25">
      <c r="A4160" t="s">
        <v>3688</v>
      </c>
      <c r="B4160" t="s">
        <v>13</v>
      </c>
      <c r="C4160">
        <v>9.5399999999999991</v>
      </c>
      <c r="D4160">
        <v>9.34</v>
      </c>
      <c r="E4160" t="s">
        <v>17</v>
      </c>
      <c r="F4160">
        <v>19.29</v>
      </c>
      <c r="G4160">
        <v>17.239999999999998</v>
      </c>
      <c r="H4160" t="s">
        <v>17</v>
      </c>
      <c r="I4160" t="str">
        <f>"064015006641"</f>
        <v>064015006641</v>
      </c>
    </row>
    <row r="4161" spans="1:9" x14ac:dyDescent="0.25">
      <c r="A4161" t="s">
        <v>3689</v>
      </c>
      <c r="B4161" t="s">
        <v>13</v>
      </c>
      <c r="C4161">
        <v>36.81</v>
      </c>
      <c r="D4161">
        <v>49.68</v>
      </c>
      <c r="E4161" t="s">
        <v>17</v>
      </c>
      <c r="F4161">
        <v>23.09</v>
      </c>
      <c r="G4161">
        <v>23.77</v>
      </c>
      <c r="H4161" t="s">
        <v>17</v>
      </c>
      <c r="I4161" t="str">
        <f>"063060004749"</f>
        <v>063060004749</v>
      </c>
    </row>
    <row r="4162" spans="1:9" x14ac:dyDescent="0.25">
      <c r="A4162" t="s">
        <v>3690</v>
      </c>
      <c r="B4162" t="s">
        <v>13</v>
      </c>
      <c r="C4162">
        <v>46.17</v>
      </c>
      <c r="D4162">
        <v>44.91</v>
      </c>
      <c r="E4162" t="s">
        <v>17</v>
      </c>
      <c r="F4162">
        <v>17.59</v>
      </c>
      <c r="G4162">
        <v>16.739999999999998</v>
      </c>
      <c r="H4162" t="s">
        <v>17</v>
      </c>
      <c r="I4162" t="str">
        <f>"062457003683"</f>
        <v>062457003683</v>
      </c>
    </row>
    <row r="4163" spans="1:9" x14ac:dyDescent="0.25">
      <c r="A4163" t="s">
        <v>3690</v>
      </c>
      <c r="B4163" t="s">
        <v>13</v>
      </c>
      <c r="C4163">
        <v>38</v>
      </c>
      <c r="D4163">
        <v>40.5</v>
      </c>
      <c r="E4163" t="s">
        <v>17</v>
      </c>
      <c r="F4163">
        <v>25.45</v>
      </c>
      <c r="G4163">
        <v>24.49</v>
      </c>
      <c r="H4163" t="s">
        <v>17</v>
      </c>
      <c r="I4163" t="str">
        <f>"064212002217"</f>
        <v>064212002217</v>
      </c>
    </row>
    <row r="4164" spans="1:9" x14ac:dyDescent="0.25">
      <c r="A4164" t="s">
        <v>3690</v>
      </c>
      <c r="B4164" t="s">
        <v>13</v>
      </c>
      <c r="C4164">
        <v>38.82</v>
      </c>
      <c r="D4164">
        <v>41.55</v>
      </c>
      <c r="E4164" t="s">
        <v>17</v>
      </c>
      <c r="F4164">
        <v>20.61</v>
      </c>
      <c r="G4164">
        <v>21.95</v>
      </c>
      <c r="H4164" t="s">
        <v>17</v>
      </c>
      <c r="I4164" t="str">
        <f>"061185001315"</f>
        <v>061185001315</v>
      </c>
    </row>
    <row r="4165" spans="1:9" x14ac:dyDescent="0.25">
      <c r="A4165" t="s">
        <v>3691</v>
      </c>
      <c r="B4165" t="s">
        <v>13</v>
      </c>
      <c r="C4165">
        <v>30.81</v>
      </c>
      <c r="D4165">
        <v>31.4</v>
      </c>
      <c r="E4165" t="s">
        <v>17</v>
      </c>
      <c r="F4165">
        <v>21.42</v>
      </c>
      <c r="G4165">
        <v>21.78</v>
      </c>
      <c r="H4165" t="s">
        <v>17</v>
      </c>
      <c r="I4165" t="str">
        <f>"061722002177"</f>
        <v>061722002177</v>
      </c>
    </row>
    <row r="4166" spans="1:9" x14ac:dyDescent="0.25">
      <c r="A4166" t="s">
        <v>3692</v>
      </c>
      <c r="B4166" t="s">
        <v>13</v>
      </c>
      <c r="C4166">
        <v>23.74</v>
      </c>
      <c r="D4166">
        <v>23.72</v>
      </c>
      <c r="E4166" t="s">
        <v>17</v>
      </c>
      <c r="F4166">
        <v>21.69</v>
      </c>
      <c r="G4166">
        <v>21.63</v>
      </c>
      <c r="H4166" t="s">
        <v>17</v>
      </c>
      <c r="I4166" t="str">
        <f>"061722009856"</f>
        <v>061722009856</v>
      </c>
    </row>
    <row r="4167" spans="1:9" x14ac:dyDescent="0.25">
      <c r="A4167" t="s">
        <v>3693</v>
      </c>
      <c r="B4167" t="s">
        <v>13</v>
      </c>
      <c r="C4167">
        <v>21.55</v>
      </c>
      <c r="D4167">
        <v>21.68</v>
      </c>
      <c r="E4167" t="s">
        <v>17</v>
      </c>
      <c r="F4167">
        <v>31.18</v>
      </c>
      <c r="G4167">
        <v>29.75</v>
      </c>
      <c r="H4167" t="s">
        <v>17</v>
      </c>
      <c r="I4167" t="str">
        <f>"061488001826"</f>
        <v>061488001826</v>
      </c>
    </row>
    <row r="4168" spans="1:9" x14ac:dyDescent="0.25">
      <c r="A4168" t="s">
        <v>3694</v>
      </c>
      <c r="B4168" t="s">
        <v>13</v>
      </c>
      <c r="C4168">
        <v>11.7</v>
      </c>
      <c r="D4168">
        <v>13</v>
      </c>
      <c r="E4168" t="s">
        <v>17</v>
      </c>
      <c r="F4168">
        <v>23.59</v>
      </c>
      <c r="G4168">
        <v>22.38</v>
      </c>
      <c r="H4168" t="s">
        <v>17</v>
      </c>
      <c r="I4168" t="str">
        <f>"060402000361"</f>
        <v>060402000361</v>
      </c>
    </row>
    <row r="4169" spans="1:9" x14ac:dyDescent="0.25">
      <c r="A4169" t="s">
        <v>3695</v>
      </c>
      <c r="B4169" t="s">
        <v>13</v>
      </c>
      <c r="C4169">
        <v>76.7</v>
      </c>
      <c r="D4169">
        <v>58.7</v>
      </c>
      <c r="E4169" t="s">
        <v>17</v>
      </c>
      <c r="F4169">
        <v>19.75</v>
      </c>
      <c r="G4169">
        <v>28.16</v>
      </c>
      <c r="H4169" t="s">
        <v>17</v>
      </c>
      <c r="I4169" t="str">
        <f>"063384005247"</f>
        <v>063384005247</v>
      </c>
    </row>
    <row r="4170" spans="1:9" x14ac:dyDescent="0.25">
      <c r="A4170" t="s">
        <v>3696</v>
      </c>
      <c r="B4170" t="s">
        <v>13</v>
      </c>
      <c r="C4170">
        <v>1</v>
      </c>
      <c r="D4170">
        <v>1</v>
      </c>
      <c r="E4170" t="s">
        <v>17</v>
      </c>
      <c r="F4170">
        <v>8</v>
      </c>
      <c r="G4170">
        <v>9</v>
      </c>
      <c r="H4170" t="s">
        <v>17</v>
      </c>
      <c r="I4170" t="str">
        <f>"063763006376"</f>
        <v>063763006376</v>
      </c>
    </row>
    <row r="4171" spans="1:9" x14ac:dyDescent="0.25">
      <c r="A4171" t="s">
        <v>3697</v>
      </c>
      <c r="B4171" t="s">
        <v>13</v>
      </c>
      <c r="C4171">
        <v>33</v>
      </c>
      <c r="D4171">
        <v>31</v>
      </c>
      <c r="E4171" t="s">
        <v>17</v>
      </c>
      <c r="F4171">
        <v>23.06</v>
      </c>
      <c r="G4171">
        <v>25.71</v>
      </c>
      <c r="H4171" t="s">
        <v>17</v>
      </c>
      <c r="I4171" t="str">
        <f>"062271003086"</f>
        <v>062271003086</v>
      </c>
    </row>
    <row r="4172" spans="1:9" x14ac:dyDescent="0.25">
      <c r="A4172" t="s">
        <v>3698</v>
      </c>
      <c r="B4172" t="s">
        <v>13</v>
      </c>
      <c r="C4172">
        <v>18</v>
      </c>
      <c r="D4172">
        <v>25.67</v>
      </c>
      <c r="E4172" t="s">
        <v>17</v>
      </c>
      <c r="F4172">
        <v>26.06</v>
      </c>
      <c r="G4172">
        <v>21.08</v>
      </c>
      <c r="H4172" t="s">
        <v>17</v>
      </c>
      <c r="I4172" t="str">
        <f>"060384000351"</f>
        <v>060384000351</v>
      </c>
    </row>
    <row r="4173" spans="1:9" x14ac:dyDescent="0.25">
      <c r="A4173" t="s">
        <v>3699</v>
      </c>
      <c r="B4173" t="s">
        <v>13</v>
      </c>
      <c r="C4173" t="s">
        <v>14</v>
      </c>
      <c r="D4173" t="s">
        <v>14</v>
      </c>
      <c r="E4173" t="s">
        <v>17</v>
      </c>
      <c r="F4173" t="s">
        <v>14</v>
      </c>
      <c r="G4173" t="s">
        <v>14</v>
      </c>
      <c r="H4173" t="s">
        <v>17</v>
      </c>
      <c r="I4173" t="str">
        <f>"064074006729"</f>
        <v>064074006729</v>
      </c>
    </row>
    <row r="4174" spans="1:9" x14ac:dyDescent="0.25">
      <c r="A4174" t="s">
        <v>3700</v>
      </c>
      <c r="B4174" t="s">
        <v>13</v>
      </c>
      <c r="C4174">
        <v>45.6</v>
      </c>
      <c r="D4174">
        <v>42.99</v>
      </c>
      <c r="E4174" t="s">
        <v>17</v>
      </c>
      <c r="F4174">
        <v>23.27</v>
      </c>
      <c r="G4174">
        <v>24.63</v>
      </c>
      <c r="H4174" t="s">
        <v>17</v>
      </c>
      <c r="I4174" t="str">
        <f>"064074006736"</f>
        <v>064074006736</v>
      </c>
    </row>
    <row r="4175" spans="1:9" x14ac:dyDescent="0.25">
      <c r="A4175" t="s">
        <v>3701</v>
      </c>
      <c r="B4175" t="s">
        <v>13</v>
      </c>
      <c r="C4175" t="s">
        <v>14</v>
      </c>
      <c r="D4175" t="s">
        <v>14</v>
      </c>
      <c r="E4175" t="s">
        <v>17</v>
      </c>
      <c r="F4175" t="s">
        <v>14</v>
      </c>
      <c r="G4175" t="s">
        <v>14</v>
      </c>
      <c r="H4175" t="s">
        <v>17</v>
      </c>
      <c r="I4175" t="str">
        <f>"062637003953"</f>
        <v>062637003953</v>
      </c>
    </row>
    <row r="4176" spans="1:9" x14ac:dyDescent="0.25">
      <c r="A4176" t="s">
        <v>3702</v>
      </c>
      <c r="B4176" t="s">
        <v>13</v>
      </c>
      <c r="C4176">
        <v>20</v>
      </c>
      <c r="D4176">
        <v>20</v>
      </c>
      <c r="E4176" t="s">
        <v>17</v>
      </c>
      <c r="F4176">
        <v>24.7</v>
      </c>
      <c r="G4176">
        <v>25.35</v>
      </c>
      <c r="H4176" t="s">
        <v>17</v>
      </c>
      <c r="I4176" t="str">
        <f>"063603009194"</f>
        <v>063603009194</v>
      </c>
    </row>
    <row r="4177" spans="1:9" x14ac:dyDescent="0.25">
      <c r="A4177" t="s">
        <v>3703</v>
      </c>
      <c r="B4177" t="s">
        <v>13</v>
      </c>
      <c r="C4177">
        <v>21</v>
      </c>
      <c r="D4177">
        <v>20</v>
      </c>
      <c r="E4177" t="s">
        <v>17</v>
      </c>
      <c r="F4177">
        <v>24.24</v>
      </c>
      <c r="G4177">
        <v>24.5</v>
      </c>
      <c r="H4177" t="s">
        <v>17</v>
      </c>
      <c r="I4177" t="str">
        <f>"061455001738"</f>
        <v>061455001738</v>
      </c>
    </row>
    <row r="4178" spans="1:9" x14ac:dyDescent="0.25">
      <c r="A4178" t="s">
        <v>3704</v>
      </c>
      <c r="B4178" t="s">
        <v>13</v>
      </c>
      <c r="C4178">
        <v>71.33</v>
      </c>
      <c r="D4178">
        <v>77.02</v>
      </c>
      <c r="E4178" t="s">
        <v>17</v>
      </c>
      <c r="F4178">
        <v>18.739999999999998</v>
      </c>
      <c r="G4178">
        <v>17.71</v>
      </c>
      <c r="H4178" t="s">
        <v>17</v>
      </c>
      <c r="I4178" t="str">
        <f>"062271003087"</f>
        <v>062271003087</v>
      </c>
    </row>
    <row r="4179" spans="1:9" x14ac:dyDescent="0.25">
      <c r="A4179" t="s">
        <v>3705</v>
      </c>
      <c r="B4179" t="s">
        <v>13</v>
      </c>
      <c r="C4179">
        <v>28.31</v>
      </c>
      <c r="D4179">
        <v>28.61</v>
      </c>
      <c r="E4179" t="s">
        <v>17</v>
      </c>
      <c r="F4179">
        <v>26.17</v>
      </c>
      <c r="G4179">
        <v>24.92</v>
      </c>
      <c r="H4179" t="s">
        <v>17</v>
      </c>
      <c r="I4179" t="str">
        <f>"064200004607"</f>
        <v>064200004607</v>
      </c>
    </row>
    <row r="4180" spans="1:9" x14ac:dyDescent="0.25">
      <c r="A4180" t="s">
        <v>3706</v>
      </c>
      <c r="B4180" t="s">
        <v>13</v>
      </c>
      <c r="C4180">
        <v>23</v>
      </c>
      <c r="D4180">
        <v>27</v>
      </c>
      <c r="E4180" t="s">
        <v>17</v>
      </c>
      <c r="F4180">
        <v>23</v>
      </c>
      <c r="G4180">
        <v>24.33</v>
      </c>
      <c r="H4180" t="s">
        <v>17</v>
      </c>
      <c r="I4180" t="str">
        <f>"063375005201"</f>
        <v>063375005201</v>
      </c>
    </row>
    <row r="4181" spans="1:9" x14ac:dyDescent="0.25">
      <c r="A4181" t="s">
        <v>3707</v>
      </c>
      <c r="B4181" t="s">
        <v>13</v>
      </c>
      <c r="C4181">
        <v>13</v>
      </c>
      <c r="D4181">
        <v>10.06</v>
      </c>
      <c r="E4181" t="s">
        <v>17</v>
      </c>
      <c r="F4181">
        <v>27.38</v>
      </c>
      <c r="G4181">
        <v>29.72</v>
      </c>
      <c r="H4181" t="s">
        <v>17</v>
      </c>
      <c r="I4181" t="str">
        <f>"061734012075"</f>
        <v>061734012075</v>
      </c>
    </row>
    <row r="4182" spans="1:9" x14ac:dyDescent="0.25">
      <c r="A4182" t="s">
        <v>3708</v>
      </c>
      <c r="B4182" t="s">
        <v>13</v>
      </c>
      <c r="C4182">
        <v>20.63</v>
      </c>
      <c r="D4182">
        <v>21.5</v>
      </c>
      <c r="E4182" t="s">
        <v>17</v>
      </c>
      <c r="F4182">
        <v>21.81</v>
      </c>
      <c r="G4182">
        <v>20.329999999999998</v>
      </c>
      <c r="H4182" t="s">
        <v>17</v>
      </c>
      <c r="I4182" t="str">
        <f>"061551001971"</f>
        <v>061551001971</v>
      </c>
    </row>
    <row r="4183" spans="1:9" x14ac:dyDescent="0.25">
      <c r="A4183" t="s">
        <v>3709</v>
      </c>
      <c r="B4183" t="s">
        <v>13</v>
      </c>
      <c r="C4183" t="s">
        <v>17</v>
      </c>
      <c r="D4183" t="s">
        <v>14</v>
      </c>
      <c r="E4183" t="s">
        <v>14</v>
      </c>
      <c r="F4183" t="s">
        <v>17</v>
      </c>
      <c r="G4183" t="s">
        <v>14</v>
      </c>
      <c r="H4183" t="s">
        <v>14</v>
      </c>
      <c r="I4183" t="str">
        <f>"061734013525"</f>
        <v>061734013525</v>
      </c>
    </row>
    <row r="4184" spans="1:9" x14ac:dyDescent="0.25">
      <c r="A4184" t="s">
        <v>3710</v>
      </c>
      <c r="B4184" t="s">
        <v>13</v>
      </c>
      <c r="C4184">
        <v>25</v>
      </c>
      <c r="D4184">
        <v>25.5</v>
      </c>
      <c r="E4184" t="s">
        <v>17</v>
      </c>
      <c r="F4184">
        <v>26.16</v>
      </c>
      <c r="G4184">
        <v>26.24</v>
      </c>
      <c r="H4184" t="s">
        <v>17</v>
      </c>
      <c r="I4184" t="str">
        <f>"063684006256"</f>
        <v>063684006256</v>
      </c>
    </row>
    <row r="4185" spans="1:9" x14ac:dyDescent="0.25">
      <c r="A4185" t="s">
        <v>3711</v>
      </c>
      <c r="B4185" t="s">
        <v>13</v>
      </c>
      <c r="C4185">
        <v>26</v>
      </c>
      <c r="D4185">
        <v>27</v>
      </c>
      <c r="E4185" t="s">
        <v>17</v>
      </c>
      <c r="F4185">
        <v>26.23</v>
      </c>
      <c r="G4185">
        <v>24.3</v>
      </c>
      <c r="H4185" t="s">
        <v>17</v>
      </c>
      <c r="I4185" t="str">
        <f>"060297000231"</f>
        <v>060297000231</v>
      </c>
    </row>
    <row r="4186" spans="1:9" x14ac:dyDescent="0.25">
      <c r="A4186" t="s">
        <v>3712</v>
      </c>
      <c r="B4186" t="s">
        <v>13</v>
      </c>
      <c r="C4186">
        <v>6</v>
      </c>
      <c r="D4186">
        <v>5.0999999999999996</v>
      </c>
      <c r="E4186" t="s">
        <v>17</v>
      </c>
      <c r="F4186">
        <v>22.83</v>
      </c>
      <c r="G4186">
        <v>22.35</v>
      </c>
      <c r="H4186" t="s">
        <v>17</v>
      </c>
      <c r="I4186" t="str">
        <f>"063432008306"</f>
        <v>063432008306</v>
      </c>
    </row>
    <row r="4187" spans="1:9" x14ac:dyDescent="0.25">
      <c r="A4187" t="s">
        <v>3713</v>
      </c>
      <c r="B4187" t="s">
        <v>13</v>
      </c>
      <c r="C4187">
        <v>27</v>
      </c>
      <c r="D4187">
        <v>29.71</v>
      </c>
      <c r="E4187" t="s">
        <v>17</v>
      </c>
      <c r="F4187">
        <v>25.37</v>
      </c>
      <c r="G4187">
        <v>23.9</v>
      </c>
      <c r="H4187" t="s">
        <v>17</v>
      </c>
      <c r="I4187" t="str">
        <f>"061314001494"</f>
        <v>061314001494</v>
      </c>
    </row>
    <row r="4188" spans="1:9" x14ac:dyDescent="0.25">
      <c r="A4188" t="s">
        <v>3714</v>
      </c>
      <c r="B4188" t="s">
        <v>13</v>
      </c>
      <c r="C4188">
        <v>40</v>
      </c>
      <c r="D4188">
        <v>41.1</v>
      </c>
      <c r="E4188" t="s">
        <v>17</v>
      </c>
      <c r="F4188">
        <v>27.4</v>
      </c>
      <c r="G4188">
        <v>26.69</v>
      </c>
      <c r="H4188" t="s">
        <v>17</v>
      </c>
      <c r="I4188" t="str">
        <f>"062985004648"</f>
        <v>062985004648</v>
      </c>
    </row>
    <row r="4189" spans="1:9" x14ac:dyDescent="0.25">
      <c r="A4189" t="s">
        <v>3715</v>
      </c>
      <c r="B4189" t="s">
        <v>13</v>
      </c>
      <c r="C4189">
        <v>15</v>
      </c>
      <c r="D4189">
        <v>18</v>
      </c>
      <c r="E4189" t="s">
        <v>17</v>
      </c>
      <c r="F4189">
        <v>24.8</v>
      </c>
      <c r="G4189">
        <v>28.22</v>
      </c>
      <c r="H4189" t="s">
        <v>17</v>
      </c>
      <c r="I4189" t="str">
        <f>"060001409476"</f>
        <v>060001409476</v>
      </c>
    </row>
    <row r="4190" spans="1:9" x14ac:dyDescent="0.25">
      <c r="A4190" t="s">
        <v>3716</v>
      </c>
      <c r="B4190" t="s">
        <v>13</v>
      </c>
      <c r="C4190">
        <v>12</v>
      </c>
      <c r="D4190">
        <v>11</v>
      </c>
      <c r="E4190" t="s">
        <v>17</v>
      </c>
      <c r="F4190">
        <v>28.67</v>
      </c>
      <c r="G4190">
        <v>28.91</v>
      </c>
      <c r="H4190" t="s">
        <v>17</v>
      </c>
      <c r="I4190" t="str">
        <f>"061785002202"</f>
        <v>061785002202</v>
      </c>
    </row>
    <row r="4191" spans="1:9" x14ac:dyDescent="0.25">
      <c r="A4191" t="s">
        <v>3717</v>
      </c>
      <c r="B4191" t="s">
        <v>13</v>
      </c>
      <c r="C4191">
        <v>8.99</v>
      </c>
      <c r="D4191">
        <v>9.4</v>
      </c>
      <c r="E4191" t="s">
        <v>17</v>
      </c>
      <c r="F4191">
        <v>28.81</v>
      </c>
      <c r="G4191">
        <v>30.96</v>
      </c>
      <c r="H4191" t="s">
        <v>17</v>
      </c>
      <c r="I4191" t="str">
        <f>"063384005248"</f>
        <v>063384005248</v>
      </c>
    </row>
    <row r="4192" spans="1:9" x14ac:dyDescent="0.25">
      <c r="A4192" t="s">
        <v>3718</v>
      </c>
      <c r="B4192" t="s">
        <v>13</v>
      </c>
      <c r="C4192">
        <v>10</v>
      </c>
      <c r="D4192">
        <v>9</v>
      </c>
      <c r="E4192" t="s">
        <v>17</v>
      </c>
      <c r="F4192">
        <v>22.1</v>
      </c>
      <c r="G4192">
        <v>22.44</v>
      </c>
      <c r="H4192" t="s">
        <v>17</v>
      </c>
      <c r="I4192" t="str">
        <f>"062271010877"</f>
        <v>062271010877</v>
      </c>
    </row>
    <row r="4193" spans="1:9" x14ac:dyDescent="0.25">
      <c r="A4193" t="s">
        <v>3719</v>
      </c>
      <c r="B4193" t="s">
        <v>13</v>
      </c>
      <c r="C4193">
        <v>77</v>
      </c>
      <c r="D4193">
        <v>87.03</v>
      </c>
      <c r="E4193" t="s">
        <v>17</v>
      </c>
      <c r="F4193">
        <v>21.23</v>
      </c>
      <c r="G4193">
        <v>19.329999999999998</v>
      </c>
      <c r="H4193" t="s">
        <v>17</v>
      </c>
      <c r="I4193" t="str">
        <f>"062271003088"</f>
        <v>062271003088</v>
      </c>
    </row>
    <row r="4194" spans="1:9" x14ac:dyDescent="0.25">
      <c r="A4194" t="s">
        <v>3720</v>
      </c>
      <c r="B4194" t="s">
        <v>13</v>
      </c>
      <c r="C4194">
        <v>13</v>
      </c>
      <c r="D4194">
        <v>18</v>
      </c>
      <c r="E4194" t="s">
        <v>17</v>
      </c>
      <c r="F4194">
        <v>26.77</v>
      </c>
      <c r="G4194">
        <v>20.78</v>
      </c>
      <c r="H4194" t="s">
        <v>17</v>
      </c>
      <c r="I4194" t="str">
        <f>"062271003090"</f>
        <v>062271003090</v>
      </c>
    </row>
    <row r="4195" spans="1:9" x14ac:dyDescent="0.25">
      <c r="A4195" t="s">
        <v>3721</v>
      </c>
      <c r="B4195" t="s">
        <v>13</v>
      </c>
      <c r="C4195">
        <v>19.5</v>
      </c>
      <c r="D4195">
        <v>20.5</v>
      </c>
      <c r="E4195" t="s">
        <v>17</v>
      </c>
      <c r="F4195">
        <v>23.85</v>
      </c>
      <c r="G4195">
        <v>24.54</v>
      </c>
      <c r="H4195" t="s">
        <v>17</v>
      </c>
      <c r="I4195" t="str">
        <f>"062250002723"</f>
        <v>062250002723</v>
      </c>
    </row>
    <row r="4196" spans="1:9" x14ac:dyDescent="0.25">
      <c r="A4196" t="s">
        <v>3721</v>
      </c>
      <c r="B4196" t="s">
        <v>13</v>
      </c>
      <c r="C4196">
        <v>25</v>
      </c>
      <c r="D4196">
        <v>25.4</v>
      </c>
      <c r="E4196" t="s">
        <v>17</v>
      </c>
      <c r="F4196">
        <v>21.28</v>
      </c>
      <c r="G4196">
        <v>20.67</v>
      </c>
      <c r="H4196" t="s">
        <v>17</v>
      </c>
      <c r="I4196" t="str">
        <f>"063432005481"</f>
        <v>063432005481</v>
      </c>
    </row>
    <row r="4197" spans="1:9" x14ac:dyDescent="0.25">
      <c r="A4197" t="s">
        <v>3722</v>
      </c>
      <c r="B4197" t="s">
        <v>13</v>
      </c>
      <c r="C4197">
        <v>24.1</v>
      </c>
      <c r="D4197">
        <v>23.6</v>
      </c>
      <c r="E4197" t="s">
        <v>17</v>
      </c>
      <c r="F4197">
        <v>21.41</v>
      </c>
      <c r="G4197">
        <v>22.84</v>
      </c>
      <c r="H4197" t="s">
        <v>17</v>
      </c>
      <c r="I4197" t="str">
        <f>"061743002185"</f>
        <v>061743002185</v>
      </c>
    </row>
    <row r="4198" spans="1:9" x14ac:dyDescent="0.25">
      <c r="A4198" t="s">
        <v>3723</v>
      </c>
      <c r="B4198" t="s">
        <v>13</v>
      </c>
      <c r="C4198">
        <v>13.35</v>
      </c>
      <c r="D4198">
        <v>12.68</v>
      </c>
      <c r="E4198" t="s">
        <v>17</v>
      </c>
      <c r="F4198">
        <v>22.55</v>
      </c>
      <c r="G4198">
        <v>23.97</v>
      </c>
      <c r="H4198" t="s">
        <v>17</v>
      </c>
      <c r="I4198" t="str">
        <f>"061743002186"</f>
        <v>061743002186</v>
      </c>
    </row>
    <row r="4199" spans="1:9" x14ac:dyDescent="0.25">
      <c r="A4199" t="s">
        <v>3724</v>
      </c>
      <c r="B4199" t="s">
        <v>13</v>
      </c>
      <c r="C4199">
        <v>20</v>
      </c>
      <c r="D4199">
        <v>20</v>
      </c>
      <c r="E4199" t="s">
        <v>17</v>
      </c>
      <c r="F4199">
        <v>27.15</v>
      </c>
      <c r="G4199">
        <v>27.05</v>
      </c>
      <c r="H4199" t="s">
        <v>17</v>
      </c>
      <c r="I4199" t="str">
        <f>"061455001739"</f>
        <v>061455001739</v>
      </c>
    </row>
    <row r="4200" spans="1:9" x14ac:dyDescent="0.25">
      <c r="A4200" t="s">
        <v>3725</v>
      </c>
      <c r="B4200" t="s">
        <v>13</v>
      </c>
      <c r="C4200">
        <v>27.51</v>
      </c>
      <c r="D4200" t="s">
        <v>14</v>
      </c>
      <c r="E4200" t="s">
        <v>14</v>
      </c>
      <c r="F4200">
        <v>3.2</v>
      </c>
      <c r="G4200" t="s">
        <v>14</v>
      </c>
      <c r="H4200" t="s">
        <v>14</v>
      </c>
      <c r="I4200" t="str">
        <f>"063432013144"</f>
        <v>063432013144</v>
      </c>
    </row>
    <row r="4201" spans="1:9" x14ac:dyDescent="0.25">
      <c r="A4201" t="s">
        <v>3726</v>
      </c>
      <c r="B4201" t="s">
        <v>13</v>
      </c>
      <c r="C4201">
        <v>1</v>
      </c>
      <c r="D4201" t="s">
        <v>17</v>
      </c>
      <c r="E4201" t="s">
        <v>17</v>
      </c>
      <c r="F4201">
        <v>8</v>
      </c>
      <c r="G4201" t="s">
        <v>17</v>
      </c>
      <c r="H4201" t="s">
        <v>17</v>
      </c>
      <c r="I4201" t="str">
        <f>"062805012610"</f>
        <v>062805012610</v>
      </c>
    </row>
    <row r="4202" spans="1:9" x14ac:dyDescent="0.25">
      <c r="A4202" t="s">
        <v>3727</v>
      </c>
      <c r="B4202" t="s">
        <v>13</v>
      </c>
      <c r="C4202">
        <v>35</v>
      </c>
      <c r="D4202">
        <v>30</v>
      </c>
      <c r="E4202" t="s">
        <v>17</v>
      </c>
      <c r="F4202">
        <v>23.06</v>
      </c>
      <c r="G4202">
        <v>22.43</v>
      </c>
      <c r="H4202" t="s">
        <v>17</v>
      </c>
      <c r="I4202" t="str">
        <f>"060985001055"</f>
        <v>060985001055</v>
      </c>
    </row>
    <row r="4203" spans="1:9" x14ac:dyDescent="0.25">
      <c r="A4203" t="s">
        <v>3728</v>
      </c>
      <c r="B4203" t="s">
        <v>13</v>
      </c>
      <c r="C4203">
        <v>19.23</v>
      </c>
      <c r="D4203">
        <v>19.05</v>
      </c>
      <c r="E4203" t="s">
        <v>17</v>
      </c>
      <c r="F4203">
        <v>20.96</v>
      </c>
      <c r="G4203">
        <v>21.42</v>
      </c>
      <c r="H4203" t="s">
        <v>17</v>
      </c>
      <c r="I4203" t="str">
        <f>"060140900490"</f>
        <v>060140900490</v>
      </c>
    </row>
    <row r="4204" spans="1:9" x14ac:dyDescent="0.25">
      <c r="A4204" t="s">
        <v>3729</v>
      </c>
      <c r="B4204" t="s">
        <v>13</v>
      </c>
      <c r="C4204">
        <v>2.5</v>
      </c>
      <c r="D4204">
        <v>3.34</v>
      </c>
      <c r="E4204" t="s">
        <v>17</v>
      </c>
      <c r="F4204">
        <v>17.600000000000001</v>
      </c>
      <c r="G4204">
        <v>14.07</v>
      </c>
      <c r="H4204" t="s">
        <v>17</v>
      </c>
      <c r="I4204" t="str">
        <f>"064098007931"</f>
        <v>064098007931</v>
      </c>
    </row>
    <row r="4205" spans="1:9" x14ac:dyDescent="0.25">
      <c r="A4205" t="s">
        <v>3730</v>
      </c>
      <c r="B4205" t="s">
        <v>13</v>
      </c>
      <c r="C4205">
        <v>94.38</v>
      </c>
      <c r="D4205">
        <v>91.35</v>
      </c>
      <c r="E4205" t="s">
        <v>17</v>
      </c>
      <c r="F4205">
        <v>25.07</v>
      </c>
      <c r="G4205">
        <v>25.31</v>
      </c>
      <c r="H4205" t="s">
        <v>17</v>
      </c>
      <c r="I4205" t="str">
        <f>"061443001697"</f>
        <v>061443001697</v>
      </c>
    </row>
    <row r="4206" spans="1:9" x14ac:dyDescent="0.25">
      <c r="A4206" t="s">
        <v>3731</v>
      </c>
      <c r="B4206" t="s">
        <v>13</v>
      </c>
      <c r="C4206">
        <v>6.6</v>
      </c>
      <c r="D4206">
        <v>6.3</v>
      </c>
      <c r="E4206" t="s">
        <v>17</v>
      </c>
      <c r="F4206">
        <v>17.27</v>
      </c>
      <c r="G4206">
        <v>19.84</v>
      </c>
      <c r="H4206" t="s">
        <v>17</v>
      </c>
      <c r="I4206" t="str">
        <f>"062982004345"</f>
        <v>062982004345</v>
      </c>
    </row>
    <row r="4207" spans="1:9" x14ac:dyDescent="0.25">
      <c r="A4207" t="s">
        <v>3732</v>
      </c>
      <c r="B4207" t="s">
        <v>13</v>
      </c>
      <c r="C4207">
        <v>1</v>
      </c>
      <c r="D4207">
        <v>1</v>
      </c>
      <c r="E4207" t="s">
        <v>17</v>
      </c>
      <c r="F4207">
        <v>16</v>
      </c>
      <c r="G4207">
        <v>16</v>
      </c>
      <c r="H4207" t="s">
        <v>17</v>
      </c>
      <c r="I4207" t="str">
        <f>"062954004557"</f>
        <v>062954004557</v>
      </c>
    </row>
    <row r="4208" spans="1:9" x14ac:dyDescent="0.25">
      <c r="A4208" t="s">
        <v>3733</v>
      </c>
      <c r="B4208" t="s">
        <v>13</v>
      </c>
      <c r="C4208">
        <v>23</v>
      </c>
      <c r="D4208">
        <v>25.05</v>
      </c>
      <c r="E4208" t="s">
        <v>17</v>
      </c>
      <c r="F4208">
        <v>29.26</v>
      </c>
      <c r="G4208">
        <v>29.5</v>
      </c>
      <c r="H4208" t="s">
        <v>17</v>
      </c>
      <c r="I4208" t="str">
        <f>"062580008908"</f>
        <v>062580008908</v>
      </c>
    </row>
    <row r="4209" spans="1:9" x14ac:dyDescent="0.25">
      <c r="A4209" t="s">
        <v>3734</v>
      </c>
      <c r="B4209" t="s">
        <v>13</v>
      </c>
      <c r="C4209" t="str">
        <f>"0.50"</f>
        <v>0.50</v>
      </c>
      <c r="D4209" t="s">
        <v>17</v>
      </c>
      <c r="E4209" t="s">
        <v>17</v>
      </c>
      <c r="F4209">
        <v>2</v>
      </c>
      <c r="G4209" t="s">
        <v>17</v>
      </c>
      <c r="H4209" t="s">
        <v>17</v>
      </c>
      <c r="I4209" t="str">
        <f>"062982012238"</f>
        <v>062982012238</v>
      </c>
    </row>
    <row r="4210" spans="1:9" x14ac:dyDescent="0.25">
      <c r="A4210" t="s">
        <v>3735</v>
      </c>
      <c r="B4210" t="s">
        <v>13</v>
      </c>
      <c r="C4210">
        <v>2.2999999999999998</v>
      </c>
      <c r="D4210">
        <v>2.2999999999999998</v>
      </c>
      <c r="E4210" t="s">
        <v>17</v>
      </c>
      <c r="F4210">
        <v>4.78</v>
      </c>
      <c r="G4210">
        <v>3.91</v>
      </c>
      <c r="H4210" t="s">
        <v>17</v>
      </c>
      <c r="I4210" t="str">
        <f>"062982008451"</f>
        <v>062982008451</v>
      </c>
    </row>
    <row r="4211" spans="1:9" x14ac:dyDescent="0.25">
      <c r="A4211" t="s">
        <v>3736</v>
      </c>
      <c r="B4211" t="s">
        <v>13</v>
      </c>
      <c r="C4211">
        <v>1</v>
      </c>
      <c r="D4211">
        <v>1</v>
      </c>
      <c r="E4211" t="s">
        <v>17</v>
      </c>
      <c r="F4211">
        <v>7</v>
      </c>
      <c r="G4211">
        <v>6</v>
      </c>
      <c r="H4211" t="s">
        <v>17</v>
      </c>
      <c r="I4211" t="str">
        <f>"060003809400"</f>
        <v>060003809400</v>
      </c>
    </row>
    <row r="4212" spans="1:9" x14ac:dyDescent="0.25">
      <c r="A4212" t="s">
        <v>3737</v>
      </c>
      <c r="B4212" t="s">
        <v>13</v>
      </c>
      <c r="C4212">
        <v>17.84</v>
      </c>
      <c r="D4212">
        <v>15.4</v>
      </c>
      <c r="E4212" t="s">
        <v>17</v>
      </c>
      <c r="F4212">
        <v>20.63</v>
      </c>
      <c r="G4212">
        <v>21.17</v>
      </c>
      <c r="H4212" t="s">
        <v>17</v>
      </c>
      <c r="I4212" t="str">
        <f>"060837000820"</f>
        <v>060837000820</v>
      </c>
    </row>
    <row r="4213" spans="1:9" x14ac:dyDescent="0.25">
      <c r="A4213" t="s">
        <v>3738</v>
      </c>
      <c r="B4213" t="s">
        <v>13</v>
      </c>
      <c r="C4213" t="s">
        <v>14</v>
      </c>
      <c r="D4213" t="s">
        <v>14</v>
      </c>
      <c r="E4213" t="s">
        <v>17</v>
      </c>
      <c r="F4213" t="s">
        <v>14</v>
      </c>
      <c r="G4213" t="s">
        <v>14</v>
      </c>
      <c r="H4213" t="s">
        <v>17</v>
      </c>
      <c r="I4213" t="str">
        <f>"069100910796"</f>
        <v>069100910796</v>
      </c>
    </row>
    <row r="4214" spans="1:9" x14ac:dyDescent="0.25">
      <c r="A4214" t="s">
        <v>3739</v>
      </c>
      <c r="B4214" t="s">
        <v>13</v>
      </c>
      <c r="C4214">
        <v>26.5</v>
      </c>
      <c r="D4214">
        <v>27.5</v>
      </c>
      <c r="E4214" t="s">
        <v>17</v>
      </c>
      <c r="F4214">
        <v>17.36</v>
      </c>
      <c r="G4214">
        <v>16.25</v>
      </c>
      <c r="H4214" t="s">
        <v>17</v>
      </c>
      <c r="I4214" t="str">
        <f>"061995002389"</f>
        <v>061995002389</v>
      </c>
    </row>
    <row r="4215" spans="1:9" x14ac:dyDescent="0.25">
      <c r="A4215" t="s">
        <v>3740</v>
      </c>
      <c r="B4215" t="s">
        <v>13</v>
      </c>
      <c r="C4215">
        <v>14.32</v>
      </c>
      <c r="D4215">
        <v>14.48</v>
      </c>
      <c r="E4215" t="s">
        <v>17</v>
      </c>
      <c r="F4215">
        <v>16.97</v>
      </c>
      <c r="G4215">
        <v>16.850000000000001</v>
      </c>
      <c r="H4215" t="s">
        <v>17</v>
      </c>
      <c r="I4215" t="str">
        <f>"061995002390"</f>
        <v>061995002390</v>
      </c>
    </row>
    <row r="4216" spans="1:9" x14ac:dyDescent="0.25">
      <c r="A4216" t="s">
        <v>3741</v>
      </c>
      <c r="B4216" t="s">
        <v>13</v>
      </c>
      <c r="C4216">
        <v>46</v>
      </c>
      <c r="D4216">
        <v>52</v>
      </c>
      <c r="E4216" t="s">
        <v>17</v>
      </c>
      <c r="F4216">
        <v>23.65</v>
      </c>
      <c r="G4216">
        <v>23.81</v>
      </c>
      <c r="H4216" t="s">
        <v>17</v>
      </c>
      <c r="I4216" t="str">
        <f>"062271003091"</f>
        <v>062271003091</v>
      </c>
    </row>
    <row r="4217" spans="1:9" x14ac:dyDescent="0.25">
      <c r="A4217" t="s">
        <v>3742</v>
      </c>
      <c r="B4217" t="s">
        <v>13</v>
      </c>
      <c r="C4217">
        <v>10</v>
      </c>
      <c r="D4217">
        <v>12</v>
      </c>
      <c r="E4217" t="s">
        <v>17</v>
      </c>
      <c r="F4217">
        <v>21.6</v>
      </c>
      <c r="G4217">
        <v>24.08</v>
      </c>
      <c r="H4217" t="s">
        <v>17</v>
      </c>
      <c r="I4217" t="str">
        <f>"062271010875"</f>
        <v>062271010875</v>
      </c>
    </row>
    <row r="4218" spans="1:9" x14ac:dyDescent="0.25">
      <c r="A4218" t="s">
        <v>3743</v>
      </c>
      <c r="B4218" t="s">
        <v>13</v>
      </c>
      <c r="C4218">
        <v>43.87</v>
      </c>
      <c r="D4218">
        <v>51.15</v>
      </c>
      <c r="E4218" t="s">
        <v>17</v>
      </c>
      <c r="F4218">
        <v>23.48</v>
      </c>
      <c r="G4218">
        <v>21.08</v>
      </c>
      <c r="H4218" t="s">
        <v>17</v>
      </c>
      <c r="I4218" t="str">
        <f>"063441005624"</f>
        <v>063441005624</v>
      </c>
    </row>
    <row r="4219" spans="1:9" x14ac:dyDescent="0.25">
      <c r="A4219" t="s">
        <v>3744</v>
      </c>
      <c r="B4219" t="s">
        <v>13</v>
      </c>
      <c r="C4219">
        <v>39</v>
      </c>
      <c r="D4219">
        <v>40.5</v>
      </c>
      <c r="E4219" t="s">
        <v>17</v>
      </c>
      <c r="F4219">
        <v>22.56</v>
      </c>
      <c r="G4219">
        <v>22.52</v>
      </c>
      <c r="H4219" t="s">
        <v>17</v>
      </c>
      <c r="I4219" t="str">
        <f>"063213004968"</f>
        <v>063213004968</v>
      </c>
    </row>
    <row r="4220" spans="1:9" x14ac:dyDescent="0.25">
      <c r="A4220" t="s">
        <v>3744</v>
      </c>
      <c r="B4220" t="s">
        <v>13</v>
      </c>
      <c r="C4220">
        <v>21.48</v>
      </c>
      <c r="D4220">
        <v>25.16</v>
      </c>
      <c r="E4220" t="s">
        <v>17</v>
      </c>
      <c r="F4220">
        <v>25.23</v>
      </c>
      <c r="G4220">
        <v>20.43</v>
      </c>
      <c r="H4220" t="s">
        <v>17</v>
      </c>
      <c r="I4220" t="str">
        <f>"063801006418"</f>
        <v>063801006418</v>
      </c>
    </row>
    <row r="4221" spans="1:9" x14ac:dyDescent="0.25">
      <c r="A4221" t="s">
        <v>3744</v>
      </c>
      <c r="B4221" t="s">
        <v>13</v>
      </c>
      <c r="C4221">
        <v>12</v>
      </c>
      <c r="D4221">
        <v>13.01</v>
      </c>
      <c r="E4221" t="s">
        <v>17</v>
      </c>
      <c r="F4221">
        <v>26.5</v>
      </c>
      <c r="G4221">
        <v>24.6</v>
      </c>
      <c r="H4221" t="s">
        <v>17</v>
      </c>
      <c r="I4221" t="str">
        <f>"062805004276"</f>
        <v>062805004276</v>
      </c>
    </row>
    <row r="4222" spans="1:9" x14ac:dyDescent="0.25">
      <c r="A4222" t="s">
        <v>3744</v>
      </c>
      <c r="B4222" t="s">
        <v>13</v>
      </c>
      <c r="C4222">
        <v>17</v>
      </c>
      <c r="D4222">
        <v>17.5</v>
      </c>
      <c r="E4222" t="s">
        <v>17</v>
      </c>
      <c r="F4222">
        <v>27.06</v>
      </c>
      <c r="G4222">
        <v>27.83</v>
      </c>
      <c r="H4222" t="s">
        <v>17</v>
      </c>
      <c r="I4222" t="str">
        <f>"063531005989"</f>
        <v>063531005989</v>
      </c>
    </row>
    <row r="4223" spans="1:9" x14ac:dyDescent="0.25">
      <c r="A4223" t="s">
        <v>3745</v>
      </c>
      <c r="B4223" t="s">
        <v>13</v>
      </c>
      <c r="C4223">
        <v>99.9</v>
      </c>
      <c r="D4223">
        <v>101.88</v>
      </c>
      <c r="E4223" t="s">
        <v>17</v>
      </c>
      <c r="F4223">
        <v>19.97</v>
      </c>
      <c r="G4223">
        <v>19.84</v>
      </c>
      <c r="H4223" t="s">
        <v>17</v>
      </c>
      <c r="I4223" t="str">
        <f>"063432005482"</f>
        <v>063432005482</v>
      </c>
    </row>
    <row r="4224" spans="1:9" x14ac:dyDescent="0.25">
      <c r="A4224" t="s">
        <v>3746</v>
      </c>
      <c r="B4224" t="s">
        <v>13</v>
      </c>
      <c r="C4224">
        <v>33.33</v>
      </c>
      <c r="D4224">
        <v>36.71</v>
      </c>
      <c r="E4224" t="s">
        <v>17</v>
      </c>
      <c r="F4224">
        <v>27.72</v>
      </c>
      <c r="G4224">
        <v>27.02</v>
      </c>
      <c r="H4224" t="s">
        <v>17</v>
      </c>
      <c r="I4224" t="str">
        <f>"062250002724"</f>
        <v>062250002724</v>
      </c>
    </row>
    <row r="4225" spans="1:9" x14ac:dyDescent="0.25">
      <c r="A4225" t="s">
        <v>3747</v>
      </c>
      <c r="B4225" t="s">
        <v>13</v>
      </c>
      <c r="C4225">
        <v>35</v>
      </c>
      <c r="D4225">
        <v>34</v>
      </c>
      <c r="E4225" t="s">
        <v>17</v>
      </c>
      <c r="F4225">
        <v>23.06</v>
      </c>
      <c r="G4225">
        <v>23.38</v>
      </c>
      <c r="H4225" t="s">
        <v>17</v>
      </c>
      <c r="I4225" t="str">
        <f>"062271003092"</f>
        <v>062271003092</v>
      </c>
    </row>
    <row r="4226" spans="1:9" x14ac:dyDescent="0.25">
      <c r="A4226" t="s">
        <v>3748</v>
      </c>
      <c r="B4226" t="s">
        <v>13</v>
      </c>
      <c r="C4226">
        <v>27.17</v>
      </c>
      <c r="D4226">
        <v>24.43</v>
      </c>
      <c r="E4226" t="s">
        <v>17</v>
      </c>
      <c r="F4226">
        <v>11.19</v>
      </c>
      <c r="G4226">
        <v>9.3699999999999992</v>
      </c>
      <c r="H4226" t="s">
        <v>17</v>
      </c>
      <c r="I4226" t="str">
        <f>"060263000175"</f>
        <v>060263000175</v>
      </c>
    </row>
    <row r="4227" spans="1:9" x14ac:dyDescent="0.25">
      <c r="A4227" t="s">
        <v>3749</v>
      </c>
      <c r="B4227" t="s">
        <v>13</v>
      </c>
      <c r="C4227">
        <v>12.37</v>
      </c>
      <c r="D4227">
        <v>10.16</v>
      </c>
      <c r="E4227" t="s">
        <v>14</v>
      </c>
      <c r="F4227">
        <v>24.98</v>
      </c>
      <c r="G4227">
        <v>23.23</v>
      </c>
      <c r="H4227" t="s">
        <v>14</v>
      </c>
      <c r="I4227" t="str">
        <f>"062586012947"</f>
        <v>062586012947</v>
      </c>
    </row>
    <row r="4228" spans="1:9" x14ac:dyDescent="0.25">
      <c r="A4228" t="s">
        <v>3750</v>
      </c>
      <c r="B4228" t="s">
        <v>13</v>
      </c>
      <c r="C4228">
        <v>23</v>
      </c>
      <c r="D4228">
        <v>21.5</v>
      </c>
      <c r="E4228" t="s">
        <v>17</v>
      </c>
      <c r="F4228">
        <v>26.65</v>
      </c>
      <c r="G4228">
        <v>27.53</v>
      </c>
      <c r="H4228" t="s">
        <v>17</v>
      </c>
      <c r="I4228" t="str">
        <f>"060750009120"</f>
        <v>060750009120</v>
      </c>
    </row>
    <row r="4229" spans="1:9" x14ac:dyDescent="0.25">
      <c r="A4229" t="s">
        <v>3750</v>
      </c>
      <c r="B4229" t="s">
        <v>13</v>
      </c>
      <c r="C4229">
        <v>9</v>
      </c>
      <c r="D4229">
        <v>8</v>
      </c>
      <c r="E4229" t="s">
        <v>17</v>
      </c>
      <c r="F4229">
        <v>23.11</v>
      </c>
      <c r="G4229">
        <v>23.25</v>
      </c>
      <c r="H4229" t="s">
        <v>17</v>
      </c>
      <c r="I4229" t="str">
        <f>"061752002191"</f>
        <v>061752002191</v>
      </c>
    </row>
    <row r="4230" spans="1:9" x14ac:dyDescent="0.25">
      <c r="A4230" t="s">
        <v>3750</v>
      </c>
      <c r="B4230" t="s">
        <v>13</v>
      </c>
      <c r="C4230">
        <v>14.6</v>
      </c>
      <c r="D4230">
        <v>15</v>
      </c>
      <c r="E4230" t="s">
        <v>17</v>
      </c>
      <c r="F4230">
        <v>21.64</v>
      </c>
      <c r="G4230">
        <v>21.13</v>
      </c>
      <c r="H4230" t="s">
        <v>17</v>
      </c>
      <c r="I4230" t="str">
        <f>"061749007426"</f>
        <v>061749007426</v>
      </c>
    </row>
    <row r="4231" spans="1:9" x14ac:dyDescent="0.25">
      <c r="A4231" t="s">
        <v>3751</v>
      </c>
      <c r="B4231" t="s">
        <v>13</v>
      </c>
      <c r="C4231" t="s">
        <v>14</v>
      </c>
      <c r="D4231" t="s">
        <v>14</v>
      </c>
      <c r="E4231" t="s">
        <v>14</v>
      </c>
      <c r="F4231" t="s">
        <v>17</v>
      </c>
      <c r="G4231" t="s">
        <v>14</v>
      </c>
      <c r="H4231" t="s">
        <v>14</v>
      </c>
      <c r="I4231" t="str">
        <f>"069107812988"</f>
        <v>069107812988</v>
      </c>
    </row>
    <row r="4232" spans="1:9" x14ac:dyDescent="0.25">
      <c r="A4232" t="s">
        <v>3752</v>
      </c>
      <c r="B4232" t="s">
        <v>13</v>
      </c>
      <c r="C4232">
        <v>4</v>
      </c>
      <c r="D4232">
        <v>3</v>
      </c>
      <c r="E4232" t="s">
        <v>17</v>
      </c>
      <c r="F4232">
        <v>18.5</v>
      </c>
      <c r="G4232">
        <v>21</v>
      </c>
      <c r="H4232" t="s">
        <v>17</v>
      </c>
      <c r="I4232" t="str">
        <f>"069103012068"</f>
        <v>069103012068</v>
      </c>
    </row>
    <row r="4233" spans="1:9" x14ac:dyDescent="0.25">
      <c r="A4233" t="s">
        <v>3753</v>
      </c>
      <c r="B4233" t="s">
        <v>13</v>
      </c>
      <c r="C4233">
        <v>24</v>
      </c>
      <c r="D4233">
        <v>26</v>
      </c>
      <c r="E4233" t="s">
        <v>17</v>
      </c>
      <c r="F4233">
        <v>24.29</v>
      </c>
      <c r="G4233">
        <v>24.31</v>
      </c>
      <c r="H4233" t="s">
        <v>17</v>
      </c>
      <c r="I4233" t="str">
        <f>"062271010886"</f>
        <v>062271010886</v>
      </c>
    </row>
    <row r="4234" spans="1:9" x14ac:dyDescent="0.25">
      <c r="A4234" t="s">
        <v>3754</v>
      </c>
      <c r="B4234" t="s">
        <v>13</v>
      </c>
      <c r="C4234">
        <v>24.44</v>
      </c>
      <c r="D4234">
        <v>28.3</v>
      </c>
      <c r="E4234" t="s">
        <v>17</v>
      </c>
      <c r="F4234">
        <v>28.72</v>
      </c>
      <c r="G4234">
        <v>25.09</v>
      </c>
      <c r="H4234" t="s">
        <v>17</v>
      </c>
      <c r="I4234" t="str">
        <f>"062814004335"</f>
        <v>062814004335</v>
      </c>
    </row>
    <row r="4235" spans="1:9" x14ac:dyDescent="0.25">
      <c r="A4235" t="s">
        <v>3755</v>
      </c>
      <c r="B4235" t="s">
        <v>13</v>
      </c>
      <c r="C4235">
        <v>4.3</v>
      </c>
      <c r="D4235">
        <v>4</v>
      </c>
      <c r="E4235" t="s">
        <v>17</v>
      </c>
      <c r="F4235">
        <v>16.05</v>
      </c>
      <c r="G4235">
        <v>20.25</v>
      </c>
      <c r="H4235" t="s">
        <v>17</v>
      </c>
      <c r="I4235" t="str">
        <f>"062463003697"</f>
        <v>062463003697</v>
      </c>
    </row>
    <row r="4236" spans="1:9" x14ac:dyDescent="0.25">
      <c r="A4236" t="s">
        <v>3756</v>
      </c>
      <c r="B4236" t="s">
        <v>13</v>
      </c>
      <c r="C4236">
        <v>26.76</v>
      </c>
      <c r="D4236">
        <v>28.51</v>
      </c>
      <c r="E4236" t="s">
        <v>17</v>
      </c>
      <c r="F4236">
        <v>19.170000000000002</v>
      </c>
      <c r="G4236">
        <v>19.57</v>
      </c>
      <c r="H4236" t="s">
        <v>17</v>
      </c>
      <c r="I4236" t="str">
        <f>"060231000102"</f>
        <v>060231000102</v>
      </c>
    </row>
    <row r="4237" spans="1:9" x14ac:dyDescent="0.25">
      <c r="A4237" t="s">
        <v>3757</v>
      </c>
      <c r="B4237" t="s">
        <v>13</v>
      </c>
      <c r="C4237">
        <v>42</v>
      </c>
      <c r="D4237">
        <v>40.799999999999997</v>
      </c>
      <c r="E4237" t="s">
        <v>17</v>
      </c>
      <c r="F4237">
        <v>27.05</v>
      </c>
      <c r="G4237">
        <v>28.41</v>
      </c>
      <c r="H4237" t="s">
        <v>17</v>
      </c>
      <c r="I4237" t="str">
        <f>"062724004113"</f>
        <v>062724004113</v>
      </c>
    </row>
    <row r="4238" spans="1:9" x14ac:dyDescent="0.25">
      <c r="A4238" t="s">
        <v>3758</v>
      </c>
      <c r="B4238" t="s">
        <v>13</v>
      </c>
      <c r="C4238" t="s">
        <v>17</v>
      </c>
      <c r="D4238" t="s">
        <v>17</v>
      </c>
      <c r="E4238" t="s">
        <v>17</v>
      </c>
      <c r="F4238" t="s">
        <v>17</v>
      </c>
      <c r="G4238" t="s">
        <v>17</v>
      </c>
      <c r="H4238" t="s">
        <v>17</v>
      </c>
      <c r="I4238" t="str">
        <f>"060645012591"</f>
        <v>060645012591</v>
      </c>
    </row>
    <row r="4239" spans="1:9" x14ac:dyDescent="0.25">
      <c r="A4239" t="s">
        <v>3759</v>
      </c>
      <c r="B4239" t="s">
        <v>13</v>
      </c>
      <c r="C4239">
        <v>36.619999999999997</v>
      </c>
      <c r="D4239">
        <v>33.85</v>
      </c>
      <c r="E4239" t="s">
        <v>17</v>
      </c>
      <c r="F4239">
        <v>15.81</v>
      </c>
      <c r="G4239">
        <v>17.52</v>
      </c>
      <c r="H4239" t="s">
        <v>17</v>
      </c>
      <c r="I4239" t="str">
        <f>"060483000475"</f>
        <v>060483000475</v>
      </c>
    </row>
    <row r="4240" spans="1:9" x14ac:dyDescent="0.25">
      <c r="A4240" t="s">
        <v>3759</v>
      </c>
      <c r="B4240" t="s">
        <v>13</v>
      </c>
      <c r="C4240">
        <v>27</v>
      </c>
      <c r="D4240">
        <v>26</v>
      </c>
      <c r="E4240" t="s">
        <v>17</v>
      </c>
      <c r="F4240">
        <v>24.48</v>
      </c>
      <c r="G4240">
        <v>23.96</v>
      </c>
      <c r="H4240" t="s">
        <v>17</v>
      </c>
      <c r="I4240" t="str">
        <f>"061524001938"</f>
        <v>061524001938</v>
      </c>
    </row>
    <row r="4241" spans="1:9" x14ac:dyDescent="0.25">
      <c r="A4241" t="s">
        <v>3759</v>
      </c>
      <c r="B4241" t="s">
        <v>13</v>
      </c>
      <c r="C4241">
        <v>38.4</v>
      </c>
      <c r="D4241">
        <v>38.299999999999997</v>
      </c>
      <c r="E4241" t="s">
        <v>17</v>
      </c>
      <c r="F4241">
        <v>21.69</v>
      </c>
      <c r="G4241">
        <v>22.09</v>
      </c>
      <c r="H4241" t="s">
        <v>17</v>
      </c>
      <c r="I4241" t="str">
        <f>"060363000304"</f>
        <v>060363000304</v>
      </c>
    </row>
    <row r="4242" spans="1:9" x14ac:dyDescent="0.25">
      <c r="A4242" t="s">
        <v>3759</v>
      </c>
      <c r="B4242" t="s">
        <v>13</v>
      </c>
      <c r="C4242">
        <v>25.19</v>
      </c>
      <c r="D4242">
        <v>25.69</v>
      </c>
      <c r="E4242" t="s">
        <v>17</v>
      </c>
      <c r="F4242">
        <v>24.37</v>
      </c>
      <c r="G4242">
        <v>24.37</v>
      </c>
      <c r="H4242" t="s">
        <v>17</v>
      </c>
      <c r="I4242" t="str">
        <f>"063459005722"</f>
        <v>063459005722</v>
      </c>
    </row>
    <row r="4243" spans="1:9" x14ac:dyDescent="0.25">
      <c r="A4243" t="s">
        <v>3759</v>
      </c>
      <c r="B4243" t="s">
        <v>13</v>
      </c>
      <c r="C4243">
        <v>17</v>
      </c>
      <c r="D4243">
        <v>17</v>
      </c>
      <c r="E4243" t="s">
        <v>17</v>
      </c>
      <c r="F4243">
        <v>20.88</v>
      </c>
      <c r="G4243">
        <v>19.41</v>
      </c>
      <c r="H4243" t="s">
        <v>17</v>
      </c>
      <c r="I4243" t="str">
        <f>"062805004277"</f>
        <v>062805004277</v>
      </c>
    </row>
    <row r="4244" spans="1:9" x14ac:dyDescent="0.25">
      <c r="A4244" t="s">
        <v>3760</v>
      </c>
      <c r="B4244" t="s">
        <v>13</v>
      </c>
      <c r="C4244">
        <v>24.75</v>
      </c>
      <c r="D4244">
        <v>38.020000000000003</v>
      </c>
      <c r="E4244" t="s">
        <v>17</v>
      </c>
      <c r="F4244">
        <v>18.91</v>
      </c>
      <c r="G4244">
        <v>15.23</v>
      </c>
      <c r="H4244" t="s">
        <v>17</v>
      </c>
      <c r="I4244" t="str">
        <f>"062271003162"</f>
        <v>062271003162</v>
      </c>
    </row>
    <row r="4245" spans="1:9" x14ac:dyDescent="0.25">
      <c r="A4245" t="s">
        <v>3761</v>
      </c>
      <c r="B4245" t="s">
        <v>13</v>
      </c>
      <c r="C4245">
        <v>5</v>
      </c>
      <c r="D4245">
        <v>5</v>
      </c>
      <c r="E4245" t="s">
        <v>17</v>
      </c>
      <c r="F4245">
        <v>11.6</v>
      </c>
      <c r="G4245">
        <v>11.4</v>
      </c>
      <c r="H4245" t="s">
        <v>17</v>
      </c>
      <c r="I4245" t="str">
        <f>"061758002192"</f>
        <v>061758002192</v>
      </c>
    </row>
    <row r="4246" spans="1:9" x14ac:dyDescent="0.25">
      <c r="A4246" t="s">
        <v>3762</v>
      </c>
      <c r="B4246" t="s">
        <v>13</v>
      </c>
      <c r="C4246">
        <v>18</v>
      </c>
      <c r="D4246">
        <v>19</v>
      </c>
      <c r="E4246" t="s">
        <v>17</v>
      </c>
      <c r="F4246">
        <v>18.559999999999999</v>
      </c>
      <c r="G4246">
        <v>19.79</v>
      </c>
      <c r="H4246" t="s">
        <v>17</v>
      </c>
      <c r="I4246" t="str">
        <f>"061111008560"</f>
        <v>061111008560</v>
      </c>
    </row>
    <row r="4247" spans="1:9" x14ac:dyDescent="0.25">
      <c r="A4247" t="s">
        <v>3763</v>
      </c>
      <c r="B4247" t="s">
        <v>13</v>
      </c>
      <c r="C4247">
        <v>132.54</v>
      </c>
      <c r="D4247">
        <v>138.18</v>
      </c>
      <c r="E4247" t="s">
        <v>17</v>
      </c>
      <c r="F4247">
        <v>10.14</v>
      </c>
      <c r="G4247">
        <v>10.33</v>
      </c>
      <c r="H4247" t="s">
        <v>17</v>
      </c>
      <c r="I4247" t="str">
        <f>"064214003557"</f>
        <v>064214003557</v>
      </c>
    </row>
    <row r="4248" spans="1:9" x14ac:dyDescent="0.25">
      <c r="A4248" t="s">
        <v>3764</v>
      </c>
      <c r="B4248" t="s">
        <v>13</v>
      </c>
      <c r="C4248">
        <v>26</v>
      </c>
      <c r="D4248">
        <v>24.5</v>
      </c>
      <c r="E4248" t="s">
        <v>17</v>
      </c>
      <c r="F4248">
        <v>29</v>
      </c>
      <c r="G4248">
        <v>31.06</v>
      </c>
      <c r="H4248" t="s">
        <v>17</v>
      </c>
      <c r="I4248" t="str">
        <f>"061605011600"</f>
        <v>061605011600</v>
      </c>
    </row>
    <row r="4249" spans="1:9" x14ac:dyDescent="0.25">
      <c r="A4249" t="s">
        <v>3765</v>
      </c>
      <c r="B4249" t="s">
        <v>13</v>
      </c>
      <c r="C4249">
        <v>1</v>
      </c>
      <c r="D4249">
        <v>1</v>
      </c>
      <c r="E4249" t="s">
        <v>17</v>
      </c>
      <c r="F4249">
        <v>16</v>
      </c>
      <c r="G4249">
        <v>20</v>
      </c>
      <c r="H4249" t="s">
        <v>17</v>
      </c>
      <c r="I4249" t="str">
        <f>"060004007830"</f>
        <v>060004007830</v>
      </c>
    </row>
    <row r="4250" spans="1:9" x14ac:dyDescent="0.25">
      <c r="A4250" t="s">
        <v>3766</v>
      </c>
      <c r="B4250" t="s">
        <v>13</v>
      </c>
      <c r="C4250" t="s">
        <v>17</v>
      </c>
      <c r="D4250" t="s">
        <v>17</v>
      </c>
      <c r="E4250" t="s">
        <v>17</v>
      </c>
      <c r="F4250" t="s">
        <v>17</v>
      </c>
      <c r="G4250" t="s">
        <v>17</v>
      </c>
      <c r="H4250" t="s">
        <v>17</v>
      </c>
      <c r="I4250" t="str">
        <f>"064230007509"</f>
        <v>064230007509</v>
      </c>
    </row>
    <row r="4251" spans="1:9" x14ac:dyDescent="0.25">
      <c r="A4251" t="s">
        <v>3767</v>
      </c>
      <c r="B4251" t="s">
        <v>13</v>
      </c>
      <c r="C4251">
        <v>1.1000000000000001</v>
      </c>
      <c r="D4251">
        <v>1.1000000000000001</v>
      </c>
      <c r="E4251" t="s">
        <v>17</v>
      </c>
      <c r="F4251">
        <v>11.82</v>
      </c>
      <c r="G4251">
        <v>12.73</v>
      </c>
      <c r="H4251" t="s">
        <v>17</v>
      </c>
      <c r="I4251" t="str">
        <f>"062664008228"</f>
        <v>062664008228</v>
      </c>
    </row>
    <row r="4252" spans="1:9" x14ac:dyDescent="0.25">
      <c r="A4252" t="s">
        <v>3768</v>
      </c>
      <c r="B4252" t="s">
        <v>13</v>
      </c>
      <c r="C4252">
        <v>10.25</v>
      </c>
      <c r="D4252">
        <v>10.1</v>
      </c>
      <c r="E4252" t="s">
        <v>17</v>
      </c>
      <c r="F4252">
        <v>22.54</v>
      </c>
      <c r="G4252">
        <v>18.91</v>
      </c>
      <c r="H4252" t="s">
        <v>17</v>
      </c>
      <c r="I4252" t="str">
        <f>"062637009946"</f>
        <v>062637009946</v>
      </c>
    </row>
    <row r="4253" spans="1:9" x14ac:dyDescent="0.25">
      <c r="A4253" t="s">
        <v>3769</v>
      </c>
      <c r="B4253" t="s">
        <v>13</v>
      </c>
      <c r="C4253">
        <v>3.25</v>
      </c>
      <c r="D4253">
        <v>3.25</v>
      </c>
      <c r="E4253" t="s">
        <v>17</v>
      </c>
      <c r="F4253">
        <v>9.5399999999999991</v>
      </c>
      <c r="G4253">
        <v>10.15</v>
      </c>
      <c r="H4253" t="s">
        <v>17</v>
      </c>
      <c r="I4253" t="str">
        <f>"061762002193"</f>
        <v>061762002193</v>
      </c>
    </row>
    <row r="4254" spans="1:9" x14ac:dyDescent="0.25">
      <c r="A4254" t="s">
        <v>3770</v>
      </c>
      <c r="B4254" t="s">
        <v>13</v>
      </c>
      <c r="C4254">
        <v>25</v>
      </c>
      <c r="D4254">
        <v>23</v>
      </c>
      <c r="E4254" t="s">
        <v>17</v>
      </c>
      <c r="F4254">
        <v>19.96</v>
      </c>
      <c r="G4254">
        <v>22.35</v>
      </c>
      <c r="H4254" t="s">
        <v>17</v>
      </c>
      <c r="I4254" t="str">
        <f>"063492005908"</f>
        <v>063492005908</v>
      </c>
    </row>
    <row r="4255" spans="1:9" x14ac:dyDescent="0.25">
      <c r="A4255" t="s">
        <v>3771</v>
      </c>
      <c r="B4255" t="s">
        <v>13</v>
      </c>
      <c r="C4255">
        <v>36.4</v>
      </c>
      <c r="D4255">
        <v>37.130000000000003</v>
      </c>
      <c r="E4255" t="s">
        <v>17</v>
      </c>
      <c r="F4255">
        <v>20.63</v>
      </c>
      <c r="G4255">
        <v>20.55</v>
      </c>
      <c r="H4255" t="s">
        <v>17</v>
      </c>
      <c r="I4255" t="str">
        <f>"060363000305"</f>
        <v>060363000305</v>
      </c>
    </row>
    <row r="4256" spans="1:9" x14ac:dyDescent="0.25">
      <c r="A4256" t="s">
        <v>3772</v>
      </c>
      <c r="B4256" t="s">
        <v>13</v>
      </c>
      <c r="C4256">
        <v>26</v>
      </c>
      <c r="D4256">
        <v>29</v>
      </c>
      <c r="E4256" t="s">
        <v>17</v>
      </c>
      <c r="F4256">
        <v>17.079999999999998</v>
      </c>
      <c r="G4256">
        <v>18.760000000000002</v>
      </c>
      <c r="H4256" t="s">
        <v>17</v>
      </c>
      <c r="I4256" t="str">
        <f>"063432005483"</f>
        <v>063432005483</v>
      </c>
    </row>
    <row r="4257" spans="1:9" x14ac:dyDescent="0.25">
      <c r="A4257" t="s">
        <v>3773</v>
      </c>
      <c r="B4257" t="s">
        <v>13</v>
      </c>
      <c r="C4257">
        <v>27</v>
      </c>
      <c r="D4257">
        <v>28</v>
      </c>
      <c r="E4257" t="s">
        <v>17</v>
      </c>
      <c r="F4257">
        <v>25.7</v>
      </c>
      <c r="G4257">
        <v>27.43</v>
      </c>
      <c r="H4257" t="s">
        <v>17</v>
      </c>
      <c r="I4257" t="str">
        <f>"062316011670"</f>
        <v>062316011670</v>
      </c>
    </row>
    <row r="4258" spans="1:9" x14ac:dyDescent="0.25">
      <c r="A4258" t="s">
        <v>3774</v>
      </c>
      <c r="B4258" t="s">
        <v>13</v>
      </c>
      <c r="C4258" t="str">
        <f>"0.73"</f>
        <v>0.73</v>
      </c>
      <c r="D4258" t="str">
        <f>"0.73"</f>
        <v>0.73</v>
      </c>
      <c r="E4258" t="s">
        <v>17</v>
      </c>
      <c r="F4258">
        <v>15.07</v>
      </c>
      <c r="G4258">
        <v>10.96</v>
      </c>
      <c r="H4258" t="s">
        <v>17</v>
      </c>
      <c r="I4258" t="str">
        <f>"061764002194"</f>
        <v>061764002194</v>
      </c>
    </row>
    <row r="4259" spans="1:9" x14ac:dyDescent="0.25">
      <c r="A4259" t="s">
        <v>3775</v>
      </c>
      <c r="B4259" t="s">
        <v>13</v>
      </c>
      <c r="C4259">
        <v>9.8699999999999992</v>
      </c>
      <c r="D4259">
        <v>8.6</v>
      </c>
      <c r="E4259" t="s">
        <v>17</v>
      </c>
      <c r="F4259">
        <v>25.84</v>
      </c>
      <c r="G4259">
        <v>28.49</v>
      </c>
      <c r="H4259" t="s">
        <v>17</v>
      </c>
      <c r="I4259" t="str">
        <f>"060797007669"</f>
        <v>060797007669</v>
      </c>
    </row>
    <row r="4260" spans="1:9" x14ac:dyDescent="0.25">
      <c r="A4260" t="s">
        <v>3776</v>
      </c>
      <c r="B4260" t="s">
        <v>13</v>
      </c>
      <c r="C4260">
        <v>12.13</v>
      </c>
      <c r="D4260">
        <v>14.59</v>
      </c>
      <c r="E4260" t="s">
        <v>17</v>
      </c>
      <c r="F4260">
        <v>17.23</v>
      </c>
      <c r="G4260">
        <v>18.3</v>
      </c>
      <c r="H4260" t="s">
        <v>17</v>
      </c>
      <c r="I4260" t="str">
        <f>"062223002650"</f>
        <v>062223002650</v>
      </c>
    </row>
    <row r="4261" spans="1:9" x14ac:dyDescent="0.25">
      <c r="A4261" t="s">
        <v>3777</v>
      </c>
      <c r="B4261" t="s">
        <v>13</v>
      </c>
      <c r="C4261">
        <v>18.5</v>
      </c>
      <c r="D4261">
        <v>20</v>
      </c>
      <c r="E4261" t="s">
        <v>17</v>
      </c>
      <c r="F4261">
        <v>30.22</v>
      </c>
      <c r="G4261">
        <v>27.95</v>
      </c>
      <c r="H4261" t="s">
        <v>17</v>
      </c>
      <c r="I4261" t="str">
        <f>"064116006796"</f>
        <v>064116006796</v>
      </c>
    </row>
    <row r="4262" spans="1:9" x14ac:dyDescent="0.25">
      <c r="A4262" t="s">
        <v>3778</v>
      </c>
      <c r="B4262" t="s">
        <v>13</v>
      </c>
      <c r="C4262">
        <v>25</v>
      </c>
      <c r="D4262">
        <v>29.33</v>
      </c>
      <c r="E4262" t="s">
        <v>17</v>
      </c>
      <c r="F4262">
        <v>29.2</v>
      </c>
      <c r="G4262">
        <v>25.33</v>
      </c>
      <c r="H4262" t="s">
        <v>17</v>
      </c>
      <c r="I4262" t="str">
        <f>"060846009349"</f>
        <v>060846009349</v>
      </c>
    </row>
    <row r="4263" spans="1:9" x14ac:dyDescent="0.25">
      <c r="A4263" t="s">
        <v>3779</v>
      </c>
      <c r="B4263" t="s">
        <v>13</v>
      </c>
      <c r="C4263">
        <v>24</v>
      </c>
      <c r="D4263">
        <v>24.5</v>
      </c>
      <c r="E4263" t="s">
        <v>17</v>
      </c>
      <c r="F4263">
        <v>26.33</v>
      </c>
      <c r="G4263">
        <v>25.35</v>
      </c>
      <c r="H4263" t="s">
        <v>17</v>
      </c>
      <c r="I4263" t="str">
        <f>"062847007805"</f>
        <v>062847007805</v>
      </c>
    </row>
    <row r="4264" spans="1:9" x14ac:dyDescent="0.25">
      <c r="A4264" t="s">
        <v>3779</v>
      </c>
      <c r="B4264" t="s">
        <v>13</v>
      </c>
      <c r="C4264">
        <v>9.8000000000000007</v>
      </c>
      <c r="D4264">
        <v>8.8000000000000007</v>
      </c>
      <c r="E4264" t="s">
        <v>17</v>
      </c>
      <c r="F4264">
        <v>20.92</v>
      </c>
      <c r="G4264">
        <v>19.43</v>
      </c>
      <c r="H4264" t="s">
        <v>17</v>
      </c>
      <c r="I4264" t="str">
        <f>"062805004249"</f>
        <v>062805004249</v>
      </c>
    </row>
    <row r="4265" spans="1:9" x14ac:dyDescent="0.25">
      <c r="A4265" t="s">
        <v>3779</v>
      </c>
      <c r="B4265" t="s">
        <v>13</v>
      </c>
      <c r="C4265">
        <v>20.2</v>
      </c>
      <c r="D4265">
        <v>22.53</v>
      </c>
      <c r="E4265" t="s">
        <v>17</v>
      </c>
      <c r="F4265">
        <v>29.06</v>
      </c>
      <c r="G4265">
        <v>23.97</v>
      </c>
      <c r="H4265" t="s">
        <v>17</v>
      </c>
      <c r="I4265" t="str">
        <f>"062334003546"</f>
        <v>062334003546</v>
      </c>
    </row>
    <row r="4266" spans="1:9" x14ac:dyDescent="0.25">
      <c r="A4266" t="s">
        <v>3780</v>
      </c>
      <c r="B4266" t="s">
        <v>13</v>
      </c>
      <c r="C4266">
        <v>6</v>
      </c>
      <c r="D4266" t="s">
        <v>14</v>
      </c>
      <c r="E4266" t="s">
        <v>14</v>
      </c>
      <c r="F4266" t="s">
        <v>14</v>
      </c>
      <c r="G4266" t="s">
        <v>14</v>
      </c>
      <c r="H4266" t="s">
        <v>14</v>
      </c>
      <c r="I4266" t="str">
        <f>"060861012866"</f>
        <v>060861012866</v>
      </c>
    </row>
    <row r="4267" spans="1:9" x14ac:dyDescent="0.25">
      <c r="A4267" t="s">
        <v>3781</v>
      </c>
      <c r="B4267" t="s">
        <v>13</v>
      </c>
      <c r="C4267">
        <v>15</v>
      </c>
      <c r="D4267">
        <v>13</v>
      </c>
      <c r="E4267" t="s">
        <v>17</v>
      </c>
      <c r="F4267">
        <v>27.8</v>
      </c>
      <c r="G4267">
        <v>30.23</v>
      </c>
      <c r="H4267" t="s">
        <v>17</v>
      </c>
      <c r="I4267" t="str">
        <f>"063417009434"</f>
        <v>063417009434</v>
      </c>
    </row>
    <row r="4268" spans="1:9" x14ac:dyDescent="0.25">
      <c r="A4268" t="s">
        <v>3782</v>
      </c>
      <c r="B4268" t="s">
        <v>13</v>
      </c>
      <c r="C4268">
        <v>16</v>
      </c>
      <c r="D4268">
        <v>15</v>
      </c>
      <c r="E4268" t="s">
        <v>17</v>
      </c>
      <c r="F4268">
        <v>29.63</v>
      </c>
      <c r="G4268">
        <v>32.200000000000003</v>
      </c>
      <c r="H4268" t="s">
        <v>17</v>
      </c>
      <c r="I4268" t="str">
        <f>"063756006357"</f>
        <v>063756006357</v>
      </c>
    </row>
    <row r="4269" spans="1:9" x14ac:dyDescent="0.25">
      <c r="A4269" t="s">
        <v>3783</v>
      </c>
      <c r="B4269" t="s">
        <v>13</v>
      </c>
      <c r="C4269">
        <v>32</v>
      </c>
      <c r="D4269">
        <v>31</v>
      </c>
      <c r="E4269" t="s">
        <v>17</v>
      </c>
      <c r="F4269">
        <v>20.5</v>
      </c>
      <c r="G4269">
        <v>20.23</v>
      </c>
      <c r="H4269" t="s">
        <v>17</v>
      </c>
      <c r="I4269" t="str">
        <f>"063738006324"</f>
        <v>063738006324</v>
      </c>
    </row>
    <row r="4270" spans="1:9" x14ac:dyDescent="0.25">
      <c r="A4270" t="s">
        <v>3784</v>
      </c>
      <c r="B4270" t="s">
        <v>13</v>
      </c>
      <c r="C4270">
        <v>19.5</v>
      </c>
      <c r="D4270">
        <v>21</v>
      </c>
      <c r="E4270" t="s">
        <v>17</v>
      </c>
      <c r="F4270">
        <v>30.72</v>
      </c>
      <c r="G4270">
        <v>30.67</v>
      </c>
      <c r="H4270" t="s">
        <v>17</v>
      </c>
      <c r="I4270" t="str">
        <f>"062985010907"</f>
        <v>062985010907</v>
      </c>
    </row>
    <row r="4271" spans="1:9" x14ac:dyDescent="0.25">
      <c r="A4271" t="s">
        <v>3785</v>
      </c>
      <c r="B4271" t="s">
        <v>13</v>
      </c>
      <c r="C4271">
        <v>16.45</v>
      </c>
      <c r="D4271">
        <v>14.45</v>
      </c>
      <c r="E4271" t="s">
        <v>17</v>
      </c>
      <c r="F4271">
        <v>22.55</v>
      </c>
      <c r="G4271">
        <v>25.74</v>
      </c>
      <c r="H4271" t="s">
        <v>17</v>
      </c>
      <c r="I4271" t="str">
        <f>"063942006581"</f>
        <v>063942006581</v>
      </c>
    </row>
    <row r="4272" spans="1:9" x14ac:dyDescent="0.25">
      <c r="A4272" t="s">
        <v>3786</v>
      </c>
      <c r="B4272" t="s">
        <v>13</v>
      </c>
      <c r="C4272">
        <v>20.52</v>
      </c>
      <c r="D4272">
        <v>27.8</v>
      </c>
      <c r="E4272" t="s">
        <v>17</v>
      </c>
      <c r="F4272">
        <v>26.95</v>
      </c>
      <c r="G4272">
        <v>19.350000000000001</v>
      </c>
      <c r="H4272" t="s">
        <v>17</v>
      </c>
      <c r="I4272" t="str">
        <f>"063462005785"</f>
        <v>063462005785</v>
      </c>
    </row>
    <row r="4273" spans="1:9" x14ac:dyDescent="0.25">
      <c r="A4273" t="s">
        <v>3787</v>
      </c>
      <c r="B4273" t="s">
        <v>13</v>
      </c>
      <c r="C4273">
        <v>5.8</v>
      </c>
      <c r="D4273">
        <v>6.7</v>
      </c>
      <c r="E4273" t="s">
        <v>17</v>
      </c>
      <c r="F4273">
        <v>18.100000000000001</v>
      </c>
      <c r="G4273">
        <v>13.88</v>
      </c>
      <c r="H4273" t="s">
        <v>17</v>
      </c>
      <c r="I4273" t="str">
        <f>"061776002196"</f>
        <v>061776002196</v>
      </c>
    </row>
    <row r="4274" spans="1:9" x14ac:dyDescent="0.25">
      <c r="A4274" t="s">
        <v>3788</v>
      </c>
      <c r="B4274" t="s">
        <v>13</v>
      </c>
      <c r="C4274">
        <v>32</v>
      </c>
      <c r="D4274">
        <v>41</v>
      </c>
      <c r="E4274" t="s">
        <v>17</v>
      </c>
      <c r="F4274">
        <v>23.88</v>
      </c>
      <c r="G4274">
        <v>23.39</v>
      </c>
      <c r="H4274" t="s">
        <v>17</v>
      </c>
      <c r="I4274" t="str">
        <f>"062271003094"</f>
        <v>062271003094</v>
      </c>
    </row>
    <row r="4275" spans="1:9" x14ac:dyDescent="0.25">
      <c r="A4275" t="s">
        <v>3789</v>
      </c>
      <c r="B4275" t="s">
        <v>13</v>
      </c>
      <c r="C4275">
        <v>19.600000000000001</v>
      </c>
      <c r="D4275">
        <v>20.399999999999999</v>
      </c>
      <c r="E4275" t="s">
        <v>17</v>
      </c>
      <c r="F4275">
        <v>28.06</v>
      </c>
      <c r="G4275">
        <v>27.84</v>
      </c>
      <c r="H4275" t="s">
        <v>17</v>
      </c>
      <c r="I4275" t="str">
        <f>"063384005249"</f>
        <v>063384005249</v>
      </c>
    </row>
    <row r="4276" spans="1:9" x14ac:dyDescent="0.25">
      <c r="A4276" t="s">
        <v>3790</v>
      </c>
      <c r="B4276" t="s">
        <v>13</v>
      </c>
      <c r="C4276">
        <v>37.5</v>
      </c>
      <c r="D4276">
        <v>43.53</v>
      </c>
      <c r="E4276" t="s">
        <v>17</v>
      </c>
      <c r="F4276">
        <v>23.65</v>
      </c>
      <c r="G4276">
        <v>22.08</v>
      </c>
      <c r="H4276" t="s">
        <v>17</v>
      </c>
      <c r="I4276" t="str">
        <f>"062271002836"</f>
        <v>062271002836</v>
      </c>
    </row>
    <row r="4277" spans="1:9" x14ac:dyDescent="0.25">
      <c r="A4277" t="s">
        <v>3791</v>
      </c>
      <c r="B4277" t="s">
        <v>13</v>
      </c>
      <c r="C4277">
        <v>16</v>
      </c>
      <c r="D4277">
        <v>15</v>
      </c>
      <c r="E4277" t="s">
        <v>17</v>
      </c>
      <c r="F4277">
        <v>27.63</v>
      </c>
      <c r="G4277">
        <v>28.4</v>
      </c>
      <c r="H4277" t="s">
        <v>17</v>
      </c>
      <c r="I4277" t="str">
        <f>"061839002253"</f>
        <v>061839002253</v>
      </c>
    </row>
    <row r="4278" spans="1:9" x14ac:dyDescent="0.25">
      <c r="A4278" t="s">
        <v>3792</v>
      </c>
      <c r="B4278" t="s">
        <v>13</v>
      </c>
      <c r="C4278">
        <v>34.979999999999997</v>
      </c>
      <c r="D4278">
        <v>41.71</v>
      </c>
      <c r="E4278" t="s">
        <v>17</v>
      </c>
      <c r="F4278">
        <v>25.44</v>
      </c>
      <c r="G4278">
        <v>22.94</v>
      </c>
      <c r="H4278" t="s">
        <v>17</v>
      </c>
      <c r="I4278" t="str">
        <f>"062250002725"</f>
        <v>062250002725</v>
      </c>
    </row>
    <row r="4279" spans="1:9" x14ac:dyDescent="0.25">
      <c r="A4279" t="s">
        <v>3793</v>
      </c>
      <c r="B4279" t="s">
        <v>13</v>
      </c>
      <c r="C4279">
        <v>18</v>
      </c>
      <c r="D4279">
        <v>18</v>
      </c>
      <c r="E4279" t="s">
        <v>17</v>
      </c>
      <c r="F4279">
        <v>27.83</v>
      </c>
      <c r="G4279">
        <v>28.11</v>
      </c>
      <c r="H4279" t="s">
        <v>17</v>
      </c>
      <c r="I4279" t="str">
        <f>"061785002203"</f>
        <v>061785002203</v>
      </c>
    </row>
    <row r="4280" spans="1:9" x14ac:dyDescent="0.25">
      <c r="A4280" t="s">
        <v>3794</v>
      </c>
      <c r="B4280" t="s">
        <v>13</v>
      </c>
      <c r="C4280">
        <v>73.239999999999995</v>
      </c>
      <c r="D4280">
        <v>87.43</v>
      </c>
      <c r="E4280" t="s">
        <v>17</v>
      </c>
      <c r="F4280">
        <v>26.3</v>
      </c>
      <c r="G4280">
        <v>23.13</v>
      </c>
      <c r="H4280" t="s">
        <v>17</v>
      </c>
      <c r="I4280" t="str">
        <f>"062927004519"</f>
        <v>062927004519</v>
      </c>
    </row>
    <row r="4281" spans="1:9" x14ac:dyDescent="0.25">
      <c r="A4281" t="s">
        <v>3795</v>
      </c>
      <c r="B4281" t="s">
        <v>13</v>
      </c>
      <c r="C4281">
        <v>51.72</v>
      </c>
      <c r="D4281">
        <v>51.93</v>
      </c>
      <c r="E4281" t="s">
        <v>17</v>
      </c>
      <c r="F4281">
        <v>30.68</v>
      </c>
      <c r="G4281">
        <v>30.7</v>
      </c>
      <c r="H4281" t="s">
        <v>17</v>
      </c>
      <c r="I4281" t="str">
        <f>"062250002726"</f>
        <v>062250002726</v>
      </c>
    </row>
    <row r="4282" spans="1:9" x14ac:dyDescent="0.25">
      <c r="A4282" t="s">
        <v>3796</v>
      </c>
      <c r="B4282" t="s">
        <v>13</v>
      </c>
      <c r="C4282">
        <v>13</v>
      </c>
      <c r="D4282">
        <v>14</v>
      </c>
      <c r="E4282" t="s">
        <v>17</v>
      </c>
      <c r="F4282">
        <v>21.62</v>
      </c>
      <c r="G4282">
        <v>24.07</v>
      </c>
      <c r="H4282" t="s">
        <v>17</v>
      </c>
      <c r="I4282" t="str">
        <f>"061788007291"</f>
        <v>061788007291</v>
      </c>
    </row>
    <row r="4283" spans="1:9" x14ac:dyDescent="0.25">
      <c r="A4283" t="s">
        <v>3797</v>
      </c>
      <c r="B4283" t="s">
        <v>13</v>
      </c>
      <c r="C4283">
        <v>1</v>
      </c>
      <c r="D4283">
        <v>1</v>
      </c>
      <c r="E4283" t="s">
        <v>17</v>
      </c>
      <c r="F4283">
        <v>4</v>
      </c>
      <c r="G4283">
        <v>5</v>
      </c>
      <c r="H4283" t="s">
        <v>17</v>
      </c>
      <c r="I4283" t="str">
        <f>"060006012090"</f>
        <v>060006012090</v>
      </c>
    </row>
    <row r="4284" spans="1:9" x14ac:dyDescent="0.25">
      <c r="A4284" t="s">
        <v>3798</v>
      </c>
      <c r="B4284" t="s">
        <v>13</v>
      </c>
      <c r="C4284">
        <v>29</v>
      </c>
      <c r="D4284">
        <v>28</v>
      </c>
      <c r="E4284" t="s">
        <v>17</v>
      </c>
      <c r="F4284">
        <v>20.93</v>
      </c>
      <c r="G4284">
        <v>21.21</v>
      </c>
      <c r="H4284" t="s">
        <v>17</v>
      </c>
      <c r="I4284" t="str">
        <f>"060006002209"</f>
        <v>060006002209</v>
      </c>
    </row>
    <row r="4285" spans="1:9" x14ac:dyDescent="0.25">
      <c r="A4285" t="s">
        <v>3799</v>
      </c>
      <c r="B4285" t="s">
        <v>13</v>
      </c>
      <c r="C4285">
        <v>32.799999999999997</v>
      </c>
      <c r="D4285">
        <v>33.5</v>
      </c>
      <c r="E4285" t="s">
        <v>17</v>
      </c>
      <c r="F4285">
        <v>23.02</v>
      </c>
      <c r="G4285">
        <v>22.39</v>
      </c>
      <c r="H4285" t="s">
        <v>17</v>
      </c>
      <c r="I4285" t="str">
        <f>"060006002212"</f>
        <v>060006002212</v>
      </c>
    </row>
    <row r="4286" spans="1:9" x14ac:dyDescent="0.25">
      <c r="A4286" t="s">
        <v>3800</v>
      </c>
      <c r="B4286" t="s">
        <v>13</v>
      </c>
      <c r="C4286">
        <v>20</v>
      </c>
      <c r="D4286">
        <v>22</v>
      </c>
      <c r="E4286" t="s">
        <v>17</v>
      </c>
      <c r="F4286">
        <v>28.3</v>
      </c>
      <c r="G4286">
        <v>26.82</v>
      </c>
      <c r="H4286" t="s">
        <v>17</v>
      </c>
      <c r="I4286" t="str">
        <f>"060297000232"</f>
        <v>060297000232</v>
      </c>
    </row>
    <row r="4287" spans="1:9" x14ac:dyDescent="0.25">
      <c r="A4287" t="s">
        <v>3801</v>
      </c>
      <c r="B4287" t="s">
        <v>13</v>
      </c>
      <c r="C4287">
        <v>19.75</v>
      </c>
      <c r="D4287">
        <v>18.690000000000001</v>
      </c>
      <c r="E4287" t="s">
        <v>17</v>
      </c>
      <c r="F4287">
        <v>22.99</v>
      </c>
      <c r="G4287">
        <v>26.38</v>
      </c>
      <c r="H4287" t="s">
        <v>17</v>
      </c>
      <c r="I4287" t="str">
        <f>"062271012711"</f>
        <v>062271012711</v>
      </c>
    </row>
    <row r="4288" spans="1:9" x14ac:dyDescent="0.25">
      <c r="A4288" t="s">
        <v>3802</v>
      </c>
      <c r="B4288" t="s">
        <v>13</v>
      </c>
      <c r="C4288">
        <v>23</v>
      </c>
      <c r="D4288">
        <v>27.01</v>
      </c>
      <c r="E4288" t="s">
        <v>17</v>
      </c>
      <c r="F4288">
        <v>19.649999999999999</v>
      </c>
      <c r="G4288">
        <v>18.100000000000001</v>
      </c>
      <c r="H4288" t="s">
        <v>17</v>
      </c>
      <c r="I4288" t="str">
        <f>"062271012828"</f>
        <v>062271012828</v>
      </c>
    </row>
    <row r="4289" spans="1:9" x14ac:dyDescent="0.25">
      <c r="A4289" t="s">
        <v>3803</v>
      </c>
      <c r="B4289" t="s">
        <v>13</v>
      </c>
      <c r="C4289" t="s">
        <v>17</v>
      </c>
      <c r="D4289" t="s">
        <v>14</v>
      </c>
      <c r="E4289" t="s">
        <v>14</v>
      </c>
      <c r="F4289" t="s">
        <v>17</v>
      </c>
      <c r="G4289" t="s">
        <v>14</v>
      </c>
      <c r="H4289" t="s">
        <v>14</v>
      </c>
      <c r="I4289" t="str">
        <f>"062271013579"</f>
        <v>062271013579</v>
      </c>
    </row>
    <row r="4290" spans="1:9" x14ac:dyDescent="0.25">
      <c r="A4290" t="s">
        <v>3804</v>
      </c>
      <c r="B4290" t="s">
        <v>13</v>
      </c>
      <c r="C4290" t="s">
        <v>14</v>
      </c>
      <c r="D4290" t="s">
        <v>14</v>
      </c>
      <c r="E4290" t="s">
        <v>17</v>
      </c>
      <c r="F4290" t="s">
        <v>14</v>
      </c>
      <c r="G4290" t="s">
        <v>14</v>
      </c>
      <c r="H4290" t="s">
        <v>17</v>
      </c>
      <c r="I4290" t="str">
        <f>"060005203081"</f>
        <v>060005203081</v>
      </c>
    </row>
    <row r="4291" spans="1:9" x14ac:dyDescent="0.25">
      <c r="A4291" t="s">
        <v>3805</v>
      </c>
      <c r="B4291" t="s">
        <v>13</v>
      </c>
      <c r="C4291">
        <v>1</v>
      </c>
      <c r="D4291">
        <v>1</v>
      </c>
      <c r="E4291" t="s">
        <v>17</v>
      </c>
      <c r="F4291">
        <v>12</v>
      </c>
      <c r="G4291">
        <v>11</v>
      </c>
      <c r="H4291" t="s">
        <v>17</v>
      </c>
      <c r="I4291" t="str">
        <f>"069100910797"</f>
        <v>069100910797</v>
      </c>
    </row>
    <row r="4292" spans="1:9" x14ac:dyDescent="0.25">
      <c r="A4292" t="s">
        <v>3806</v>
      </c>
      <c r="B4292" t="s">
        <v>13</v>
      </c>
      <c r="C4292">
        <v>1</v>
      </c>
      <c r="D4292">
        <v>1</v>
      </c>
      <c r="E4292" t="s">
        <v>17</v>
      </c>
      <c r="F4292">
        <v>13</v>
      </c>
      <c r="G4292">
        <v>14</v>
      </c>
      <c r="H4292" t="s">
        <v>17</v>
      </c>
      <c r="I4292" t="str">
        <f>"069100910798"</f>
        <v>069100910798</v>
      </c>
    </row>
    <row r="4293" spans="1:9" x14ac:dyDescent="0.25">
      <c r="A4293" t="s">
        <v>3807</v>
      </c>
      <c r="B4293" t="s">
        <v>13</v>
      </c>
      <c r="C4293" t="s">
        <v>17</v>
      </c>
      <c r="D4293" t="s">
        <v>17</v>
      </c>
      <c r="E4293" t="s">
        <v>17</v>
      </c>
      <c r="F4293" t="s">
        <v>17</v>
      </c>
      <c r="G4293" t="s">
        <v>17</v>
      </c>
      <c r="H4293" t="s">
        <v>17</v>
      </c>
      <c r="I4293" t="str">
        <f>"060010010802"</f>
        <v>060010010802</v>
      </c>
    </row>
    <row r="4294" spans="1:9" x14ac:dyDescent="0.25">
      <c r="A4294" t="s">
        <v>3808</v>
      </c>
      <c r="B4294" t="s">
        <v>13</v>
      </c>
      <c r="C4294">
        <v>4.78</v>
      </c>
      <c r="D4294">
        <v>4.4800000000000004</v>
      </c>
      <c r="E4294" t="s">
        <v>17</v>
      </c>
      <c r="F4294">
        <v>11.92</v>
      </c>
      <c r="G4294">
        <v>9.82</v>
      </c>
      <c r="H4294" t="s">
        <v>17</v>
      </c>
      <c r="I4294" t="str">
        <f>"069100711584"</f>
        <v>069100711584</v>
      </c>
    </row>
    <row r="4295" spans="1:9" x14ac:dyDescent="0.25">
      <c r="A4295" t="s">
        <v>3809</v>
      </c>
      <c r="B4295" t="s">
        <v>13</v>
      </c>
      <c r="C4295">
        <v>35</v>
      </c>
      <c r="D4295">
        <v>33</v>
      </c>
      <c r="E4295" t="s">
        <v>17</v>
      </c>
      <c r="F4295">
        <v>23.54</v>
      </c>
      <c r="G4295">
        <v>24.97</v>
      </c>
      <c r="H4295" t="s">
        <v>17</v>
      </c>
      <c r="I4295" t="str">
        <f>"062271003096"</f>
        <v>062271003096</v>
      </c>
    </row>
    <row r="4296" spans="1:9" x14ac:dyDescent="0.25">
      <c r="A4296" t="s">
        <v>3810</v>
      </c>
      <c r="B4296" t="s">
        <v>13</v>
      </c>
      <c r="C4296">
        <v>9.99</v>
      </c>
      <c r="D4296" t="s">
        <v>14</v>
      </c>
      <c r="E4296" t="s">
        <v>14</v>
      </c>
      <c r="F4296">
        <v>15.92</v>
      </c>
      <c r="G4296" t="s">
        <v>14</v>
      </c>
      <c r="H4296" t="s">
        <v>14</v>
      </c>
      <c r="I4296" t="str">
        <f>"062703013064"</f>
        <v>062703013064</v>
      </c>
    </row>
    <row r="4297" spans="1:9" x14ac:dyDescent="0.25">
      <c r="A4297" t="s">
        <v>3811</v>
      </c>
      <c r="B4297" t="s">
        <v>13</v>
      </c>
      <c r="C4297">
        <v>13</v>
      </c>
      <c r="D4297">
        <v>12</v>
      </c>
      <c r="E4297" t="s">
        <v>17</v>
      </c>
      <c r="F4297">
        <v>25.77</v>
      </c>
      <c r="G4297">
        <v>25.42</v>
      </c>
      <c r="H4297" t="s">
        <v>17</v>
      </c>
      <c r="I4297" t="str">
        <f>"062720011360"</f>
        <v>062720011360</v>
      </c>
    </row>
    <row r="4298" spans="1:9" x14ac:dyDescent="0.25">
      <c r="A4298" t="s">
        <v>3811</v>
      </c>
      <c r="B4298" t="s">
        <v>13</v>
      </c>
      <c r="C4298">
        <v>32</v>
      </c>
      <c r="D4298">
        <v>36</v>
      </c>
      <c r="E4298" t="s">
        <v>17</v>
      </c>
      <c r="F4298">
        <v>18.91</v>
      </c>
      <c r="G4298">
        <v>18.940000000000001</v>
      </c>
      <c r="H4298" t="s">
        <v>17</v>
      </c>
      <c r="I4298" t="str">
        <f>"063417005362"</f>
        <v>063417005362</v>
      </c>
    </row>
    <row r="4299" spans="1:9" x14ac:dyDescent="0.25">
      <c r="A4299" t="s">
        <v>3812</v>
      </c>
      <c r="B4299" t="s">
        <v>13</v>
      </c>
      <c r="C4299">
        <v>103.59</v>
      </c>
      <c r="D4299">
        <v>99.08</v>
      </c>
      <c r="E4299" t="s">
        <v>17</v>
      </c>
      <c r="F4299">
        <v>28.08</v>
      </c>
      <c r="G4299">
        <v>28.37</v>
      </c>
      <c r="H4299" t="s">
        <v>17</v>
      </c>
      <c r="I4299" t="str">
        <f>"061806002230"</f>
        <v>061806002230</v>
      </c>
    </row>
    <row r="4300" spans="1:9" x14ac:dyDescent="0.25">
      <c r="A4300" t="s">
        <v>3813</v>
      </c>
      <c r="B4300" t="s">
        <v>13</v>
      </c>
      <c r="C4300">
        <v>24</v>
      </c>
      <c r="D4300">
        <v>25</v>
      </c>
      <c r="E4300" t="s">
        <v>17</v>
      </c>
      <c r="F4300">
        <v>21.17</v>
      </c>
      <c r="G4300">
        <v>21.08</v>
      </c>
      <c r="H4300" t="s">
        <v>17</v>
      </c>
      <c r="I4300" t="str">
        <f>"062271003097"</f>
        <v>062271003097</v>
      </c>
    </row>
    <row r="4301" spans="1:9" x14ac:dyDescent="0.25">
      <c r="A4301" t="s">
        <v>3814</v>
      </c>
      <c r="B4301" t="s">
        <v>13</v>
      </c>
      <c r="C4301">
        <v>33.04</v>
      </c>
      <c r="D4301">
        <v>33.6</v>
      </c>
      <c r="E4301" t="s">
        <v>17</v>
      </c>
      <c r="F4301">
        <v>23.18</v>
      </c>
      <c r="G4301">
        <v>23.57</v>
      </c>
      <c r="H4301" t="s">
        <v>17</v>
      </c>
      <c r="I4301" t="str">
        <f>"063486005885"</f>
        <v>063486005885</v>
      </c>
    </row>
    <row r="4302" spans="1:9" x14ac:dyDescent="0.25">
      <c r="A4302" t="s">
        <v>3815</v>
      </c>
      <c r="B4302" t="s">
        <v>13</v>
      </c>
      <c r="C4302">
        <v>22</v>
      </c>
      <c r="D4302">
        <v>23</v>
      </c>
      <c r="E4302" t="s">
        <v>17</v>
      </c>
      <c r="F4302">
        <v>23.95</v>
      </c>
      <c r="G4302">
        <v>23.83</v>
      </c>
      <c r="H4302" t="s">
        <v>17</v>
      </c>
      <c r="I4302" t="str">
        <f>"062271011647"</f>
        <v>062271011647</v>
      </c>
    </row>
    <row r="4303" spans="1:9" x14ac:dyDescent="0.25">
      <c r="A4303" t="s">
        <v>3816</v>
      </c>
      <c r="B4303" t="s">
        <v>13</v>
      </c>
      <c r="C4303">
        <v>69.25</v>
      </c>
      <c r="D4303">
        <v>155.11000000000001</v>
      </c>
      <c r="E4303" t="s">
        <v>17</v>
      </c>
      <c r="F4303">
        <v>32.9</v>
      </c>
      <c r="G4303">
        <v>22.76</v>
      </c>
      <c r="H4303" t="s">
        <v>17</v>
      </c>
      <c r="I4303" t="str">
        <f>"062271003098"</f>
        <v>062271003098</v>
      </c>
    </row>
    <row r="4304" spans="1:9" x14ac:dyDescent="0.25">
      <c r="A4304" t="s">
        <v>3817</v>
      </c>
      <c r="B4304" t="s">
        <v>13</v>
      </c>
      <c r="C4304">
        <v>24.6</v>
      </c>
      <c r="D4304">
        <v>23</v>
      </c>
      <c r="E4304" t="s">
        <v>17</v>
      </c>
      <c r="F4304">
        <v>28.33</v>
      </c>
      <c r="G4304">
        <v>31.43</v>
      </c>
      <c r="H4304" t="s">
        <v>17</v>
      </c>
      <c r="I4304" t="str">
        <f>"061803008242"</f>
        <v>061803008242</v>
      </c>
    </row>
    <row r="4305" spans="1:9" x14ac:dyDescent="0.25">
      <c r="A4305" t="s">
        <v>3818</v>
      </c>
      <c r="B4305" t="s">
        <v>13</v>
      </c>
      <c r="C4305">
        <v>19</v>
      </c>
      <c r="D4305">
        <v>21</v>
      </c>
      <c r="E4305" t="s">
        <v>14</v>
      </c>
      <c r="F4305">
        <v>27.11</v>
      </c>
      <c r="G4305">
        <v>25.95</v>
      </c>
      <c r="H4305" t="s">
        <v>14</v>
      </c>
      <c r="I4305" t="str">
        <f>"062720012979"</f>
        <v>062720012979</v>
      </c>
    </row>
    <row r="4306" spans="1:9" x14ac:dyDescent="0.25">
      <c r="A4306" t="s">
        <v>3819</v>
      </c>
      <c r="B4306" t="s">
        <v>13</v>
      </c>
      <c r="C4306">
        <v>28.5</v>
      </c>
      <c r="D4306">
        <v>28</v>
      </c>
      <c r="E4306" t="s">
        <v>17</v>
      </c>
      <c r="F4306">
        <v>22.77</v>
      </c>
      <c r="G4306">
        <v>23.14</v>
      </c>
      <c r="H4306" t="s">
        <v>17</v>
      </c>
      <c r="I4306" t="str">
        <f>"063375005202"</f>
        <v>063375005202</v>
      </c>
    </row>
    <row r="4307" spans="1:9" x14ac:dyDescent="0.25">
      <c r="A4307" t="s">
        <v>3819</v>
      </c>
      <c r="B4307" t="s">
        <v>13</v>
      </c>
      <c r="C4307">
        <v>21.06</v>
      </c>
      <c r="D4307">
        <v>22.06</v>
      </c>
      <c r="E4307" t="s">
        <v>17</v>
      </c>
      <c r="F4307">
        <v>28.02</v>
      </c>
      <c r="G4307">
        <v>27.29</v>
      </c>
      <c r="H4307" t="s">
        <v>17</v>
      </c>
      <c r="I4307" t="str">
        <f>"064116001847"</f>
        <v>064116001847</v>
      </c>
    </row>
    <row r="4308" spans="1:9" x14ac:dyDescent="0.25">
      <c r="A4308" t="s">
        <v>3820</v>
      </c>
      <c r="B4308" t="s">
        <v>13</v>
      </c>
      <c r="C4308">
        <v>35.5</v>
      </c>
      <c r="D4308">
        <v>33.5</v>
      </c>
      <c r="E4308" t="s">
        <v>17</v>
      </c>
      <c r="F4308">
        <v>23.75</v>
      </c>
      <c r="G4308">
        <v>24.54</v>
      </c>
      <c r="H4308" t="s">
        <v>17</v>
      </c>
      <c r="I4308" t="str">
        <f>"060912000934"</f>
        <v>060912000934</v>
      </c>
    </row>
    <row r="4309" spans="1:9" x14ac:dyDescent="0.25">
      <c r="A4309" t="s">
        <v>3821</v>
      </c>
      <c r="B4309" t="s">
        <v>13</v>
      </c>
      <c r="C4309">
        <v>20.010000000000002</v>
      </c>
      <c r="D4309">
        <v>20</v>
      </c>
      <c r="E4309" t="s">
        <v>17</v>
      </c>
      <c r="F4309">
        <v>18.440000000000001</v>
      </c>
      <c r="G4309">
        <v>19.149999999999999</v>
      </c>
      <c r="H4309" t="s">
        <v>17</v>
      </c>
      <c r="I4309" t="str">
        <f>"060912005748"</f>
        <v>060912005748</v>
      </c>
    </row>
    <row r="4310" spans="1:9" x14ac:dyDescent="0.25">
      <c r="A4310" t="s">
        <v>3822</v>
      </c>
      <c r="B4310" t="s">
        <v>13</v>
      </c>
      <c r="C4310">
        <v>1.21</v>
      </c>
      <c r="D4310">
        <v>1.1299999999999999</v>
      </c>
      <c r="E4310" t="s">
        <v>17</v>
      </c>
      <c r="F4310">
        <v>9.09</v>
      </c>
      <c r="G4310">
        <v>10.62</v>
      </c>
      <c r="H4310" t="s">
        <v>17</v>
      </c>
      <c r="I4310" t="str">
        <f>"060001809109"</f>
        <v>060001809109</v>
      </c>
    </row>
    <row r="4311" spans="1:9" x14ac:dyDescent="0.25">
      <c r="A4311" t="s">
        <v>3823</v>
      </c>
      <c r="B4311" t="s">
        <v>13</v>
      </c>
      <c r="C4311">
        <v>16</v>
      </c>
      <c r="D4311">
        <v>17</v>
      </c>
      <c r="E4311" t="s">
        <v>17</v>
      </c>
      <c r="F4311">
        <v>32.75</v>
      </c>
      <c r="G4311">
        <v>30.29</v>
      </c>
      <c r="H4311" t="s">
        <v>17</v>
      </c>
      <c r="I4311" t="str">
        <f>"063444005690"</f>
        <v>063444005690</v>
      </c>
    </row>
    <row r="4312" spans="1:9" x14ac:dyDescent="0.25">
      <c r="A4312" t="s">
        <v>3823</v>
      </c>
      <c r="B4312" t="s">
        <v>13</v>
      </c>
      <c r="C4312" t="s">
        <v>14</v>
      </c>
      <c r="D4312">
        <v>11.75</v>
      </c>
      <c r="E4312" t="s">
        <v>17</v>
      </c>
      <c r="F4312" t="s">
        <v>17</v>
      </c>
      <c r="G4312">
        <v>26.3</v>
      </c>
      <c r="H4312" t="s">
        <v>17</v>
      </c>
      <c r="I4312" t="str">
        <f>"063315005144"</f>
        <v>063315005144</v>
      </c>
    </row>
    <row r="4313" spans="1:9" x14ac:dyDescent="0.25">
      <c r="A4313" t="s">
        <v>3824</v>
      </c>
      <c r="B4313" t="s">
        <v>13</v>
      </c>
      <c r="C4313">
        <v>8.9</v>
      </c>
      <c r="D4313">
        <v>8.9</v>
      </c>
      <c r="E4313" t="s">
        <v>17</v>
      </c>
      <c r="F4313">
        <v>18.43</v>
      </c>
      <c r="G4313">
        <v>17.53</v>
      </c>
      <c r="H4313" t="s">
        <v>17</v>
      </c>
      <c r="I4313" t="str">
        <f>"061812002237"</f>
        <v>061812002237</v>
      </c>
    </row>
    <row r="4314" spans="1:9" x14ac:dyDescent="0.25">
      <c r="A4314" t="s">
        <v>3825</v>
      </c>
      <c r="B4314" t="s">
        <v>13</v>
      </c>
      <c r="C4314">
        <v>29</v>
      </c>
      <c r="D4314">
        <v>30.5</v>
      </c>
      <c r="E4314" t="s">
        <v>17</v>
      </c>
      <c r="F4314">
        <v>17.55</v>
      </c>
      <c r="G4314">
        <v>17.510000000000002</v>
      </c>
      <c r="H4314" t="s">
        <v>17</v>
      </c>
      <c r="I4314" t="str">
        <f>"063432011384"</f>
        <v>063432011384</v>
      </c>
    </row>
    <row r="4315" spans="1:9" x14ac:dyDescent="0.25">
      <c r="A4315" t="s">
        <v>3826</v>
      </c>
      <c r="B4315" t="s">
        <v>13</v>
      </c>
      <c r="C4315">
        <v>8</v>
      </c>
      <c r="D4315">
        <v>6</v>
      </c>
      <c r="E4315" t="s">
        <v>17</v>
      </c>
      <c r="F4315">
        <v>36</v>
      </c>
      <c r="G4315">
        <v>42</v>
      </c>
      <c r="H4315" t="s">
        <v>17</v>
      </c>
      <c r="I4315" t="str">
        <f>"061839012467"</f>
        <v>061839012467</v>
      </c>
    </row>
    <row r="4316" spans="1:9" x14ac:dyDescent="0.25">
      <c r="A4316" t="s">
        <v>3827</v>
      </c>
      <c r="B4316" t="s">
        <v>13</v>
      </c>
      <c r="C4316">
        <v>2</v>
      </c>
      <c r="D4316">
        <v>4</v>
      </c>
      <c r="E4316" t="s">
        <v>17</v>
      </c>
      <c r="F4316">
        <v>95</v>
      </c>
      <c r="G4316">
        <v>61</v>
      </c>
      <c r="H4316" t="s">
        <v>17</v>
      </c>
      <c r="I4316" t="str">
        <f>"061839012531"</f>
        <v>061839012531</v>
      </c>
    </row>
    <row r="4317" spans="1:9" x14ac:dyDescent="0.25">
      <c r="A4317" t="s">
        <v>3828</v>
      </c>
      <c r="B4317" t="s">
        <v>13</v>
      </c>
      <c r="C4317">
        <v>12</v>
      </c>
      <c r="D4317">
        <v>7.5</v>
      </c>
      <c r="E4317" t="s">
        <v>17</v>
      </c>
      <c r="F4317">
        <v>26</v>
      </c>
      <c r="G4317">
        <v>40.270000000000003</v>
      </c>
      <c r="H4317" t="s">
        <v>17</v>
      </c>
      <c r="I4317" t="str">
        <f>"062271012222"</f>
        <v>062271012222</v>
      </c>
    </row>
    <row r="4318" spans="1:9" x14ac:dyDescent="0.25">
      <c r="A4318" t="s">
        <v>3829</v>
      </c>
      <c r="B4318" t="s">
        <v>13</v>
      </c>
      <c r="C4318">
        <v>6</v>
      </c>
      <c r="D4318">
        <v>6</v>
      </c>
      <c r="E4318" t="s">
        <v>17</v>
      </c>
      <c r="F4318">
        <v>33.17</v>
      </c>
      <c r="G4318">
        <v>32</v>
      </c>
      <c r="H4318" t="s">
        <v>17</v>
      </c>
      <c r="I4318" t="str">
        <f>"062271011954"</f>
        <v>062271011954</v>
      </c>
    </row>
    <row r="4319" spans="1:9" x14ac:dyDescent="0.25">
      <c r="A4319" t="s">
        <v>3830</v>
      </c>
      <c r="B4319" t="s">
        <v>13</v>
      </c>
      <c r="C4319">
        <v>22</v>
      </c>
      <c r="D4319">
        <v>18</v>
      </c>
      <c r="E4319" t="s">
        <v>17</v>
      </c>
      <c r="F4319">
        <v>25.41</v>
      </c>
      <c r="G4319">
        <v>24.78</v>
      </c>
      <c r="H4319" t="s">
        <v>17</v>
      </c>
      <c r="I4319" t="str">
        <f>"062640001486"</f>
        <v>062640001486</v>
      </c>
    </row>
    <row r="4320" spans="1:9" x14ac:dyDescent="0.25">
      <c r="A4320" t="s">
        <v>3831</v>
      </c>
      <c r="B4320" t="s">
        <v>13</v>
      </c>
      <c r="C4320">
        <v>16.600000000000001</v>
      </c>
      <c r="D4320">
        <v>16.8</v>
      </c>
      <c r="E4320" t="s">
        <v>17</v>
      </c>
      <c r="F4320">
        <v>16.989999999999998</v>
      </c>
      <c r="G4320">
        <v>17.260000000000002</v>
      </c>
      <c r="H4320" t="s">
        <v>17</v>
      </c>
      <c r="I4320" t="str">
        <f>"061692002155"</f>
        <v>061692002155</v>
      </c>
    </row>
    <row r="4321" spans="1:9" x14ac:dyDescent="0.25">
      <c r="A4321" t="s">
        <v>3832</v>
      </c>
      <c r="B4321" t="s">
        <v>13</v>
      </c>
      <c r="C4321">
        <v>20</v>
      </c>
      <c r="D4321">
        <v>21</v>
      </c>
      <c r="E4321" t="s">
        <v>17</v>
      </c>
      <c r="F4321">
        <v>19.75</v>
      </c>
      <c r="G4321">
        <v>17.95</v>
      </c>
      <c r="H4321" t="s">
        <v>17</v>
      </c>
      <c r="I4321" t="str">
        <f>"063432011385"</f>
        <v>063432011385</v>
      </c>
    </row>
    <row r="4322" spans="1:9" x14ac:dyDescent="0.25">
      <c r="A4322" t="s">
        <v>3833</v>
      </c>
      <c r="B4322" t="s">
        <v>13</v>
      </c>
      <c r="C4322">
        <v>6</v>
      </c>
      <c r="D4322">
        <v>6.15</v>
      </c>
      <c r="E4322" t="s">
        <v>17</v>
      </c>
      <c r="F4322">
        <v>24.5</v>
      </c>
      <c r="G4322">
        <v>14.63</v>
      </c>
      <c r="H4322" t="s">
        <v>17</v>
      </c>
      <c r="I4322" t="str">
        <f>"063432012577"</f>
        <v>063432012577</v>
      </c>
    </row>
    <row r="4323" spans="1:9" x14ac:dyDescent="0.25">
      <c r="A4323" t="s">
        <v>3834</v>
      </c>
      <c r="B4323" t="s">
        <v>13</v>
      </c>
      <c r="C4323">
        <v>3</v>
      </c>
      <c r="D4323">
        <v>3</v>
      </c>
      <c r="E4323" t="s">
        <v>17</v>
      </c>
      <c r="F4323">
        <v>22.33</v>
      </c>
      <c r="G4323">
        <v>21.67</v>
      </c>
      <c r="H4323" t="s">
        <v>17</v>
      </c>
      <c r="I4323" t="str">
        <f>"061816002238"</f>
        <v>061816002238</v>
      </c>
    </row>
    <row r="4324" spans="1:9" x14ac:dyDescent="0.25">
      <c r="A4324" t="s">
        <v>3835</v>
      </c>
      <c r="B4324" t="s">
        <v>13</v>
      </c>
      <c r="C4324">
        <v>8.33</v>
      </c>
      <c r="D4324">
        <v>6</v>
      </c>
      <c r="E4324" t="s">
        <v>17</v>
      </c>
      <c r="F4324">
        <v>5.88</v>
      </c>
      <c r="G4324">
        <v>9.67</v>
      </c>
      <c r="H4324" t="s">
        <v>17</v>
      </c>
      <c r="I4324" t="str">
        <f>"063432012534"</f>
        <v>063432012534</v>
      </c>
    </row>
    <row r="4325" spans="1:9" x14ac:dyDescent="0.25">
      <c r="A4325" t="s">
        <v>3836</v>
      </c>
      <c r="B4325" t="s">
        <v>13</v>
      </c>
      <c r="C4325">
        <v>4</v>
      </c>
      <c r="D4325" t="s">
        <v>14</v>
      </c>
      <c r="E4325" t="s">
        <v>14</v>
      </c>
      <c r="F4325">
        <v>28</v>
      </c>
      <c r="G4325" t="s">
        <v>14</v>
      </c>
      <c r="H4325" t="s">
        <v>14</v>
      </c>
      <c r="I4325" t="str">
        <f>"062088013037"</f>
        <v>062088013037</v>
      </c>
    </row>
    <row r="4326" spans="1:9" x14ac:dyDescent="0.25">
      <c r="A4326" t="s">
        <v>3837</v>
      </c>
      <c r="B4326" t="s">
        <v>13</v>
      </c>
      <c r="C4326" t="s">
        <v>14</v>
      </c>
      <c r="D4326">
        <v>6.2</v>
      </c>
      <c r="E4326" t="s">
        <v>17</v>
      </c>
      <c r="F4326" t="s">
        <v>17</v>
      </c>
      <c r="G4326">
        <v>15.16</v>
      </c>
      <c r="H4326" t="s">
        <v>17</v>
      </c>
      <c r="I4326" t="str">
        <f>"069102512138"</f>
        <v>069102512138</v>
      </c>
    </row>
    <row r="4327" spans="1:9" x14ac:dyDescent="0.25">
      <c r="A4327" t="s">
        <v>3838</v>
      </c>
      <c r="B4327" t="s">
        <v>13</v>
      </c>
      <c r="C4327">
        <v>32</v>
      </c>
      <c r="D4327">
        <v>27</v>
      </c>
      <c r="E4327" t="s">
        <v>17</v>
      </c>
      <c r="F4327">
        <v>23.75</v>
      </c>
      <c r="G4327">
        <v>23.41</v>
      </c>
      <c r="H4327" t="s">
        <v>17</v>
      </c>
      <c r="I4327" t="str">
        <f>"061203012728"</f>
        <v>061203012728</v>
      </c>
    </row>
    <row r="4328" spans="1:9" x14ac:dyDescent="0.25">
      <c r="A4328" t="s">
        <v>3839</v>
      </c>
      <c r="B4328" t="s">
        <v>13</v>
      </c>
      <c r="C4328" t="s">
        <v>17</v>
      </c>
      <c r="D4328" t="s">
        <v>14</v>
      </c>
      <c r="E4328" t="s">
        <v>14</v>
      </c>
      <c r="F4328" t="s">
        <v>17</v>
      </c>
      <c r="G4328" t="s">
        <v>14</v>
      </c>
      <c r="H4328" t="s">
        <v>14</v>
      </c>
      <c r="I4328" t="str">
        <f>"069102612985"</f>
        <v>069102612985</v>
      </c>
    </row>
    <row r="4329" spans="1:9" x14ac:dyDescent="0.25">
      <c r="A4329" t="s">
        <v>3840</v>
      </c>
      <c r="B4329" t="s">
        <v>13</v>
      </c>
      <c r="C4329">
        <v>31.54</v>
      </c>
      <c r="D4329">
        <v>34.33</v>
      </c>
      <c r="E4329" t="s">
        <v>17</v>
      </c>
      <c r="F4329">
        <v>25.05</v>
      </c>
      <c r="G4329">
        <v>24.7</v>
      </c>
      <c r="H4329" t="s">
        <v>17</v>
      </c>
      <c r="I4329" t="str">
        <f>"063697206779"</f>
        <v>063697206779</v>
      </c>
    </row>
    <row r="4330" spans="1:9" x14ac:dyDescent="0.25">
      <c r="A4330" t="s">
        <v>3841</v>
      </c>
      <c r="B4330" t="s">
        <v>13</v>
      </c>
      <c r="C4330">
        <v>20</v>
      </c>
      <c r="D4330">
        <v>20</v>
      </c>
      <c r="E4330" t="s">
        <v>17</v>
      </c>
      <c r="F4330">
        <v>23.1</v>
      </c>
      <c r="G4330">
        <v>21.95</v>
      </c>
      <c r="H4330" t="s">
        <v>17</v>
      </c>
      <c r="I4330" t="str">
        <f>"061674011849"</f>
        <v>061674011849</v>
      </c>
    </row>
    <row r="4331" spans="1:9" x14ac:dyDescent="0.25">
      <c r="A4331" t="s">
        <v>3842</v>
      </c>
      <c r="B4331" t="s">
        <v>13</v>
      </c>
      <c r="C4331">
        <v>2.5</v>
      </c>
      <c r="D4331">
        <v>2.9</v>
      </c>
      <c r="E4331" t="s">
        <v>17</v>
      </c>
      <c r="F4331">
        <v>27.6</v>
      </c>
      <c r="G4331">
        <v>20.34</v>
      </c>
      <c r="H4331" t="s">
        <v>17</v>
      </c>
      <c r="I4331" t="str">
        <f>"061821002242"</f>
        <v>061821002242</v>
      </c>
    </row>
    <row r="4332" spans="1:9" x14ac:dyDescent="0.25">
      <c r="A4332" t="s">
        <v>3843</v>
      </c>
      <c r="B4332" t="s">
        <v>13</v>
      </c>
      <c r="C4332">
        <v>39</v>
      </c>
      <c r="D4332">
        <v>31.2</v>
      </c>
      <c r="E4332" t="s">
        <v>17</v>
      </c>
      <c r="F4332">
        <v>25.13</v>
      </c>
      <c r="G4332">
        <v>25.54</v>
      </c>
      <c r="H4332" t="s">
        <v>17</v>
      </c>
      <c r="I4332" t="str">
        <f>"063738006320"</f>
        <v>063738006320</v>
      </c>
    </row>
    <row r="4333" spans="1:9" x14ac:dyDescent="0.25">
      <c r="A4333" t="s">
        <v>3844</v>
      </c>
      <c r="B4333" t="s">
        <v>13</v>
      </c>
      <c r="C4333">
        <v>7</v>
      </c>
      <c r="D4333">
        <v>8</v>
      </c>
      <c r="E4333" t="s">
        <v>17</v>
      </c>
      <c r="F4333">
        <v>30.71</v>
      </c>
      <c r="G4333">
        <v>31.5</v>
      </c>
      <c r="H4333" t="s">
        <v>17</v>
      </c>
      <c r="I4333" t="str">
        <f>"069101009224"</f>
        <v>069101009224</v>
      </c>
    </row>
    <row r="4334" spans="1:9" x14ac:dyDescent="0.25">
      <c r="A4334" t="s">
        <v>3845</v>
      </c>
      <c r="B4334" t="s">
        <v>13</v>
      </c>
      <c r="C4334">
        <v>29</v>
      </c>
      <c r="D4334">
        <v>29</v>
      </c>
      <c r="E4334" t="s">
        <v>17</v>
      </c>
      <c r="F4334">
        <v>11.21</v>
      </c>
      <c r="G4334">
        <v>10.59</v>
      </c>
      <c r="H4334" t="s">
        <v>17</v>
      </c>
      <c r="I4334" t="str">
        <f>"069101007929"</f>
        <v>069101007929</v>
      </c>
    </row>
    <row r="4335" spans="1:9" x14ac:dyDescent="0.25">
      <c r="A4335" t="s">
        <v>3846</v>
      </c>
      <c r="B4335" t="s">
        <v>13</v>
      </c>
      <c r="C4335">
        <v>24</v>
      </c>
      <c r="D4335">
        <v>22</v>
      </c>
      <c r="E4335" t="s">
        <v>17</v>
      </c>
      <c r="F4335">
        <v>23.54</v>
      </c>
      <c r="G4335">
        <v>25.09</v>
      </c>
      <c r="H4335" t="s">
        <v>17</v>
      </c>
      <c r="I4335" t="str">
        <f>"061146001269"</f>
        <v>061146001269</v>
      </c>
    </row>
    <row r="4336" spans="1:9" x14ac:dyDescent="0.25">
      <c r="A4336" t="s">
        <v>3846</v>
      </c>
      <c r="B4336" t="s">
        <v>13</v>
      </c>
      <c r="C4336">
        <v>18</v>
      </c>
      <c r="D4336">
        <v>15</v>
      </c>
      <c r="E4336" t="s">
        <v>17</v>
      </c>
      <c r="F4336">
        <v>26.56</v>
      </c>
      <c r="G4336">
        <v>27.33</v>
      </c>
      <c r="H4336" t="s">
        <v>17</v>
      </c>
      <c r="I4336" t="str">
        <f>"062865004432"</f>
        <v>062865004432</v>
      </c>
    </row>
    <row r="4337" spans="1:9" x14ac:dyDescent="0.25">
      <c r="A4337" t="s">
        <v>3847</v>
      </c>
      <c r="B4337" t="s">
        <v>13</v>
      </c>
      <c r="C4337">
        <v>39.200000000000003</v>
      </c>
      <c r="D4337">
        <v>38.76</v>
      </c>
      <c r="E4337" t="s">
        <v>17</v>
      </c>
      <c r="F4337">
        <v>26.12</v>
      </c>
      <c r="G4337">
        <v>25.85</v>
      </c>
      <c r="H4337" t="s">
        <v>17</v>
      </c>
      <c r="I4337" t="str">
        <f>"061821002243"</f>
        <v>061821002243</v>
      </c>
    </row>
    <row r="4338" spans="1:9" x14ac:dyDescent="0.25">
      <c r="A4338" t="s">
        <v>3848</v>
      </c>
      <c r="B4338" t="s">
        <v>13</v>
      </c>
      <c r="C4338">
        <v>29.58</v>
      </c>
      <c r="D4338">
        <v>31.57</v>
      </c>
      <c r="E4338" t="s">
        <v>17</v>
      </c>
      <c r="F4338">
        <v>30.12</v>
      </c>
      <c r="G4338">
        <v>29.14</v>
      </c>
      <c r="H4338" t="s">
        <v>17</v>
      </c>
      <c r="I4338" t="str">
        <f>"062019002412"</f>
        <v>062019002412</v>
      </c>
    </row>
    <row r="4339" spans="1:9" x14ac:dyDescent="0.25">
      <c r="A4339" t="s">
        <v>3849</v>
      </c>
      <c r="B4339" t="s">
        <v>13</v>
      </c>
      <c r="C4339">
        <v>1.2</v>
      </c>
      <c r="D4339">
        <v>1</v>
      </c>
      <c r="E4339" t="s">
        <v>17</v>
      </c>
      <c r="F4339">
        <v>27.5</v>
      </c>
      <c r="G4339">
        <v>27</v>
      </c>
      <c r="H4339" t="s">
        <v>17</v>
      </c>
      <c r="I4339" t="str">
        <f>"061203012660"</f>
        <v>061203012660</v>
      </c>
    </row>
    <row r="4340" spans="1:9" x14ac:dyDescent="0.25">
      <c r="A4340" t="s">
        <v>3850</v>
      </c>
      <c r="B4340" t="s">
        <v>13</v>
      </c>
      <c r="C4340" t="s">
        <v>17</v>
      </c>
      <c r="D4340" t="s">
        <v>17</v>
      </c>
      <c r="E4340" t="s">
        <v>17</v>
      </c>
      <c r="F4340" t="s">
        <v>17</v>
      </c>
      <c r="G4340" t="s">
        <v>17</v>
      </c>
      <c r="H4340" t="s">
        <v>17</v>
      </c>
      <c r="I4340" t="str">
        <f>"060010110803"</f>
        <v>060010110803</v>
      </c>
    </row>
    <row r="4341" spans="1:9" x14ac:dyDescent="0.25">
      <c r="A4341" t="s">
        <v>3851</v>
      </c>
      <c r="B4341" t="s">
        <v>13</v>
      </c>
      <c r="C4341">
        <v>22</v>
      </c>
      <c r="D4341">
        <v>22.5</v>
      </c>
      <c r="E4341" t="s">
        <v>17</v>
      </c>
      <c r="F4341">
        <v>25.23</v>
      </c>
      <c r="G4341">
        <v>23.33</v>
      </c>
      <c r="H4341" t="s">
        <v>17</v>
      </c>
      <c r="I4341" t="str">
        <f>"061926002311"</f>
        <v>061926002311</v>
      </c>
    </row>
    <row r="4342" spans="1:9" x14ac:dyDescent="0.25">
      <c r="A4342" t="s">
        <v>3852</v>
      </c>
      <c r="B4342" t="s">
        <v>13</v>
      </c>
      <c r="C4342">
        <v>16.8</v>
      </c>
      <c r="D4342">
        <v>20</v>
      </c>
      <c r="E4342" t="s">
        <v>17</v>
      </c>
      <c r="F4342">
        <v>18.329999999999998</v>
      </c>
      <c r="G4342">
        <v>18.95</v>
      </c>
      <c r="H4342" t="s">
        <v>17</v>
      </c>
      <c r="I4342" t="str">
        <f>"062223008320"</f>
        <v>062223008320</v>
      </c>
    </row>
    <row r="4343" spans="1:9" x14ac:dyDescent="0.25">
      <c r="A4343" t="s">
        <v>3853</v>
      </c>
      <c r="B4343" t="s">
        <v>13</v>
      </c>
      <c r="C4343" t="str">
        <f>"0.75"</f>
        <v>0.75</v>
      </c>
      <c r="D4343" t="str">
        <f>"0.50"</f>
        <v>0.50</v>
      </c>
      <c r="E4343" t="s">
        <v>17</v>
      </c>
      <c r="F4343">
        <v>17.329999999999998</v>
      </c>
      <c r="G4343">
        <v>26</v>
      </c>
      <c r="H4343" t="s">
        <v>17</v>
      </c>
      <c r="I4343" t="str">
        <f>"063390012472"</f>
        <v>063390012472</v>
      </c>
    </row>
    <row r="4344" spans="1:9" x14ac:dyDescent="0.25">
      <c r="A4344" t="s">
        <v>3854</v>
      </c>
      <c r="B4344" t="s">
        <v>13</v>
      </c>
      <c r="C4344">
        <v>5.78</v>
      </c>
      <c r="D4344">
        <v>6.55</v>
      </c>
      <c r="E4344" t="s">
        <v>17</v>
      </c>
      <c r="F4344">
        <v>23.36</v>
      </c>
      <c r="G4344">
        <v>18.170000000000002</v>
      </c>
      <c r="H4344" t="s">
        <v>17</v>
      </c>
      <c r="I4344" t="str">
        <f>"061207001343"</f>
        <v>061207001343</v>
      </c>
    </row>
    <row r="4345" spans="1:9" x14ac:dyDescent="0.25">
      <c r="A4345" t="s">
        <v>3854</v>
      </c>
      <c r="B4345" t="s">
        <v>13</v>
      </c>
      <c r="C4345">
        <v>5.5</v>
      </c>
      <c r="D4345">
        <v>5.01</v>
      </c>
      <c r="E4345" t="s">
        <v>17</v>
      </c>
      <c r="F4345">
        <v>21.64</v>
      </c>
      <c r="G4345">
        <v>24.35</v>
      </c>
      <c r="H4345" t="s">
        <v>17</v>
      </c>
      <c r="I4345" t="str">
        <f>"062271003100"</f>
        <v>062271003100</v>
      </c>
    </row>
    <row r="4346" spans="1:9" x14ac:dyDescent="0.25">
      <c r="A4346" t="s">
        <v>3855</v>
      </c>
      <c r="B4346" t="s">
        <v>13</v>
      </c>
      <c r="C4346">
        <v>1.42</v>
      </c>
      <c r="D4346">
        <v>1</v>
      </c>
      <c r="E4346" t="s">
        <v>17</v>
      </c>
      <c r="F4346">
        <v>8.4499999999999993</v>
      </c>
      <c r="G4346">
        <v>14</v>
      </c>
      <c r="H4346" t="s">
        <v>17</v>
      </c>
      <c r="I4346" t="str">
        <f>"060006808144"</f>
        <v>060006808144</v>
      </c>
    </row>
    <row r="4347" spans="1:9" x14ac:dyDescent="0.25">
      <c r="A4347" t="s">
        <v>3856</v>
      </c>
      <c r="B4347" t="s">
        <v>13</v>
      </c>
      <c r="C4347">
        <v>34</v>
      </c>
      <c r="D4347">
        <v>34</v>
      </c>
      <c r="E4347" t="s">
        <v>17</v>
      </c>
      <c r="F4347">
        <v>22.71</v>
      </c>
      <c r="G4347">
        <v>22.65</v>
      </c>
      <c r="H4347" t="s">
        <v>17</v>
      </c>
      <c r="I4347" t="str">
        <f>"062271007120"</f>
        <v>062271007120</v>
      </c>
    </row>
    <row r="4348" spans="1:9" x14ac:dyDescent="0.25">
      <c r="A4348" t="s">
        <v>3856</v>
      </c>
      <c r="B4348" t="s">
        <v>13</v>
      </c>
      <c r="C4348">
        <v>21</v>
      </c>
      <c r="D4348">
        <v>19</v>
      </c>
      <c r="E4348" t="s">
        <v>17</v>
      </c>
      <c r="F4348">
        <v>23.9</v>
      </c>
      <c r="G4348">
        <v>22.68</v>
      </c>
      <c r="H4348" t="s">
        <v>17</v>
      </c>
      <c r="I4348" t="str">
        <f>"063348007102"</f>
        <v>063348007102</v>
      </c>
    </row>
    <row r="4349" spans="1:9" x14ac:dyDescent="0.25">
      <c r="A4349" t="s">
        <v>3857</v>
      </c>
      <c r="B4349" t="s">
        <v>13</v>
      </c>
      <c r="C4349">
        <v>5.75</v>
      </c>
      <c r="D4349">
        <v>7.75</v>
      </c>
      <c r="E4349" t="s">
        <v>17</v>
      </c>
      <c r="F4349">
        <v>77.22</v>
      </c>
      <c r="G4349">
        <v>62.71</v>
      </c>
      <c r="H4349" t="s">
        <v>17</v>
      </c>
      <c r="I4349" t="str">
        <f>"062160008457"</f>
        <v>062160008457</v>
      </c>
    </row>
    <row r="4350" spans="1:9" x14ac:dyDescent="0.25">
      <c r="A4350" t="s">
        <v>3857</v>
      </c>
      <c r="B4350" t="s">
        <v>13</v>
      </c>
      <c r="C4350">
        <v>70.849999999999994</v>
      </c>
      <c r="D4350">
        <v>68.27</v>
      </c>
      <c r="E4350" t="s">
        <v>17</v>
      </c>
      <c r="F4350">
        <v>26.55</v>
      </c>
      <c r="G4350">
        <v>26.13</v>
      </c>
      <c r="H4350" t="s">
        <v>17</v>
      </c>
      <c r="I4350" t="str">
        <f>"061954012132"</f>
        <v>061954012132</v>
      </c>
    </row>
    <row r="4351" spans="1:9" x14ac:dyDescent="0.25">
      <c r="A4351" t="s">
        <v>3857</v>
      </c>
      <c r="B4351" t="s">
        <v>13</v>
      </c>
      <c r="C4351">
        <v>6.77</v>
      </c>
      <c r="D4351">
        <v>8.3000000000000007</v>
      </c>
      <c r="E4351" t="s">
        <v>17</v>
      </c>
      <c r="F4351">
        <v>22.3</v>
      </c>
      <c r="G4351">
        <v>20.12</v>
      </c>
      <c r="H4351" t="s">
        <v>17</v>
      </c>
      <c r="I4351" t="str">
        <f>"060004812391"</f>
        <v>060004812391</v>
      </c>
    </row>
    <row r="4352" spans="1:9" x14ac:dyDescent="0.25">
      <c r="A4352" t="s">
        <v>3857</v>
      </c>
      <c r="B4352" t="s">
        <v>13</v>
      </c>
      <c r="C4352">
        <v>12.3</v>
      </c>
      <c r="D4352">
        <v>14.73</v>
      </c>
      <c r="E4352" t="s">
        <v>17</v>
      </c>
      <c r="F4352">
        <v>23.98</v>
      </c>
      <c r="G4352">
        <v>18.600000000000001</v>
      </c>
      <c r="H4352" t="s">
        <v>17</v>
      </c>
      <c r="I4352" t="str">
        <f>"063441007840"</f>
        <v>063441007840</v>
      </c>
    </row>
    <row r="4353" spans="1:9" x14ac:dyDescent="0.25">
      <c r="A4353" t="s">
        <v>3857</v>
      </c>
      <c r="B4353" t="s">
        <v>13</v>
      </c>
      <c r="C4353">
        <v>126.35</v>
      </c>
      <c r="D4353">
        <v>129.94999999999999</v>
      </c>
      <c r="E4353" t="s">
        <v>17</v>
      </c>
      <c r="F4353">
        <v>24.99</v>
      </c>
      <c r="G4353">
        <v>25.16</v>
      </c>
      <c r="H4353" t="s">
        <v>17</v>
      </c>
      <c r="I4353" t="str">
        <f>"061182001302"</f>
        <v>061182001302</v>
      </c>
    </row>
    <row r="4354" spans="1:9" x14ac:dyDescent="0.25">
      <c r="A4354" t="s">
        <v>3858</v>
      </c>
      <c r="B4354" t="s">
        <v>13</v>
      </c>
      <c r="C4354">
        <v>11.95</v>
      </c>
      <c r="D4354">
        <v>11.56</v>
      </c>
      <c r="E4354" t="s">
        <v>17</v>
      </c>
      <c r="F4354">
        <v>12.89</v>
      </c>
      <c r="G4354">
        <v>14.97</v>
      </c>
      <c r="H4354" t="s">
        <v>17</v>
      </c>
      <c r="I4354" t="str">
        <f>"063363010036"</f>
        <v>063363010036</v>
      </c>
    </row>
    <row r="4355" spans="1:9" x14ac:dyDescent="0.25">
      <c r="A4355" t="s">
        <v>3858</v>
      </c>
      <c r="B4355" t="s">
        <v>13</v>
      </c>
      <c r="C4355">
        <v>3</v>
      </c>
      <c r="D4355">
        <v>1.5</v>
      </c>
      <c r="E4355" t="s">
        <v>17</v>
      </c>
      <c r="F4355">
        <v>20.67</v>
      </c>
      <c r="G4355">
        <v>47.33</v>
      </c>
      <c r="H4355" t="s">
        <v>17</v>
      </c>
      <c r="I4355" t="str">
        <f>"060015310932"</f>
        <v>060015310932</v>
      </c>
    </row>
    <row r="4356" spans="1:9" x14ac:dyDescent="0.25">
      <c r="A4356" t="s">
        <v>3858</v>
      </c>
      <c r="B4356" t="s">
        <v>13</v>
      </c>
      <c r="C4356">
        <v>7.1</v>
      </c>
      <c r="D4356">
        <v>9.5</v>
      </c>
      <c r="E4356" t="s">
        <v>17</v>
      </c>
      <c r="F4356">
        <v>12.25</v>
      </c>
      <c r="G4356">
        <v>17.260000000000002</v>
      </c>
      <c r="H4356" t="s">
        <v>17</v>
      </c>
      <c r="I4356" t="str">
        <f>"062466008164"</f>
        <v>062466008164</v>
      </c>
    </row>
    <row r="4357" spans="1:9" x14ac:dyDescent="0.25">
      <c r="A4357" t="s">
        <v>3859</v>
      </c>
      <c r="B4357" t="s">
        <v>13</v>
      </c>
      <c r="C4357">
        <v>3.25</v>
      </c>
      <c r="D4357">
        <v>4.0999999999999996</v>
      </c>
      <c r="E4357" t="s">
        <v>17</v>
      </c>
      <c r="F4357">
        <v>22.46</v>
      </c>
      <c r="G4357">
        <v>15.61</v>
      </c>
      <c r="H4357" t="s">
        <v>17</v>
      </c>
      <c r="I4357" t="str">
        <f>"060245008785"</f>
        <v>060245008785</v>
      </c>
    </row>
    <row r="4358" spans="1:9" x14ac:dyDescent="0.25">
      <c r="A4358" t="s">
        <v>3860</v>
      </c>
      <c r="B4358" t="s">
        <v>13</v>
      </c>
      <c r="C4358">
        <v>24.55</v>
      </c>
      <c r="D4358">
        <v>25.65</v>
      </c>
      <c r="E4358" t="s">
        <v>17</v>
      </c>
      <c r="F4358">
        <v>23.58</v>
      </c>
      <c r="G4358">
        <v>22.92</v>
      </c>
      <c r="H4358" t="s">
        <v>17</v>
      </c>
      <c r="I4358" t="str">
        <f>"060780009342"</f>
        <v>060780009342</v>
      </c>
    </row>
    <row r="4359" spans="1:9" x14ac:dyDescent="0.25">
      <c r="A4359" t="s">
        <v>3861</v>
      </c>
      <c r="B4359" t="s">
        <v>13</v>
      </c>
      <c r="C4359" t="s">
        <v>14</v>
      </c>
      <c r="D4359">
        <v>3.62</v>
      </c>
      <c r="E4359" t="s">
        <v>17</v>
      </c>
      <c r="F4359" t="s">
        <v>17</v>
      </c>
      <c r="G4359">
        <v>28.18</v>
      </c>
      <c r="H4359" t="s">
        <v>17</v>
      </c>
      <c r="I4359" t="str">
        <f>"061207002961"</f>
        <v>061207002961</v>
      </c>
    </row>
    <row r="4360" spans="1:9" x14ac:dyDescent="0.25">
      <c r="A4360" t="s">
        <v>3862</v>
      </c>
      <c r="B4360" t="s">
        <v>13</v>
      </c>
      <c r="C4360">
        <v>1.3</v>
      </c>
      <c r="D4360">
        <v>2.11</v>
      </c>
      <c r="E4360" t="s">
        <v>17</v>
      </c>
      <c r="F4360">
        <v>11.54</v>
      </c>
      <c r="G4360">
        <v>9.9499999999999993</v>
      </c>
      <c r="H4360" t="s">
        <v>17</v>
      </c>
      <c r="I4360" t="str">
        <f>"062628012629"</f>
        <v>062628012629</v>
      </c>
    </row>
    <row r="4361" spans="1:9" x14ac:dyDescent="0.25">
      <c r="A4361" t="s">
        <v>3863</v>
      </c>
      <c r="B4361" t="s">
        <v>13</v>
      </c>
      <c r="C4361">
        <v>10</v>
      </c>
      <c r="D4361">
        <v>10.01</v>
      </c>
      <c r="E4361" t="s">
        <v>17</v>
      </c>
      <c r="F4361">
        <v>21.7</v>
      </c>
      <c r="G4361">
        <v>23.88</v>
      </c>
      <c r="H4361" t="s">
        <v>17</v>
      </c>
      <c r="I4361" t="str">
        <f>"062805005701"</f>
        <v>062805005701</v>
      </c>
    </row>
    <row r="4362" spans="1:9" x14ac:dyDescent="0.25">
      <c r="A4362" t="s">
        <v>3864</v>
      </c>
      <c r="B4362" t="s">
        <v>13</v>
      </c>
      <c r="C4362">
        <v>65.7</v>
      </c>
      <c r="D4362">
        <v>59.6</v>
      </c>
      <c r="E4362" t="s">
        <v>17</v>
      </c>
      <c r="F4362">
        <v>23.67</v>
      </c>
      <c r="G4362">
        <v>26.09</v>
      </c>
      <c r="H4362" t="s">
        <v>17</v>
      </c>
      <c r="I4362" t="str">
        <f>"060003611084"</f>
        <v>060003611084</v>
      </c>
    </row>
    <row r="4363" spans="1:9" x14ac:dyDescent="0.25">
      <c r="A4363" t="s">
        <v>3865</v>
      </c>
      <c r="B4363" t="s">
        <v>13</v>
      </c>
      <c r="C4363">
        <v>26.15</v>
      </c>
      <c r="D4363">
        <v>29</v>
      </c>
      <c r="E4363" t="s">
        <v>17</v>
      </c>
      <c r="F4363">
        <v>25.51</v>
      </c>
      <c r="G4363">
        <v>23.62</v>
      </c>
      <c r="H4363" t="s">
        <v>17</v>
      </c>
      <c r="I4363" t="str">
        <f>"062598009165"</f>
        <v>062598009165</v>
      </c>
    </row>
    <row r="4364" spans="1:9" x14ac:dyDescent="0.25">
      <c r="A4364" t="s">
        <v>3866</v>
      </c>
      <c r="B4364" t="s">
        <v>13</v>
      </c>
      <c r="C4364" t="str">
        <f>"0.80"</f>
        <v>0.80</v>
      </c>
      <c r="D4364" t="str">
        <f>"0.80"</f>
        <v>0.80</v>
      </c>
      <c r="E4364" t="s">
        <v>17</v>
      </c>
      <c r="F4364">
        <v>22.5</v>
      </c>
      <c r="G4364">
        <v>27.5</v>
      </c>
      <c r="H4364" t="s">
        <v>17</v>
      </c>
      <c r="I4364" t="str">
        <f>"061824002245"</f>
        <v>061824002245</v>
      </c>
    </row>
    <row r="4365" spans="1:9" x14ac:dyDescent="0.25">
      <c r="A4365" t="s">
        <v>3867</v>
      </c>
      <c r="B4365" t="s">
        <v>13</v>
      </c>
      <c r="C4365">
        <v>3.3</v>
      </c>
      <c r="D4365">
        <v>3.7</v>
      </c>
      <c r="E4365" t="s">
        <v>17</v>
      </c>
      <c r="F4365">
        <v>11.21</v>
      </c>
      <c r="G4365">
        <v>10.54</v>
      </c>
      <c r="H4365" t="s">
        <v>17</v>
      </c>
      <c r="I4365" t="str">
        <f>"062100002521"</f>
        <v>062100002521</v>
      </c>
    </row>
    <row r="4366" spans="1:9" x14ac:dyDescent="0.25">
      <c r="A4366" t="s">
        <v>3868</v>
      </c>
      <c r="B4366" t="s">
        <v>13</v>
      </c>
      <c r="C4366">
        <v>25</v>
      </c>
      <c r="D4366">
        <v>24</v>
      </c>
      <c r="E4366" t="s">
        <v>17</v>
      </c>
      <c r="F4366">
        <v>25.76</v>
      </c>
      <c r="G4366">
        <v>26.96</v>
      </c>
      <c r="H4366" t="s">
        <v>17</v>
      </c>
      <c r="I4366" t="str">
        <f>"061926008860"</f>
        <v>061926008860</v>
      </c>
    </row>
    <row r="4367" spans="1:9" x14ac:dyDescent="0.25">
      <c r="A4367" t="s">
        <v>3869</v>
      </c>
      <c r="B4367" t="s">
        <v>13</v>
      </c>
      <c r="C4367">
        <v>1</v>
      </c>
      <c r="D4367">
        <v>3</v>
      </c>
      <c r="E4367" t="s">
        <v>17</v>
      </c>
      <c r="F4367">
        <v>12</v>
      </c>
      <c r="G4367">
        <v>4.67</v>
      </c>
      <c r="H4367" t="s">
        <v>17</v>
      </c>
      <c r="I4367" t="str">
        <f>"061827002246"</f>
        <v>061827002246</v>
      </c>
    </row>
    <row r="4368" spans="1:9" x14ac:dyDescent="0.25">
      <c r="A4368" t="s">
        <v>3870</v>
      </c>
      <c r="B4368" t="s">
        <v>13</v>
      </c>
      <c r="C4368">
        <v>43</v>
      </c>
      <c r="D4368" t="s">
        <v>14</v>
      </c>
      <c r="E4368" t="s">
        <v>14</v>
      </c>
      <c r="F4368">
        <v>27.95</v>
      </c>
      <c r="G4368" t="s">
        <v>14</v>
      </c>
      <c r="H4368" t="s">
        <v>14</v>
      </c>
      <c r="I4368" t="str">
        <f>"063417013013"</f>
        <v>063417013013</v>
      </c>
    </row>
    <row r="4369" spans="1:9" x14ac:dyDescent="0.25">
      <c r="A4369" t="s">
        <v>3871</v>
      </c>
      <c r="B4369" t="s">
        <v>13</v>
      </c>
      <c r="C4369">
        <v>2</v>
      </c>
      <c r="D4369">
        <v>1</v>
      </c>
      <c r="E4369" t="s">
        <v>17</v>
      </c>
      <c r="F4369">
        <v>13.5</v>
      </c>
      <c r="G4369">
        <v>15</v>
      </c>
      <c r="H4369" t="s">
        <v>17</v>
      </c>
      <c r="I4369" t="str">
        <f>"063807006442"</f>
        <v>063807006442</v>
      </c>
    </row>
    <row r="4370" spans="1:9" x14ac:dyDescent="0.25">
      <c r="A4370" t="s">
        <v>3871</v>
      </c>
      <c r="B4370" t="s">
        <v>13</v>
      </c>
      <c r="C4370">
        <v>8</v>
      </c>
      <c r="D4370" t="s">
        <v>17</v>
      </c>
      <c r="E4370" t="s">
        <v>17</v>
      </c>
      <c r="F4370">
        <v>20.25</v>
      </c>
      <c r="G4370" t="s">
        <v>17</v>
      </c>
      <c r="H4370" t="s">
        <v>17</v>
      </c>
      <c r="I4370" t="str">
        <f>"063117004820"</f>
        <v>063117004820</v>
      </c>
    </row>
    <row r="4371" spans="1:9" x14ac:dyDescent="0.25">
      <c r="A4371" t="s">
        <v>3871</v>
      </c>
      <c r="B4371" t="s">
        <v>13</v>
      </c>
      <c r="C4371">
        <v>20.49</v>
      </c>
      <c r="D4371">
        <v>21.19</v>
      </c>
      <c r="E4371" t="s">
        <v>17</v>
      </c>
      <c r="F4371">
        <v>23.28</v>
      </c>
      <c r="G4371">
        <v>21.66</v>
      </c>
      <c r="H4371" t="s">
        <v>17</v>
      </c>
      <c r="I4371" t="str">
        <f>"064125006828"</f>
        <v>064125006828</v>
      </c>
    </row>
    <row r="4372" spans="1:9" x14ac:dyDescent="0.25">
      <c r="A4372" t="s">
        <v>3872</v>
      </c>
      <c r="B4372" t="s">
        <v>13</v>
      </c>
      <c r="C4372">
        <v>19.350000000000001</v>
      </c>
      <c r="D4372">
        <v>19.8</v>
      </c>
      <c r="E4372" t="s">
        <v>17</v>
      </c>
      <c r="F4372">
        <v>25.01</v>
      </c>
      <c r="G4372">
        <v>24.6</v>
      </c>
      <c r="H4372" t="s">
        <v>17</v>
      </c>
      <c r="I4372" t="str">
        <f>"063627006185"</f>
        <v>063627006185</v>
      </c>
    </row>
    <row r="4373" spans="1:9" x14ac:dyDescent="0.25">
      <c r="A4373" t="s">
        <v>3873</v>
      </c>
      <c r="B4373" t="s">
        <v>13</v>
      </c>
      <c r="C4373">
        <v>74.010000000000005</v>
      </c>
      <c r="D4373">
        <v>78.2</v>
      </c>
      <c r="E4373" t="s">
        <v>17</v>
      </c>
      <c r="F4373">
        <v>26.87</v>
      </c>
      <c r="G4373">
        <v>26.98</v>
      </c>
      <c r="H4373" t="s">
        <v>17</v>
      </c>
      <c r="I4373" t="str">
        <f>"061111001226"</f>
        <v>061111001226</v>
      </c>
    </row>
    <row r="4374" spans="1:9" x14ac:dyDescent="0.25">
      <c r="A4374" t="s">
        <v>3874</v>
      </c>
      <c r="B4374" t="s">
        <v>13</v>
      </c>
      <c r="C4374">
        <v>29.71</v>
      </c>
      <c r="D4374">
        <v>32</v>
      </c>
      <c r="E4374" t="s">
        <v>17</v>
      </c>
      <c r="F4374">
        <v>29.18</v>
      </c>
      <c r="G4374">
        <v>26.69</v>
      </c>
      <c r="H4374" t="s">
        <v>17</v>
      </c>
      <c r="I4374" t="str">
        <f>"061111010275"</f>
        <v>061111010275</v>
      </c>
    </row>
    <row r="4375" spans="1:9" x14ac:dyDescent="0.25">
      <c r="A4375" t="s">
        <v>3875</v>
      </c>
      <c r="B4375" t="s">
        <v>13</v>
      </c>
      <c r="C4375" t="s">
        <v>17</v>
      </c>
      <c r="D4375" t="s">
        <v>17</v>
      </c>
      <c r="E4375" t="s">
        <v>14</v>
      </c>
      <c r="F4375" t="s">
        <v>17</v>
      </c>
      <c r="G4375" t="s">
        <v>17</v>
      </c>
      <c r="H4375" t="s">
        <v>14</v>
      </c>
      <c r="I4375" t="str">
        <f>"062805012842"</f>
        <v>062805012842</v>
      </c>
    </row>
    <row r="4376" spans="1:9" x14ac:dyDescent="0.25">
      <c r="A4376" t="s">
        <v>3876</v>
      </c>
      <c r="B4376" t="s">
        <v>13</v>
      </c>
      <c r="C4376" t="s">
        <v>17</v>
      </c>
      <c r="D4376" t="s">
        <v>14</v>
      </c>
      <c r="E4376" t="s">
        <v>14</v>
      </c>
      <c r="F4376" t="s">
        <v>17</v>
      </c>
      <c r="G4376" t="s">
        <v>14</v>
      </c>
      <c r="H4376" t="s">
        <v>14</v>
      </c>
      <c r="I4376" t="str">
        <f>"063513013249"</f>
        <v>063513013249</v>
      </c>
    </row>
    <row r="4377" spans="1:9" x14ac:dyDescent="0.25">
      <c r="A4377" t="s">
        <v>3877</v>
      </c>
      <c r="B4377" t="s">
        <v>13</v>
      </c>
      <c r="C4377">
        <v>14</v>
      </c>
      <c r="D4377">
        <v>10</v>
      </c>
      <c r="E4377" t="s">
        <v>17</v>
      </c>
      <c r="F4377">
        <v>27.36</v>
      </c>
      <c r="G4377">
        <v>25.5</v>
      </c>
      <c r="H4377" t="s">
        <v>17</v>
      </c>
      <c r="I4377" t="str">
        <f>"060134512570"</f>
        <v>060134512570</v>
      </c>
    </row>
    <row r="4378" spans="1:9" x14ac:dyDescent="0.25">
      <c r="A4378" t="s">
        <v>3878</v>
      </c>
      <c r="B4378" t="s">
        <v>13</v>
      </c>
      <c r="C4378" t="s">
        <v>17</v>
      </c>
      <c r="D4378" t="s">
        <v>14</v>
      </c>
      <c r="E4378" t="s">
        <v>14</v>
      </c>
      <c r="F4378" t="s">
        <v>17</v>
      </c>
      <c r="G4378" t="s">
        <v>14</v>
      </c>
      <c r="H4378" t="s">
        <v>14</v>
      </c>
      <c r="I4378" t="str">
        <f>"062271013466"</f>
        <v>062271013466</v>
      </c>
    </row>
    <row r="4379" spans="1:9" x14ac:dyDescent="0.25">
      <c r="A4379" t="s">
        <v>3879</v>
      </c>
      <c r="B4379" t="s">
        <v>13</v>
      </c>
      <c r="C4379" t="s">
        <v>17</v>
      </c>
      <c r="D4379" t="s">
        <v>17</v>
      </c>
      <c r="E4379" t="s">
        <v>14</v>
      </c>
      <c r="F4379" t="s">
        <v>17</v>
      </c>
      <c r="G4379" t="s">
        <v>17</v>
      </c>
      <c r="H4379" t="s">
        <v>14</v>
      </c>
      <c r="I4379" t="str">
        <f>"061839012504"</f>
        <v>061839012504</v>
      </c>
    </row>
    <row r="4380" spans="1:9" x14ac:dyDescent="0.25">
      <c r="A4380" t="s">
        <v>3880</v>
      </c>
      <c r="B4380" t="s">
        <v>13</v>
      </c>
      <c r="C4380">
        <v>8.5</v>
      </c>
      <c r="D4380">
        <v>11</v>
      </c>
      <c r="E4380" t="s">
        <v>17</v>
      </c>
      <c r="F4380">
        <v>22.47</v>
      </c>
      <c r="G4380">
        <v>16.18</v>
      </c>
      <c r="H4380" t="s">
        <v>17</v>
      </c>
      <c r="I4380" t="str">
        <f>"061839003213"</f>
        <v>061839003213</v>
      </c>
    </row>
    <row r="4381" spans="1:9" x14ac:dyDescent="0.25">
      <c r="A4381" t="s">
        <v>3881</v>
      </c>
      <c r="B4381" t="s">
        <v>13</v>
      </c>
      <c r="C4381">
        <v>57.25</v>
      </c>
      <c r="D4381">
        <v>48</v>
      </c>
      <c r="E4381" t="s">
        <v>17</v>
      </c>
      <c r="F4381">
        <v>25.85</v>
      </c>
      <c r="G4381">
        <v>31.6</v>
      </c>
      <c r="H4381" t="s">
        <v>17</v>
      </c>
      <c r="I4381" t="str">
        <f>"061839002254"</f>
        <v>061839002254</v>
      </c>
    </row>
    <row r="4382" spans="1:9" x14ac:dyDescent="0.25">
      <c r="A4382" t="s">
        <v>3882</v>
      </c>
      <c r="B4382" t="s">
        <v>13</v>
      </c>
      <c r="C4382">
        <v>22.57</v>
      </c>
      <c r="D4382">
        <v>22.62</v>
      </c>
      <c r="E4382" t="s">
        <v>17</v>
      </c>
      <c r="F4382">
        <v>23.7</v>
      </c>
      <c r="G4382">
        <v>24.58</v>
      </c>
      <c r="H4382" t="s">
        <v>17</v>
      </c>
      <c r="I4382" t="str">
        <f>"062046010657"</f>
        <v>062046010657</v>
      </c>
    </row>
    <row r="4383" spans="1:9" x14ac:dyDescent="0.25">
      <c r="A4383" t="s">
        <v>3883</v>
      </c>
      <c r="B4383" t="s">
        <v>13</v>
      </c>
      <c r="C4383">
        <v>33.200000000000003</v>
      </c>
      <c r="D4383">
        <v>28.87</v>
      </c>
      <c r="E4383" t="s">
        <v>17</v>
      </c>
      <c r="F4383">
        <v>22.77</v>
      </c>
      <c r="G4383">
        <v>22.86</v>
      </c>
      <c r="H4383" t="s">
        <v>17</v>
      </c>
      <c r="I4383" t="str">
        <f>"064356011884"</f>
        <v>064356011884</v>
      </c>
    </row>
    <row r="4384" spans="1:9" x14ac:dyDescent="0.25">
      <c r="A4384" t="s">
        <v>3884</v>
      </c>
      <c r="B4384" t="s">
        <v>13</v>
      </c>
      <c r="C4384">
        <v>22</v>
      </c>
      <c r="D4384">
        <v>24.2</v>
      </c>
      <c r="E4384" t="s">
        <v>17</v>
      </c>
      <c r="F4384">
        <v>22.45</v>
      </c>
      <c r="G4384">
        <v>20.329999999999998</v>
      </c>
      <c r="H4384" t="s">
        <v>17</v>
      </c>
      <c r="I4384" t="str">
        <f>"063432012352"</f>
        <v>063432012352</v>
      </c>
    </row>
    <row r="4385" spans="1:9" x14ac:dyDescent="0.25">
      <c r="A4385" t="s">
        <v>3885</v>
      </c>
      <c r="B4385" t="s">
        <v>13</v>
      </c>
      <c r="C4385">
        <v>15</v>
      </c>
      <c r="D4385">
        <v>12.5</v>
      </c>
      <c r="E4385" t="s">
        <v>17</v>
      </c>
      <c r="F4385">
        <v>22.13</v>
      </c>
      <c r="G4385">
        <v>24</v>
      </c>
      <c r="H4385" t="s">
        <v>17</v>
      </c>
      <c r="I4385" t="str">
        <f>"063432012261"</f>
        <v>063432012261</v>
      </c>
    </row>
    <row r="4386" spans="1:9" x14ac:dyDescent="0.25">
      <c r="A4386" t="s">
        <v>3886</v>
      </c>
      <c r="B4386" t="s">
        <v>13</v>
      </c>
      <c r="C4386">
        <v>34</v>
      </c>
      <c r="D4386">
        <v>30</v>
      </c>
      <c r="E4386" t="s">
        <v>17</v>
      </c>
      <c r="F4386">
        <v>26.65</v>
      </c>
      <c r="G4386">
        <v>27.37</v>
      </c>
      <c r="H4386" t="s">
        <v>17</v>
      </c>
      <c r="I4386" t="str">
        <f>"063018008940"</f>
        <v>063018008940</v>
      </c>
    </row>
    <row r="4387" spans="1:9" x14ac:dyDescent="0.25">
      <c r="A4387" t="s">
        <v>3887</v>
      </c>
      <c r="B4387" t="s">
        <v>13</v>
      </c>
      <c r="C4387">
        <v>1.81</v>
      </c>
      <c r="D4387">
        <v>5.7</v>
      </c>
      <c r="E4387" t="s">
        <v>14</v>
      </c>
      <c r="F4387">
        <v>56.35</v>
      </c>
      <c r="G4387">
        <v>4.5599999999999996</v>
      </c>
      <c r="H4387" t="s">
        <v>14</v>
      </c>
      <c r="I4387" t="str">
        <f>"063768013030"</f>
        <v>063768013030</v>
      </c>
    </row>
    <row r="4388" spans="1:9" x14ac:dyDescent="0.25">
      <c r="A4388" t="s">
        <v>3888</v>
      </c>
      <c r="B4388" t="s">
        <v>13</v>
      </c>
      <c r="C4388">
        <v>9.86</v>
      </c>
      <c r="D4388">
        <v>8.5</v>
      </c>
      <c r="E4388" t="s">
        <v>17</v>
      </c>
      <c r="F4388">
        <v>18.260000000000002</v>
      </c>
      <c r="G4388">
        <v>18.71</v>
      </c>
      <c r="H4388" t="s">
        <v>17</v>
      </c>
      <c r="I4388" t="str">
        <f>"060003412211"</f>
        <v>060003412211</v>
      </c>
    </row>
    <row r="4389" spans="1:9" x14ac:dyDescent="0.25">
      <c r="A4389" t="s">
        <v>3889</v>
      </c>
      <c r="B4389" t="s">
        <v>13</v>
      </c>
      <c r="C4389">
        <v>9.1199999999999992</v>
      </c>
      <c r="D4389">
        <v>10.97</v>
      </c>
      <c r="E4389" t="s">
        <v>17</v>
      </c>
      <c r="F4389">
        <v>5.04</v>
      </c>
      <c r="G4389">
        <v>6.02</v>
      </c>
      <c r="H4389" t="s">
        <v>17</v>
      </c>
      <c r="I4389" t="str">
        <f>"061233002480"</f>
        <v>061233002480</v>
      </c>
    </row>
    <row r="4390" spans="1:9" x14ac:dyDescent="0.25">
      <c r="A4390" t="s">
        <v>3890</v>
      </c>
      <c r="B4390" t="s">
        <v>13</v>
      </c>
      <c r="C4390">
        <v>1</v>
      </c>
      <c r="D4390">
        <v>1</v>
      </c>
      <c r="E4390" t="s">
        <v>14</v>
      </c>
      <c r="F4390">
        <v>2</v>
      </c>
      <c r="G4390">
        <v>5</v>
      </c>
      <c r="H4390" t="s">
        <v>14</v>
      </c>
      <c r="I4390" t="str">
        <f>"069102312700"</f>
        <v>069102312700</v>
      </c>
    </row>
    <row r="4391" spans="1:9" x14ac:dyDescent="0.25">
      <c r="A4391" t="s">
        <v>3891</v>
      </c>
      <c r="B4391" t="s">
        <v>13</v>
      </c>
      <c r="C4391">
        <v>18.87</v>
      </c>
      <c r="D4391">
        <v>18.309999999999999</v>
      </c>
      <c r="E4391" t="s">
        <v>17</v>
      </c>
      <c r="F4391">
        <v>22.63</v>
      </c>
      <c r="G4391">
        <v>20.86</v>
      </c>
      <c r="H4391" t="s">
        <v>17</v>
      </c>
      <c r="I4391" t="str">
        <f>"060837012539"</f>
        <v>060837012539</v>
      </c>
    </row>
    <row r="4392" spans="1:9" x14ac:dyDescent="0.25">
      <c r="A4392" t="s">
        <v>3892</v>
      </c>
      <c r="B4392" t="s">
        <v>13</v>
      </c>
      <c r="C4392" t="s">
        <v>14</v>
      </c>
      <c r="D4392" t="s">
        <v>14</v>
      </c>
      <c r="E4392" t="s">
        <v>17</v>
      </c>
      <c r="F4392" t="s">
        <v>14</v>
      </c>
      <c r="G4392" t="s">
        <v>14</v>
      </c>
      <c r="H4392" t="s">
        <v>17</v>
      </c>
      <c r="I4392" t="str">
        <f>"063801011301"</f>
        <v>063801011301</v>
      </c>
    </row>
    <row r="4393" spans="1:9" x14ac:dyDescent="0.25">
      <c r="A4393" t="s">
        <v>3893</v>
      </c>
      <c r="B4393" t="s">
        <v>13</v>
      </c>
      <c r="C4393">
        <v>12.77</v>
      </c>
      <c r="D4393">
        <v>12.34</v>
      </c>
      <c r="E4393" t="s">
        <v>17</v>
      </c>
      <c r="F4393">
        <v>19.73</v>
      </c>
      <c r="G4393">
        <v>19.45</v>
      </c>
      <c r="H4393" t="s">
        <v>17</v>
      </c>
      <c r="I4393" t="str">
        <f>"062667011237"</f>
        <v>062667011237</v>
      </c>
    </row>
    <row r="4394" spans="1:9" x14ac:dyDescent="0.25">
      <c r="A4394" t="s">
        <v>3894</v>
      </c>
      <c r="B4394" t="s">
        <v>13</v>
      </c>
      <c r="C4394" t="s">
        <v>17</v>
      </c>
      <c r="D4394" t="s">
        <v>14</v>
      </c>
      <c r="E4394" t="s">
        <v>14</v>
      </c>
      <c r="F4394" t="s">
        <v>17</v>
      </c>
      <c r="G4394" t="s">
        <v>14</v>
      </c>
      <c r="H4394" t="s">
        <v>14</v>
      </c>
      <c r="I4394" t="str">
        <f>"062250013471"</f>
        <v>062250013471</v>
      </c>
    </row>
    <row r="4395" spans="1:9" x14ac:dyDescent="0.25">
      <c r="A4395" t="s">
        <v>3895</v>
      </c>
      <c r="B4395" t="s">
        <v>13</v>
      </c>
      <c r="C4395">
        <v>23.5</v>
      </c>
      <c r="D4395">
        <v>20</v>
      </c>
      <c r="E4395" t="s">
        <v>17</v>
      </c>
      <c r="F4395">
        <v>24.81</v>
      </c>
      <c r="G4395">
        <v>28.85</v>
      </c>
      <c r="H4395" t="s">
        <v>17</v>
      </c>
      <c r="I4395" t="str">
        <f>"060444007513"</f>
        <v>060444007513</v>
      </c>
    </row>
    <row r="4396" spans="1:9" x14ac:dyDescent="0.25">
      <c r="A4396" t="s">
        <v>3896</v>
      </c>
      <c r="B4396" t="s">
        <v>13</v>
      </c>
      <c r="C4396">
        <v>2</v>
      </c>
      <c r="D4396">
        <v>2</v>
      </c>
      <c r="E4396" t="s">
        <v>17</v>
      </c>
      <c r="F4396">
        <v>2.5</v>
      </c>
      <c r="G4396">
        <v>2</v>
      </c>
      <c r="H4396" t="s">
        <v>17</v>
      </c>
      <c r="I4396" t="str">
        <f>"061932003173"</f>
        <v>061932003173</v>
      </c>
    </row>
    <row r="4397" spans="1:9" x14ac:dyDescent="0.25">
      <c r="A4397" t="s">
        <v>3897</v>
      </c>
      <c r="B4397" t="s">
        <v>13</v>
      </c>
      <c r="C4397">
        <v>15</v>
      </c>
      <c r="D4397">
        <v>14</v>
      </c>
      <c r="E4397" t="s">
        <v>17</v>
      </c>
      <c r="F4397">
        <v>23.07</v>
      </c>
      <c r="G4397">
        <v>24.43</v>
      </c>
      <c r="H4397" t="s">
        <v>17</v>
      </c>
      <c r="I4397" t="str">
        <f>"062805008678"</f>
        <v>062805008678</v>
      </c>
    </row>
    <row r="4398" spans="1:9" x14ac:dyDescent="0.25">
      <c r="A4398" t="s">
        <v>3898</v>
      </c>
      <c r="B4398" t="s">
        <v>13</v>
      </c>
      <c r="C4398">
        <v>27</v>
      </c>
      <c r="D4398">
        <v>26.55</v>
      </c>
      <c r="E4398" t="s">
        <v>17</v>
      </c>
      <c r="F4398">
        <v>28.78</v>
      </c>
      <c r="G4398">
        <v>28.14</v>
      </c>
      <c r="H4398" t="s">
        <v>17</v>
      </c>
      <c r="I4398" t="str">
        <f>"062250009568"</f>
        <v>062250009568</v>
      </c>
    </row>
    <row r="4399" spans="1:9" x14ac:dyDescent="0.25">
      <c r="A4399" t="s">
        <v>3899</v>
      </c>
      <c r="B4399" t="s">
        <v>13</v>
      </c>
      <c r="C4399">
        <v>20.399999999999999</v>
      </c>
      <c r="D4399">
        <v>21.5</v>
      </c>
      <c r="E4399" t="s">
        <v>17</v>
      </c>
      <c r="F4399">
        <v>26.57</v>
      </c>
      <c r="G4399">
        <v>23.72</v>
      </c>
      <c r="H4399" t="s">
        <v>17</v>
      </c>
      <c r="I4399" t="str">
        <f>"069107804580"</f>
        <v>069107804580</v>
      </c>
    </row>
    <row r="4400" spans="1:9" x14ac:dyDescent="0.25">
      <c r="A4400" t="s">
        <v>3900</v>
      </c>
      <c r="B4400" t="s">
        <v>13</v>
      </c>
      <c r="C4400">
        <v>24.41</v>
      </c>
      <c r="D4400">
        <v>23.07</v>
      </c>
      <c r="E4400" t="s">
        <v>17</v>
      </c>
      <c r="F4400">
        <v>17.079999999999998</v>
      </c>
      <c r="G4400">
        <v>18.079999999999998</v>
      </c>
      <c r="H4400" t="s">
        <v>17</v>
      </c>
      <c r="I4400" t="str">
        <f>"062553008744"</f>
        <v>062553008744</v>
      </c>
    </row>
    <row r="4401" spans="1:9" x14ac:dyDescent="0.25">
      <c r="A4401" t="s">
        <v>3901</v>
      </c>
      <c r="B4401" t="s">
        <v>13</v>
      </c>
      <c r="C4401">
        <v>25.8</v>
      </c>
      <c r="D4401">
        <v>31</v>
      </c>
      <c r="E4401" t="s">
        <v>17</v>
      </c>
      <c r="F4401">
        <v>15.31</v>
      </c>
      <c r="G4401">
        <v>13.42</v>
      </c>
      <c r="H4401" t="s">
        <v>17</v>
      </c>
      <c r="I4401" t="str">
        <f>"063441009625"</f>
        <v>063441009625</v>
      </c>
    </row>
    <row r="4402" spans="1:9" x14ac:dyDescent="0.25">
      <c r="A4402" t="s">
        <v>3902</v>
      </c>
      <c r="B4402" t="s">
        <v>13</v>
      </c>
      <c r="C4402">
        <v>32.5</v>
      </c>
      <c r="D4402">
        <v>31.21</v>
      </c>
      <c r="E4402" t="s">
        <v>17</v>
      </c>
      <c r="F4402">
        <v>26.25</v>
      </c>
      <c r="G4402">
        <v>27.65</v>
      </c>
      <c r="H4402" t="s">
        <v>17</v>
      </c>
      <c r="I4402" t="str">
        <f>"062271010863"</f>
        <v>062271010863</v>
      </c>
    </row>
    <row r="4403" spans="1:9" x14ac:dyDescent="0.25">
      <c r="A4403" t="s">
        <v>3903</v>
      </c>
      <c r="B4403" t="s">
        <v>13</v>
      </c>
      <c r="C4403">
        <v>2.2200000000000002</v>
      </c>
      <c r="D4403">
        <v>2</v>
      </c>
      <c r="E4403" t="s">
        <v>17</v>
      </c>
      <c r="F4403">
        <v>14.41</v>
      </c>
      <c r="G4403">
        <v>20</v>
      </c>
      <c r="H4403" t="s">
        <v>17</v>
      </c>
      <c r="I4403" t="str">
        <f>"063667007362"</f>
        <v>063667007362</v>
      </c>
    </row>
    <row r="4404" spans="1:9" x14ac:dyDescent="0.25">
      <c r="A4404" t="s">
        <v>3904</v>
      </c>
      <c r="B4404" t="s">
        <v>13</v>
      </c>
      <c r="C4404" t="s">
        <v>17</v>
      </c>
      <c r="D4404" t="s">
        <v>17</v>
      </c>
      <c r="E4404" t="s">
        <v>17</v>
      </c>
      <c r="F4404" t="s">
        <v>17</v>
      </c>
      <c r="G4404" t="s">
        <v>17</v>
      </c>
      <c r="H4404" t="s">
        <v>17</v>
      </c>
      <c r="I4404" t="str">
        <f>"060010210806"</f>
        <v>060010210806</v>
      </c>
    </row>
    <row r="4405" spans="1:9" x14ac:dyDescent="0.25">
      <c r="A4405" t="s">
        <v>3905</v>
      </c>
      <c r="B4405" t="s">
        <v>13</v>
      </c>
      <c r="C4405" t="s">
        <v>17</v>
      </c>
      <c r="D4405" t="s">
        <v>17</v>
      </c>
      <c r="E4405" t="s">
        <v>14</v>
      </c>
      <c r="F4405" t="s">
        <v>17</v>
      </c>
      <c r="G4405" t="s">
        <v>17</v>
      </c>
      <c r="H4405" t="s">
        <v>14</v>
      </c>
      <c r="I4405" t="str">
        <f>"069101112832"</f>
        <v>069101112832</v>
      </c>
    </row>
    <row r="4406" spans="1:9" x14ac:dyDescent="0.25">
      <c r="A4406" t="s">
        <v>3906</v>
      </c>
      <c r="B4406" t="s">
        <v>13</v>
      </c>
      <c r="C4406">
        <v>8.25</v>
      </c>
      <c r="D4406">
        <v>8.25</v>
      </c>
      <c r="E4406" t="s">
        <v>17</v>
      </c>
      <c r="F4406">
        <v>23.76</v>
      </c>
      <c r="G4406">
        <v>23.15</v>
      </c>
      <c r="H4406" t="s">
        <v>17</v>
      </c>
      <c r="I4406" t="str">
        <f>"063680006234"</f>
        <v>063680006234</v>
      </c>
    </row>
    <row r="4407" spans="1:9" x14ac:dyDescent="0.25">
      <c r="A4407" t="s">
        <v>3907</v>
      </c>
      <c r="B4407" t="s">
        <v>13</v>
      </c>
      <c r="C4407">
        <v>17.8</v>
      </c>
      <c r="D4407">
        <v>17</v>
      </c>
      <c r="E4407" t="s">
        <v>17</v>
      </c>
      <c r="F4407">
        <v>25.79</v>
      </c>
      <c r="G4407">
        <v>27.12</v>
      </c>
      <c r="H4407" t="s">
        <v>17</v>
      </c>
      <c r="I4407" t="str">
        <f>"060245008788"</f>
        <v>060245008788</v>
      </c>
    </row>
    <row r="4408" spans="1:9" x14ac:dyDescent="0.25">
      <c r="A4408" t="s">
        <v>3908</v>
      </c>
      <c r="B4408" t="s">
        <v>13</v>
      </c>
      <c r="C4408">
        <v>15.05</v>
      </c>
      <c r="D4408">
        <v>14.6</v>
      </c>
      <c r="E4408" t="s">
        <v>17</v>
      </c>
      <c r="F4408">
        <v>23.46</v>
      </c>
      <c r="G4408">
        <v>25.48</v>
      </c>
      <c r="H4408" t="s">
        <v>17</v>
      </c>
      <c r="I4408" t="str">
        <f>"060245009301"</f>
        <v>060245009301</v>
      </c>
    </row>
    <row r="4409" spans="1:9" x14ac:dyDescent="0.25">
      <c r="A4409" t="s">
        <v>3909</v>
      </c>
      <c r="B4409" t="s">
        <v>13</v>
      </c>
      <c r="C4409">
        <v>21</v>
      </c>
      <c r="D4409">
        <v>19</v>
      </c>
      <c r="E4409" t="s">
        <v>17</v>
      </c>
      <c r="F4409">
        <v>22.43</v>
      </c>
      <c r="G4409">
        <v>25.47</v>
      </c>
      <c r="H4409" t="s">
        <v>17</v>
      </c>
      <c r="I4409" t="str">
        <f>"062553003840"</f>
        <v>062553003840</v>
      </c>
    </row>
    <row r="4410" spans="1:9" x14ac:dyDescent="0.25">
      <c r="A4410" t="s">
        <v>3910</v>
      </c>
      <c r="B4410" t="s">
        <v>13</v>
      </c>
      <c r="C4410">
        <v>8</v>
      </c>
      <c r="D4410">
        <v>11.5</v>
      </c>
      <c r="E4410" t="s">
        <v>17</v>
      </c>
      <c r="F4410">
        <v>24.88</v>
      </c>
      <c r="G4410">
        <v>27.39</v>
      </c>
      <c r="H4410" t="s">
        <v>17</v>
      </c>
      <c r="I4410" t="str">
        <f>"061350007305"</f>
        <v>061350007305</v>
      </c>
    </row>
    <row r="4411" spans="1:9" x14ac:dyDescent="0.25">
      <c r="A4411" t="s">
        <v>3911</v>
      </c>
      <c r="B4411" t="s">
        <v>13</v>
      </c>
      <c r="C4411">
        <v>2.8</v>
      </c>
      <c r="D4411">
        <v>2.8</v>
      </c>
      <c r="E4411" t="s">
        <v>17</v>
      </c>
      <c r="F4411">
        <v>16.43</v>
      </c>
      <c r="G4411">
        <v>10.71</v>
      </c>
      <c r="H4411" t="s">
        <v>17</v>
      </c>
      <c r="I4411" t="str">
        <f>"061371012613"</f>
        <v>061371012613</v>
      </c>
    </row>
    <row r="4412" spans="1:9" x14ac:dyDescent="0.25">
      <c r="A4412" t="s">
        <v>3912</v>
      </c>
      <c r="B4412" t="s">
        <v>13</v>
      </c>
      <c r="C4412">
        <v>21</v>
      </c>
      <c r="D4412">
        <v>22</v>
      </c>
      <c r="E4412" t="s">
        <v>17</v>
      </c>
      <c r="F4412">
        <v>16.29</v>
      </c>
      <c r="G4412">
        <v>14.5</v>
      </c>
      <c r="H4412" t="s">
        <v>17</v>
      </c>
      <c r="I4412" t="str">
        <f>"063375012477"</f>
        <v>063375012477</v>
      </c>
    </row>
    <row r="4413" spans="1:9" x14ac:dyDescent="0.25">
      <c r="A4413" t="s">
        <v>3913</v>
      </c>
      <c r="B4413" t="s">
        <v>13</v>
      </c>
      <c r="C4413">
        <v>26</v>
      </c>
      <c r="D4413">
        <v>27</v>
      </c>
      <c r="E4413" t="s">
        <v>17</v>
      </c>
      <c r="F4413">
        <v>22.62</v>
      </c>
      <c r="G4413">
        <v>22.04</v>
      </c>
      <c r="H4413" t="s">
        <v>17</v>
      </c>
      <c r="I4413" t="str">
        <f>"062667004044"</f>
        <v>062667004044</v>
      </c>
    </row>
    <row r="4414" spans="1:9" x14ac:dyDescent="0.25">
      <c r="A4414" t="s">
        <v>3914</v>
      </c>
      <c r="B4414" t="s">
        <v>13</v>
      </c>
      <c r="C4414">
        <v>45</v>
      </c>
      <c r="D4414">
        <v>47</v>
      </c>
      <c r="E4414" t="s">
        <v>17</v>
      </c>
      <c r="F4414">
        <v>25.93</v>
      </c>
      <c r="G4414">
        <v>24.15</v>
      </c>
      <c r="H4414" t="s">
        <v>17</v>
      </c>
      <c r="I4414" t="str">
        <f>"061233010595"</f>
        <v>061233010595</v>
      </c>
    </row>
    <row r="4415" spans="1:9" x14ac:dyDescent="0.25">
      <c r="A4415" t="s">
        <v>3915</v>
      </c>
      <c r="B4415" t="s">
        <v>13</v>
      </c>
      <c r="C4415">
        <v>39.67</v>
      </c>
      <c r="D4415">
        <v>37.659999999999997</v>
      </c>
      <c r="E4415" t="s">
        <v>17</v>
      </c>
      <c r="F4415">
        <v>25.84</v>
      </c>
      <c r="G4415">
        <v>25.89</v>
      </c>
      <c r="H4415" t="s">
        <v>17</v>
      </c>
      <c r="I4415" t="str">
        <f>"063513005729"</f>
        <v>063513005729</v>
      </c>
    </row>
    <row r="4416" spans="1:9" x14ac:dyDescent="0.25">
      <c r="A4416" t="s">
        <v>3916</v>
      </c>
      <c r="B4416" t="s">
        <v>13</v>
      </c>
      <c r="C4416">
        <v>24</v>
      </c>
      <c r="D4416">
        <v>22</v>
      </c>
      <c r="E4416" t="s">
        <v>17</v>
      </c>
      <c r="F4416">
        <v>28.08</v>
      </c>
      <c r="G4416">
        <v>28.09</v>
      </c>
      <c r="H4416" t="s">
        <v>17</v>
      </c>
      <c r="I4416" t="str">
        <f>"062808011575"</f>
        <v>062808011575</v>
      </c>
    </row>
    <row r="4417" spans="1:9" x14ac:dyDescent="0.25">
      <c r="A4417" t="s">
        <v>3917</v>
      </c>
      <c r="B4417" t="s">
        <v>13</v>
      </c>
      <c r="C4417">
        <v>1.9</v>
      </c>
      <c r="D4417">
        <v>2.65</v>
      </c>
      <c r="E4417" t="s">
        <v>17</v>
      </c>
      <c r="F4417">
        <v>25.79</v>
      </c>
      <c r="G4417">
        <v>15.47</v>
      </c>
      <c r="H4417" t="s">
        <v>17</v>
      </c>
      <c r="I4417" t="str">
        <f>"068450012151"</f>
        <v>068450012151</v>
      </c>
    </row>
    <row r="4418" spans="1:9" x14ac:dyDescent="0.25">
      <c r="A4418" t="s">
        <v>3918</v>
      </c>
      <c r="B4418" t="s">
        <v>13</v>
      </c>
      <c r="C4418">
        <v>60.22</v>
      </c>
      <c r="D4418">
        <v>60.72</v>
      </c>
      <c r="E4418" t="s">
        <v>17</v>
      </c>
      <c r="F4418">
        <v>29.54</v>
      </c>
      <c r="G4418">
        <v>30.06</v>
      </c>
      <c r="H4418" t="s">
        <v>17</v>
      </c>
      <c r="I4418" t="str">
        <f>"068450007059"</f>
        <v>068450007059</v>
      </c>
    </row>
    <row r="4419" spans="1:9" x14ac:dyDescent="0.25">
      <c r="A4419" t="s">
        <v>3919</v>
      </c>
      <c r="B4419" t="s">
        <v>13</v>
      </c>
      <c r="C4419">
        <v>35</v>
      </c>
      <c r="D4419">
        <v>35.15</v>
      </c>
      <c r="E4419" t="s">
        <v>17</v>
      </c>
      <c r="F4419">
        <v>25.83</v>
      </c>
      <c r="G4419">
        <v>25.86</v>
      </c>
      <c r="H4419" t="s">
        <v>17</v>
      </c>
      <c r="I4419" t="str">
        <f>"062649003999"</f>
        <v>062649003999</v>
      </c>
    </row>
    <row r="4420" spans="1:9" x14ac:dyDescent="0.25">
      <c r="A4420" t="s">
        <v>3920</v>
      </c>
      <c r="B4420" t="s">
        <v>13</v>
      </c>
      <c r="C4420">
        <v>91.5</v>
      </c>
      <c r="D4420">
        <v>88.05</v>
      </c>
      <c r="E4420" t="s">
        <v>17</v>
      </c>
      <c r="F4420">
        <v>23.68</v>
      </c>
      <c r="G4420">
        <v>23.69</v>
      </c>
      <c r="H4420" t="s">
        <v>17</v>
      </c>
      <c r="I4420" t="str">
        <f>"061440001671"</f>
        <v>061440001671</v>
      </c>
    </row>
    <row r="4421" spans="1:9" x14ac:dyDescent="0.25">
      <c r="A4421" t="s">
        <v>3921</v>
      </c>
      <c r="B4421" t="s">
        <v>13</v>
      </c>
      <c r="C4421">
        <v>9</v>
      </c>
      <c r="D4421">
        <v>9</v>
      </c>
      <c r="E4421" t="s">
        <v>17</v>
      </c>
      <c r="F4421">
        <v>31.44</v>
      </c>
      <c r="G4421">
        <v>31.11</v>
      </c>
      <c r="H4421" t="s">
        <v>17</v>
      </c>
      <c r="I4421" t="str">
        <f>"064104006773"</f>
        <v>064104006773</v>
      </c>
    </row>
    <row r="4422" spans="1:9" x14ac:dyDescent="0.25">
      <c r="A4422" t="s">
        <v>3922</v>
      </c>
      <c r="B4422" t="s">
        <v>13</v>
      </c>
      <c r="C4422">
        <v>2.9</v>
      </c>
      <c r="D4422">
        <v>3.4</v>
      </c>
      <c r="E4422" t="s">
        <v>17</v>
      </c>
      <c r="F4422">
        <v>13.1</v>
      </c>
      <c r="G4422">
        <v>10</v>
      </c>
      <c r="H4422" t="s">
        <v>17</v>
      </c>
      <c r="I4422" t="str">
        <f>"061722009855"</f>
        <v>061722009855</v>
      </c>
    </row>
    <row r="4423" spans="1:9" x14ac:dyDescent="0.25">
      <c r="A4423" t="s">
        <v>3923</v>
      </c>
      <c r="B4423" t="s">
        <v>13</v>
      </c>
      <c r="C4423">
        <v>8</v>
      </c>
      <c r="D4423">
        <v>8</v>
      </c>
      <c r="E4423" t="s">
        <v>17</v>
      </c>
      <c r="F4423">
        <v>6</v>
      </c>
      <c r="G4423">
        <v>5.38</v>
      </c>
      <c r="H4423" t="s">
        <v>17</v>
      </c>
      <c r="I4423" t="str">
        <f>"061455007966"</f>
        <v>061455007966</v>
      </c>
    </row>
    <row r="4424" spans="1:9" x14ac:dyDescent="0.25">
      <c r="A4424" t="s">
        <v>3924</v>
      </c>
      <c r="B4424" t="s">
        <v>13</v>
      </c>
      <c r="C4424">
        <v>43.01</v>
      </c>
      <c r="D4424">
        <v>44</v>
      </c>
      <c r="E4424" t="s">
        <v>17</v>
      </c>
      <c r="F4424">
        <v>29.06</v>
      </c>
      <c r="G4424">
        <v>29.16</v>
      </c>
      <c r="H4424" t="s">
        <v>17</v>
      </c>
      <c r="I4424" t="str">
        <f>"061803002225"</f>
        <v>061803002225</v>
      </c>
    </row>
    <row r="4425" spans="1:9" x14ac:dyDescent="0.25">
      <c r="A4425" t="s">
        <v>3925</v>
      </c>
      <c r="B4425" t="s">
        <v>13</v>
      </c>
      <c r="C4425">
        <v>37.67</v>
      </c>
      <c r="D4425">
        <v>34.229999999999997</v>
      </c>
      <c r="E4425" t="s">
        <v>17</v>
      </c>
      <c r="F4425">
        <v>21.05</v>
      </c>
      <c r="G4425">
        <v>22.03</v>
      </c>
      <c r="H4425" t="s">
        <v>17</v>
      </c>
      <c r="I4425" t="str">
        <f>"062628003924"</f>
        <v>062628003924</v>
      </c>
    </row>
    <row r="4426" spans="1:9" x14ac:dyDescent="0.25">
      <c r="A4426" t="s">
        <v>3926</v>
      </c>
      <c r="B4426" t="s">
        <v>13</v>
      </c>
      <c r="C4426">
        <v>35.29</v>
      </c>
      <c r="D4426">
        <v>39</v>
      </c>
      <c r="E4426" t="s">
        <v>17</v>
      </c>
      <c r="F4426">
        <v>25.62</v>
      </c>
      <c r="G4426">
        <v>22.92</v>
      </c>
      <c r="H4426" t="s">
        <v>17</v>
      </c>
      <c r="I4426" t="str">
        <f>"061233008827"</f>
        <v>061233008827</v>
      </c>
    </row>
    <row r="4427" spans="1:9" x14ac:dyDescent="0.25">
      <c r="A4427" t="s">
        <v>3927</v>
      </c>
      <c r="B4427" t="s">
        <v>13</v>
      </c>
      <c r="C4427">
        <v>13</v>
      </c>
      <c r="D4427">
        <v>10.6</v>
      </c>
      <c r="E4427" t="s">
        <v>17</v>
      </c>
      <c r="F4427">
        <v>26.62</v>
      </c>
      <c r="G4427">
        <v>32.549999999999997</v>
      </c>
      <c r="H4427" t="s">
        <v>17</v>
      </c>
      <c r="I4427" t="str">
        <f>"063384005250"</f>
        <v>063384005250</v>
      </c>
    </row>
    <row r="4428" spans="1:9" x14ac:dyDescent="0.25">
      <c r="A4428" t="s">
        <v>3928</v>
      </c>
      <c r="B4428" t="s">
        <v>13</v>
      </c>
      <c r="C4428">
        <v>38.01</v>
      </c>
      <c r="D4428">
        <v>39.67</v>
      </c>
      <c r="E4428" t="s">
        <v>17</v>
      </c>
      <c r="F4428">
        <v>27.65</v>
      </c>
      <c r="G4428">
        <v>27.17</v>
      </c>
      <c r="H4428" t="s">
        <v>17</v>
      </c>
      <c r="I4428" t="str">
        <f>"063573006109"</f>
        <v>063573006109</v>
      </c>
    </row>
    <row r="4429" spans="1:9" x14ac:dyDescent="0.25">
      <c r="A4429" t="s">
        <v>3929</v>
      </c>
      <c r="B4429" t="s">
        <v>13</v>
      </c>
      <c r="C4429">
        <v>15.34</v>
      </c>
      <c r="D4429">
        <v>16.510000000000002</v>
      </c>
      <c r="E4429" t="s">
        <v>17</v>
      </c>
      <c r="F4429">
        <v>21.32</v>
      </c>
      <c r="G4429">
        <v>21.62</v>
      </c>
      <c r="H4429" t="s">
        <v>17</v>
      </c>
      <c r="I4429" t="str">
        <f>"062910010742"</f>
        <v>062910010742</v>
      </c>
    </row>
    <row r="4430" spans="1:9" x14ac:dyDescent="0.25">
      <c r="A4430" t="s">
        <v>3930</v>
      </c>
      <c r="B4430" t="s">
        <v>13</v>
      </c>
      <c r="C4430">
        <v>23</v>
      </c>
      <c r="D4430">
        <v>24</v>
      </c>
      <c r="E4430" t="s">
        <v>17</v>
      </c>
      <c r="F4430">
        <v>20.78</v>
      </c>
      <c r="G4430">
        <v>19.079999999999998</v>
      </c>
      <c r="H4430" t="s">
        <v>17</v>
      </c>
      <c r="I4430" t="str">
        <f>"061551001972"</f>
        <v>061551001972</v>
      </c>
    </row>
    <row r="4431" spans="1:9" x14ac:dyDescent="0.25">
      <c r="A4431" t="s">
        <v>3931</v>
      </c>
      <c r="B4431" t="s">
        <v>13</v>
      </c>
      <c r="C4431">
        <v>1</v>
      </c>
      <c r="D4431">
        <v>1</v>
      </c>
      <c r="E4431" t="s">
        <v>17</v>
      </c>
      <c r="F4431">
        <v>2</v>
      </c>
      <c r="G4431">
        <v>2</v>
      </c>
      <c r="H4431" t="s">
        <v>17</v>
      </c>
      <c r="I4431" t="str">
        <f>"061980012097"</f>
        <v>061980012097</v>
      </c>
    </row>
    <row r="4432" spans="1:9" x14ac:dyDescent="0.25">
      <c r="A4432" t="s">
        <v>3932</v>
      </c>
      <c r="B4432" t="s">
        <v>13</v>
      </c>
      <c r="C4432">
        <v>14</v>
      </c>
      <c r="D4432">
        <v>14</v>
      </c>
      <c r="E4432" t="s">
        <v>17</v>
      </c>
      <c r="F4432">
        <v>22.43</v>
      </c>
      <c r="G4432">
        <v>22.07</v>
      </c>
      <c r="H4432" t="s">
        <v>17</v>
      </c>
      <c r="I4432" t="str">
        <f>"061851002268"</f>
        <v>061851002268</v>
      </c>
    </row>
    <row r="4433" spans="1:9" x14ac:dyDescent="0.25">
      <c r="A4433" t="s">
        <v>3933</v>
      </c>
      <c r="B4433" t="s">
        <v>13</v>
      </c>
      <c r="C4433">
        <v>12.2</v>
      </c>
      <c r="D4433">
        <v>11.3</v>
      </c>
      <c r="E4433" t="s">
        <v>17</v>
      </c>
      <c r="F4433">
        <v>15.74</v>
      </c>
      <c r="G4433">
        <v>15.31</v>
      </c>
      <c r="H4433" t="s">
        <v>17</v>
      </c>
      <c r="I4433" t="str">
        <f>"060177000048"</f>
        <v>060177000048</v>
      </c>
    </row>
    <row r="4434" spans="1:9" x14ac:dyDescent="0.25">
      <c r="A4434" t="s">
        <v>3934</v>
      </c>
      <c r="B4434" t="s">
        <v>13</v>
      </c>
      <c r="C4434">
        <v>10</v>
      </c>
      <c r="D4434">
        <v>8</v>
      </c>
      <c r="E4434" t="s">
        <v>17</v>
      </c>
      <c r="F4434">
        <v>16.2</v>
      </c>
      <c r="G4434">
        <v>18.75</v>
      </c>
      <c r="H4434" t="s">
        <v>17</v>
      </c>
      <c r="I4434" t="str">
        <f>"063311005124"</f>
        <v>063311005124</v>
      </c>
    </row>
    <row r="4435" spans="1:9" x14ac:dyDescent="0.25">
      <c r="A4435" t="s">
        <v>3935</v>
      </c>
      <c r="B4435" t="s">
        <v>13</v>
      </c>
      <c r="C4435">
        <v>23</v>
      </c>
      <c r="D4435">
        <v>23</v>
      </c>
      <c r="E4435" t="s">
        <v>17</v>
      </c>
      <c r="F4435">
        <v>26.91</v>
      </c>
      <c r="G4435">
        <v>27.91</v>
      </c>
      <c r="H4435" t="s">
        <v>17</v>
      </c>
      <c r="I4435" t="str">
        <f>"064116006797"</f>
        <v>064116006797</v>
      </c>
    </row>
    <row r="4436" spans="1:9" x14ac:dyDescent="0.25">
      <c r="A4436" t="s">
        <v>3935</v>
      </c>
      <c r="B4436" t="s">
        <v>13</v>
      </c>
      <c r="C4436">
        <v>17</v>
      </c>
      <c r="D4436">
        <v>16</v>
      </c>
      <c r="E4436" t="s">
        <v>17</v>
      </c>
      <c r="F4436">
        <v>25.18</v>
      </c>
      <c r="G4436">
        <v>25.75</v>
      </c>
      <c r="H4436" t="s">
        <v>17</v>
      </c>
      <c r="I4436" t="str">
        <f>"062271003103"</f>
        <v>062271003103</v>
      </c>
    </row>
    <row r="4437" spans="1:9" x14ac:dyDescent="0.25">
      <c r="A4437" t="s">
        <v>3936</v>
      </c>
      <c r="B4437" t="s">
        <v>13</v>
      </c>
      <c r="C4437">
        <v>30.75</v>
      </c>
      <c r="D4437">
        <v>32.15</v>
      </c>
      <c r="E4437" t="s">
        <v>17</v>
      </c>
      <c r="F4437">
        <v>25.72</v>
      </c>
      <c r="G4437">
        <v>24.35</v>
      </c>
      <c r="H4437" t="s">
        <v>17</v>
      </c>
      <c r="I4437" t="str">
        <f>"062825010311"</f>
        <v>062825010311</v>
      </c>
    </row>
    <row r="4438" spans="1:9" x14ac:dyDescent="0.25">
      <c r="A4438" t="s">
        <v>3937</v>
      </c>
      <c r="B4438" t="s">
        <v>13</v>
      </c>
      <c r="C4438">
        <v>45</v>
      </c>
      <c r="D4438">
        <v>57.2</v>
      </c>
      <c r="E4438" t="s">
        <v>17</v>
      </c>
      <c r="F4438">
        <v>24.98</v>
      </c>
      <c r="G4438">
        <v>20.14</v>
      </c>
      <c r="H4438" t="s">
        <v>17</v>
      </c>
      <c r="I4438" t="str">
        <f>"062271010845"</f>
        <v>062271010845</v>
      </c>
    </row>
    <row r="4439" spans="1:9" x14ac:dyDescent="0.25">
      <c r="A4439" t="s">
        <v>3938</v>
      </c>
      <c r="B4439" t="s">
        <v>13</v>
      </c>
      <c r="C4439">
        <v>10</v>
      </c>
      <c r="D4439">
        <v>10</v>
      </c>
      <c r="E4439" t="s">
        <v>17</v>
      </c>
      <c r="F4439">
        <v>23.1</v>
      </c>
      <c r="G4439">
        <v>23.1</v>
      </c>
      <c r="H4439" t="s">
        <v>17</v>
      </c>
      <c r="I4439" t="str">
        <f>"062271011856"</f>
        <v>062271011856</v>
      </c>
    </row>
    <row r="4440" spans="1:9" x14ac:dyDescent="0.25">
      <c r="A4440" t="s">
        <v>3939</v>
      </c>
      <c r="B4440" t="s">
        <v>13</v>
      </c>
      <c r="C4440">
        <v>7.5</v>
      </c>
      <c r="D4440">
        <v>8</v>
      </c>
      <c r="E4440" t="s">
        <v>17</v>
      </c>
      <c r="F4440">
        <v>19.87</v>
      </c>
      <c r="G4440">
        <v>17.88</v>
      </c>
      <c r="H4440" t="s">
        <v>17</v>
      </c>
      <c r="I4440" t="str">
        <f>"061353001546"</f>
        <v>061353001546</v>
      </c>
    </row>
    <row r="4441" spans="1:9" x14ac:dyDescent="0.25">
      <c r="A4441" t="s">
        <v>3940</v>
      </c>
      <c r="B4441" t="s">
        <v>13</v>
      </c>
      <c r="C4441">
        <v>4.6500000000000004</v>
      </c>
      <c r="D4441">
        <v>5.3</v>
      </c>
      <c r="E4441" t="s">
        <v>17</v>
      </c>
      <c r="F4441">
        <v>18.489999999999998</v>
      </c>
      <c r="G4441">
        <v>16.23</v>
      </c>
      <c r="H4441" t="s">
        <v>17</v>
      </c>
      <c r="I4441" t="str">
        <f>"062569012564"</f>
        <v>062569012564</v>
      </c>
    </row>
    <row r="4442" spans="1:9" x14ac:dyDescent="0.25">
      <c r="A4442" t="s">
        <v>3941</v>
      </c>
      <c r="B4442" t="s">
        <v>13</v>
      </c>
      <c r="C4442">
        <v>21.81</v>
      </c>
      <c r="D4442">
        <v>23.82</v>
      </c>
      <c r="E4442" t="s">
        <v>17</v>
      </c>
      <c r="F4442">
        <v>30.81</v>
      </c>
      <c r="G4442">
        <v>29.76</v>
      </c>
      <c r="H4442" t="s">
        <v>17</v>
      </c>
      <c r="I4442" t="str">
        <f>"061488000753"</f>
        <v>061488000753</v>
      </c>
    </row>
    <row r="4443" spans="1:9" x14ac:dyDescent="0.25">
      <c r="A4443" t="s">
        <v>3942</v>
      </c>
      <c r="B4443" t="s">
        <v>13</v>
      </c>
      <c r="C4443">
        <v>18</v>
      </c>
      <c r="D4443">
        <v>18</v>
      </c>
      <c r="E4443" t="s">
        <v>17</v>
      </c>
      <c r="F4443">
        <v>20.94</v>
      </c>
      <c r="G4443">
        <v>23.39</v>
      </c>
      <c r="H4443" t="s">
        <v>17</v>
      </c>
      <c r="I4443" t="str">
        <f>"062553003820"</f>
        <v>062553003820</v>
      </c>
    </row>
    <row r="4444" spans="1:9" x14ac:dyDescent="0.25">
      <c r="A4444" t="s">
        <v>3943</v>
      </c>
      <c r="B4444" t="s">
        <v>13</v>
      </c>
      <c r="C4444">
        <v>4</v>
      </c>
      <c r="D4444">
        <v>5</v>
      </c>
      <c r="E4444" t="s">
        <v>17</v>
      </c>
      <c r="F4444">
        <v>14</v>
      </c>
      <c r="G4444">
        <v>18.2</v>
      </c>
      <c r="H4444" t="s">
        <v>17</v>
      </c>
      <c r="I4444" t="str">
        <f>"069101309227"</f>
        <v>069101309227</v>
      </c>
    </row>
    <row r="4445" spans="1:9" x14ac:dyDescent="0.25">
      <c r="A4445" t="s">
        <v>3944</v>
      </c>
      <c r="B4445" t="s">
        <v>13</v>
      </c>
      <c r="C4445">
        <v>18.5</v>
      </c>
      <c r="D4445">
        <v>19.8</v>
      </c>
      <c r="E4445" t="s">
        <v>17</v>
      </c>
      <c r="F4445">
        <v>23.89</v>
      </c>
      <c r="G4445">
        <v>22.27</v>
      </c>
      <c r="H4445" t="s">
        <v>17</v>
      </c>
      <c r="I4445" t="str">
        <f>"060003501548"</f>
        <v>060003501548</v>
      </c>
    </row>
    <row r="4446" spans="1:9" x14ac:dyDescent="0.25">
      <c r="A4446" t="s">
        <v>3945</v>
      </c>
      <c r="B4446" t="s">
        <v>13</v>
      </c>
      <c r="C4446">
        <v>20</v>
      </c>
      <c r="D4446">
        <v>20</v>
      </c>
      <c r="E4446" t="s">
        <v>17</v>
      </c>
      <c r="F4446">
        <v>22.4</v>
      </c>
      <c r="G4446">
        <v>23.8</v>
      </c>
      <c r="H4446" t="s">
        <v>17</v>
      </c>
      <c r="I4446" t="str">
        <f>"060411000378"</f>
        <v>060411000378</v>
      </c>
    </row>
    <row r="4447" spans="1:9" x14ac:dyDescent="0.25">
      <c r="A4447" t="s">
        <v>3946</v>
      </c>
      <c r="B4447" t="s">
        <v>13</v>
      </c>
      <c r="C4447">
        <v>31.83</v>
      </c>
      <c r="D4447">
        <v>33.01</v>
      </c>
      <c r="E4447" t="s">
        <v>17</v>
      </c>
      <c r="F4447">
        <v>37.1</v>
      </c>
      <c r="G4447">
        <v>40.96</v>
      </c>
      <c r="H4447" t="s">
        <v>17</v>
      </c>
      <c r="I4447" t="str">
        <f>"061455005749"</f>
        <v>061455005749</v>
      </c>
    </row>
    <row r="4448" spans="1:9" x14ac:dyDescent="0.25">
      <c r="A4448" t="s">
        <v>3947</v>
      </c>
      <c r="B4448" t="s">
        <v>13</v>
      </c>
      <c r="C4448">
        <v>2</v>
      </c>
      <c r="D4448">
        <v>2</v>
      </c>
      <c r="E4448" t="s">
        <v>17</v>
      </c>
      <c r="F4448">
        <v>7</v>
      </c>
      <c r="G4448">
        <v>6.5</v>
      </c>
      <c r="H4448" t="s">
        <v>17</v>
      </c>
      <c r="I4448" t="str">
        <f>"069103809252"</f>
        <v>069103809252</v>
      </c>
    </row>
    <row r="4449" spans="1:9" x14ac:dyDescent="0.25">
      <c r="A4449" t="s">
        <v>3948</v>
      </c>
      <c r="B4449" t="s">
        <v>13</v>
      </c>
      <c r="C4449">
        <v>24.68</v>
      </c>
      <c r="D4449">
        <v>23.03</v>
      </c>
      <c r="E4449" t="s">
        <v>17</v>
      </c>
      <c r="F4449">
        <v>29.86</v>
      </c>
      <c r="G4449">
        <v>28.79</v>
      </c>
      <c r="H4449" t="s">
        <v>17</v>
      </c>
      <c r="I4449" t="str">
        <f>"063942006560"</f>
        <v>063942006560</v>
      </c>
    </row>
    <row r="4450" spans="1:9" x14ac:dyDescent="0.25">
      <c r="A4450" t="s">
        <v>3949</v>
      </c>
      <c r="B4450" t="s">
        <v>13</v>
      </c>
      <c r="C4450">
        <v>37.08</v>
      </c>
      <c r="D4450">
        <v>35.08</v>
      </c>
      <c r="E4450" t="s">
        <v>17</v>
      </c>
      <c r="F4450">
        <v>21.52</v>
      </c>
      <c r="G4450">
        <v>22.41</v>
      </c>
      <c r="H4450" t="s">
        <v>17</v>
      </c>
      <c r="I4450" t="str">
        <f>"062259008885"</f>
        <v>062259008885</v>
      </c>
    </row>
    <row r="4451" spans="1:9" x14ac:dyDescent="0.25">
      <c r="A4451" t="s">
        <v>3950</v>
      </c>
      <c r="B4451" t="s">
        <v>13</v>
      </c>
      <c r="C4451">
        <v>17.8</v>
      </c>
      <c r="D4451">
        <v>15</v>
      </c>
      <c r="E4451" t="s">
        <v>17</v>
      </c>
      <c r="F4451">
        <v>24.44</v>
      </c>
      <c r="G4451">
        <v>26.53</v>
      </c>
      <c r="H4451" t="s">
        <v>17</v>
      </c>
      <c r="I4451" t="str">
        <f>"061440001662"</f>
        <v>061440001662</v>
      </c>
    </row>
    <row r="4452" spans="1:9" x14ac:dyDescent="0.25">
      <c r="A4452" t="s">
        <v>3951</v>
      </c>
      <c r="B4452" t="s">
        <v>13</v>
      </c>
      <c r="C4452">
        <v>26.6</v>
      </c>
      <c r="D4452">
        <v>30.2</v>
      </c>
      <c r="E4452" t="s">
        <v>17</v>
      </c>
      <c r="F4452">
        <v>28.23</v>
      </c>
      <c r="G4452">
        <v>25.2</v>
      </c>
      <c r="H4452" t="s">
        <v>17</v>
      </c>
      <c r="I4452" t="str">
        <f>"060561000510"</f>
        <v>060561000510</v>
      </c>
    </row>
    <row r="4453" spans="1:9" x14ac:dyDescent="0.25">
      <c r="A4453" t="s">
        <v>3952</v>
      </c>
      <c r="B4453" t="s">
        <v>13</v>
      </c>
      <c r="C4453">
        <v>31</v>
      </c>
      <c r="D4453">
        <v>33</v>
      </c>
      <c r="E4453" t="s">
        <v>17</v>
      </c>
      <c r="F4453">
        <v>26.23</v>
      </c>
      <c r="G4453">
        <v>23.58</v>
      </c>
      <c r="H4453" t="s">
        <v>17</v>
      </c>
      <c r="I4453" t="str">
        <f>"060579000522"</f>
        <v>060579000522</v>
      </c>
    </row>
    <row r="4454" spans="1:9" x14ac:dyDescent="0.25">
      <c r="A4454" t="s">
        <v>3953</v>
      </c>
      <c r="B4454" t="s">
        <v>13</v>
      </c>
      <c r="C4454">
        <v>25.4</v>
      </c>
      <c r="D4454">
        <v>25.33</v>
      </c>
      <c r="E4454" t="s">
        <v>17</v>
      </c>
      <c r="F4454">
        <v>22.4</v>
      </c>
      <c r="G4454">
        <v>21.28</v>
      </c>
      <c r="H4454" t="s">
        <v>17</v>
      </c>
      <c r="I4454" t="str">
        <f>"064320007015"</f>
        <v>064320007015</v>
      </c>
    </row>
    <row r="4455" spans="1:9" x14ac:dyDescent="0.25">
      <c r="A4455" t="s">
        <v>3954</v>
      </c>
      <c r="B4455" t="s">
        <v>13</v>
      </c>
      <c r="C4455" t="s">
        <v>14</v>
      </c>
      <c r="D4455" t="s">
        <v>14</v>
      </c>
      <c r="E4455" t="s">
        <v>14</v>
      </c>
      <c r="F4455" t="s">
        <v>17</v>
      </c>
      <c r="G4455" t="s">
        <v>14</v>
      </c>
      <c r="H4455" t="s">
        <v>14</v>
      </c>
      <c r="I4455" t="str">
        <f>"062610012913"</f>
        <v>062610012913</v>
      </c>
    </row>
    <row r="4456" spans="1:9" x14ac:dyDescent="0.25">
      <c r="A4456" t="s">
        <v>3955</v>
      </c>
      <c r="B4456" t="s">
        <v>13</v>
      </c>
      <c r="C4456" t="s">
        <v>14</v>
      </c>
      <c r="D4456" t="s">
        <v>14</v>
      </c>
      <c r="E4456" t="s">
        <v>17</v>
      </c>
      <c r="F4456" t="s">
        <v>14</v>
      </c>
      <c r="G4456" t="s">
        <v>14</v>
      </c>
      <c r="H4456" t="s">
        <v>17</v>
      </c>
      <c r="I4456" t="str">
        <f>"060005307510"</f>
        <v>060005307510</v>
      </c>
    </row>
    <row r="4457" spans="1:9" x14ac:dyDescent="0.25">
      <c r="A4457" t="s">
        <v>3956</v>
      </c>
      <c r="B4457" t="s">
        <v>13</v>
      </c>
      <c r="C4457">
        <v>22.9</v>
      </c>
      <c r="D4457">
        <v>21</v>
      </c>
      <c r="E4457" t="s">
        <v>17</v>
      </c>
      <c r="F4457">
        <v>25.2</v>
      </c>
      <c r="G4457">
        <v>24.1</v>
      </c>
      <c r="H4457" t="s">
        <v>17</v>
      </c>
      <c r="I4457" t="str">
        <f>"063705011698"</f>
        <v>063705011698</v>
      </c>
    </row>
    <row r="4458" spans="1:9" x14ac:dyDescent="0.25">
      <c r="A4458" t="s">
        <v>3957</v>
      </c>
      <c r="B4458" t="s">
        <v>13</v>
      </c>
      <c r="C4458">
        <v>35.270000000000003</v>
      </c>
      <c r="D4458">
        <v>35.15</v>
      </c>
      <c r="E4458" t="s">
        <v>17</v>
      </c>
      <c r="F4458">
        <v>22.97</v>
      </c>
      <c r="G4458">
        <v>25.01</v>
      </c>
      <c r="H4458" t="s">
        <v>17</v>
      </c>
      <c r="I4458" t="str">
        <f>"062334010953"</f>
        <v>062334010953</v>
      </c>
    </row>
    <row r="4459" spans="1:9" x14ac:dyDescent="0.25">
      <c r="A4459" t="s">
        <v>3958</v>
      </c>
      <c r="B4459" t="s">
        <v>13</v>
      </c>
      <c r="C4459">
        <v>25.5</v>
      </c>
      <c r="D4459">
        <v>26</v>
      </c>
      <c r="E4459" t="s">
        <v>17</v>
      </c>
      <c r="F4459">
        <v>26.98</v>
      </c>
      <c r="G4459">
        <v>26.08</v>
      </c>
      <c r="H4459" t="s">
        <v>17</v>
      </c>
      <c r="I4459" t="str">
        <f>"062259006163"</f>
        <v>062259006163</v>
      </c>
    </row>
    <row r="4460" spans="1:9" x14ac:dyDescent="0.25">
      <c r="A4460" t="s">
        <v>3959</v>
      </c>
      <c r="B4460" t="s">
        <v>13</v>
      </c>
      <c r="C4460">
        <v>5</v>
      </c>
      <c r="D4460">
        <v>3.51</v>
      </c>
      <c r="E4460" t="s">
        <v>17</v>
      </c>
      <c r="F4460">
        <v>17.2</v>
      </c>
      <c r="G4460">
        <v>19.940000000000001</v>
      </c>
      <c r="H4460" t="s">
        <v>17</v>
      </c>
      <c r="I4460" t="str">
        <f>"062271012188"</f>
        <v>062271012188</v>
      </c>
    </row>
    <row r="4461" spans="1:9" x14ac:dyDescent="0.25">
      <c r="A4461" t="s">
        <v>3960</v>
      </c>
      <c r="B4461" t="s">
        <v>13</v>
      </c>
      <c r="C4461">
        <v>4</v>
      </c>
      <c r="D4461">
        <v>4.5</v>
      </c>
      <c r="E4461" t="s">
        <v>17</v>
      </c>
      <c r="F4461">
        <v>31.75</v>
      </c>
      <c r="G4461">
        <v>28.22</v>
      </c>
      <c r="H4461" t="s">
        <v>17</v>
      </c>
      <c r="I4461" t="str">
        <f>"062271003146"</f>
        <v>062271003146</v>
      </c>
    </row>
    <row r="4462" spans="1:9" x14ac:dyDescent="0.25">
      <c r="A4462" t="s">
        <v>3961</v>
      </c>
      <c r="B4462" t="s">
        <v>13</v>
      </c>
      <c r="C4462">
        <v>14</v>
      </c>
      <c r="D4462">
        <v>15.1</v>
      </c>
      <c r="E4462" t="s">
        <v>17</v>
      </c>
      <c r="F4462">
        <v>25.79</v>
      </c>
      <c r="G4462">
        <v>24.37</v>
      </c>
      <c r="H4462" t="s">
        <v>17</v>
      </c>
      <c r="I4462" t="str">
        <f>"063045011180"</f>
        <v>063045011180</v>
      </c>
    </row>
    <row r="4463" spans="1:9" x14ac:dyDescent="0.25">
      <c r="A4463" t="s">
        <v>3961</v>
      </c>
      <c r="B4463" t="s">
        <v>13</v>
      </c>
      <c r="C4463">
        <v>20</v>
      </c>
      <c r="D4463">
        <v>23.8</v>
      </c>
      <c r="E4463" t="s">
        <v>17</v>
      </c>
      <c r="F4463">
        <v>26.55</v>
      </c>
      <c r="G4463">
        <v>24.16</v>
      </c>
      <c r="H4463" t="s">
        <v>17</v>
      </c>
      <c r="I4463" t="str">
        <f>"060285000156"</f>
        <v>060285000156</v>
      </c>
    </row>
    <row r="4464" spans="1:9" x14ac:dyDescent="0.25">
      <c r="A4464" t="s">
        <v>3962</v>
      </c>
      <c r="B4464" t="s">
        <v>13</v>
      </c>
      <c r="C4464">
        <v>21.9</v>
      </c>
      <c r="D4464">
        <v>20</v>
      </c>
      <c r="E4464" t="s">
        <v>17</v>
      </c>
      <c r="F4464">
        <v>28.77</v>
      </c>
      <c r="G4464">
        <v>31.3</v>
      </c>
      <c r="H4464" t="s">
        <v>17</v>
      </c>
      <c r="I4464" t="str">
        <f>"062088009561"</f>
        <v>062088009561</v>
      </c>
    </row>
    <row r="4465" spans="1:9" x14ac:dyDescent="0.25">
      <c r="A4465" t="s">
        <v>3963</v>
      </c>
      <c r="B4465" t="s">
        <v>13</v>
      </c>
      <c r="C4465">
        <v>2</v>
      </c>
      <c r="D4465">
        <v>2</v>
      </c>
      <c r="E4465" t="s">
        <v>17</v>
      </c>
      <c r="F4465">
        <v>15</v>
      </c>
      <c r="G4465">
        <v>11</v>
      </c>
      <c r="H4465" t="s">
        <v>17</v>
      </c>
      <c r="I4465" t="str">
        <f>"061995002391"</f>
        <v>061995002391</v>
      </c>
    </row>
    <row r="4466" spans="1:9" x14ac:dyDescent="0.25">
      <c r="A4466" t="s">
        <v>3964</v>
      </c>
      <c r="B4466" t="s">
        <v>13</v>
      </c>
      <c r="C4466">
        <v>19</v>
      </c>
      <c r="D4466">
        <v>13</v>
      </c>
      <c r="E4466" t="s">
        <v>17</v>
      </c>
      <c r="F4466">
        <v>29.58</v>
      </c>
      <c r="G4466">
        <v>29.46</v>
      </c>
      <c r="H4466" t="s">
        <v>17</v>
      </c>
      <c r="I4466" t="str">
        <f>"062583003876"</f>
        <v>062583003876</v>
      </c>
    </row>
    <row r="4467" spans="1:9" x14ac:dyDescent="0.25">
      <c r="A4467" t="s">
        <v>3965</v>
      </c>
      <c r="B4467" t="s">
        <v>13</v>
      </c>
      <c r="C4467">
        <v>28.45</v>
      </c>
      <c r="D4467">
        <v>24.8</v>
      </c>
      <c r="E4467" t="s">
        <v>17</v>
      </c>
      <c r="F4467">
        <v>19.89</v>
      </c>
      <c r="G4467">
        <v>22.22</v>
      </c>
      <c r="H4467" t="s">
        <v>17</v>
      </c>
      <c r="I4467" t="str">
        <f>"062211002627"</f>
        <v>062211002627</v>
      </c>
    </row>
    <row r="4468" spans="1:9" x14ac:dyDescent="0.25">
      <c r="A4468" t="s">
        <v>3966</v>
      </c>
      <c r="B4468" t="s">
        <v>13</v>
      </c>
      <c r="C4468">
        <v>18.5</v>
      </c>
      <c r="D4468">
        <v>18.55</v>
      </c>
      <c r="E4468" t="s">
        <v>17</v>
      </c>
      <c r="F4468">
        <v>24.49</v>
      </c>
      <c r="G4468">
        <v>22.86</v>
      </c>
      <c r="H4468" t="s">
        <v>17</v>
      </c>
      <c r="I4468" t="str">
        <f>"063231004983"</f>
        <v>063231004983</v>
      </c>
    </row>
    <row r="4469" spans="1:9" x14ac:dyDescent="0.25">
      <c r="A4469" t="s">
        <v>3966</v>
      </c>
      <c r="B4469" t="s">
        <v>13</v>
      </c>
      <c r="C4469">
        <v>31.15</v>
      </c>
      <c r="D4469">
        <v>32.15</v>
      </c>
      <c r="E4469" t="s">
        <v>17</v>
      </c>
      <c r="F4469">
        <v>27</v>
      </c>
      <c r="G4469">
        <v>25.57</v>
      </c>
      <c r="H4469" t="s">
        <v>17</v>
      </c>
      <c r="I4469" t="str">
        <f>"063315005145"</f>
        <v>063315005145</v>
      </c>
    </row>
    <row r="4470" spans="1:9" x14ac:dyDescent="0.25">
      <c r="A4470" t="s">
        <v>3966</v>
      </c>
      <c r="B4470" t="s">
        <v>13</v>
      </c>
      <c r="C4470">
        <v>16</v>
      </c>
      <c r="D4470">
        <v>16</v>
      </c>
      <c r="E4470" t="s">
        <v>17</v>
      </c>
      <c r="F4470">
        <v>25.94</v>
      </c>
      <c r="G4470">
        <v>27.25</v>
      </c>
      <c r="H4470" t="s">
        <v>17</v>
      </c>
      <c r="I4470" t="str">
        <f>"060245008789"</f>
        <v>060245008789</v>
      </c>
    </row>
    <row r="4471" spans="1:9" x14ac:dyDescent="0.25">
      <c r="A4471" t="s">
        <v>3966</v>
      </c>
      <c r="B4471" t="s">
        <v>13</v>
      </c>
      <c r="C4471">
        <v>16.010000000000002</v>
      </c>
      <c r="D4471">
        <v>18</v>
      </c>
      <c r="E4471" t="s">
        <v>17</v>
      </c>
      <c r="F4471">
        <v>26.98</v>
      </c>
      <c r="G4471">
        <v>25.17</v>
      </c>
      <c r="H4471" t="s">
        <v>17</v>
      </c>
      <c r="I4471" t="str">
        <f>"061455001741"</f>
        <v>061455001741</v>
      </c>
    </row>
    <row r="4472" spans="1:9" x14ac:dyDescent="0.25">
      <c r="A4472" t="s">
        <v>3966</v>
      </c>
      <c r="B4472" t="s">
        <v>13</v>
      </c>
      <c r="C4472">
        <v>17</v>
      </c>
      <c r="D4472">
        <v>18.2</v>
      </c>
      <c r="E4472" t="s">
        <v>17</v>
      </c>
      <c r="F4472">
        <v>23.12</v>
      </c>
      <c r="G4472">
        <v>21.65</v>
      </c>
      <c r="H4472" t="s">
        <v>17</v>
      </c>
      <c r="I4472" t="str">
        <f>"063525005971"</f>
        <v>063525005971</v>
      </c>
    </row>
    <row r="4473" spans="1:9" x14ac:dyDescent="0.25">
      <c r="A4473" t="s">
        <v>3966</v>
      </c>
      <c r="B4473" t="s">
        <v>13</v>
      </c>
      <c r="C4473">
        <v>13</v>
      </c>
      <c r="D4473">
        <v>13</v>
      </c>
      <c r="E4473" t="s">
        <v>17</v>
      </c>
      <c r="F4473">
        <v>24.31</v>
      </c>
      <c r="G4473">
        <v>23.54</v>
      </c>
      <c r="H4473" t="s">
        <v>17</v>
      </c>
      <c r="I4473" t="str">
        <f>"062994004673"</f>
        <v>062994004673</v>
      </c>
    </row>
    <row r="4474" spans="1:9" x14ac:dyDescent="0.25">
      <c r="A4474" t="s">
        <v>3967</v>
      </c>
      <c r="B4474" t="s">
        <v>13</v>
      </c>
      <c r="C4474">
        <v>22</v>
      </c>
      <c r="D4474">
        <v>24</v>
      </c>
      <c r="E4474" t="s">
        <v>17</v>
      </c>
      <c r="F4474">
        <v>24.95</v>
      </c>
      <c r="G4474">
        <v>21.88</v>
      </c>
      <c r="H4474" t="s">
        <v>17</v>
      </c>
      <c r="I4474" t="str">
        <f>"063198004921"</f>
        <v>063198004921</v>
      </c>
    </row>
    <row r="4475" spans="1:9" x14ac:dyDescent="0.25">
      <c r="A4475" t="s">
        <v>3968</v>
      </c>
      <c r="B4475" t="s">
        <v>13</v>
      </c>
      <c r="C4475">
        <v>12.3</v>
      </c>
      <c r="D4475">
        <v>13.58</v>
      </c>
      <c r="E4475" t="s">
        <v>17</v>
      </c>
      <c r="F4475">
        <v>21.54</v>
      </c>
      <c r="G4475">
        <v>20.25</v>
      </c>
      <c r="H4475" t="s">
        <v>17</v>
      </c>
      <c r="I4475" t="str">
        <f>"060245009300"</f>
        <v>060245009300</v>
      </c>
    </row>
    <row r="4476" spans="1:9" x14ac:dyDescent="0.25">
      <c r="A4476" t="s">
        <v>3969</v>
      </c>
      <c r="B4476" t="s">
        <v>13</v>
      </c>
      <c r="C4476">
        <v>27</v>
      </c>
      <c r="D4476">
        <v>22.6</v>
      </c>
      <c r="E4476" t="s">
        <v>17</v>
      </c>
      <c r="F4476">
        <v>18.93</v>
      </c>
      <c r="G4476">
        <v>18.190000000000001</v>
      </c>
      <c r="H4476" t="s">
        <v>17</v>
      </c>
      <c r="I4476" t="str">
        <f>"064338007026"</f>
        <v>064338007026</v>
      </c>
    </row>
    <row r="4477" spans="1:9" x14ac:dyDescent="0.25">
      <c r="A4477" t="s">
        <v>3970</v>
      </c>
      <c r="B4477" t="s">
        <v>13</v>
      </c>
      <c r="C4477">
        <v>31</v>
      </c>
      <c r="D4477">
        <v>32.5</v>
      </c>
      <c r="E4477" t="s">
        <v>17</v>
      </c>
      <c r="F4477">
        <v>23.68</v>
      </c>
      <c r="G4477">
        <v>24.74</v>
      </c>
      <c r="H4477" t="s">
        <v>17</v>
      </c>
      <c r="I4477" t="str">
        <f>"061692010349"</f>
        <v>061692010349</v>
      </c>
    </row>
    <row r="4478" spans="1:9" x14ac:dyDescent="0.25">
      <c r="A4478" t="s">
        <v>3971</v>
      </c>
      <c r="B4478" t="s">
        <v>13</v>
      </c>
      <c r="C4478">
        <v>39.72</v>
      </c>
      <c r="D4478">
        <v>42.91</v>
      </c>
      <c r="E4478" t="s">
        <v>17</v>
      </c>
      <c r="F4478">
        <v>24.47</v>
      </c>
      <c r="G4478">
        <v>23.93</v>
      </c>
      <c r="H4478" t="s">
        <v>17</v>
      </c>
      <c r="I4478" t="str">
        <f>"063888006528"</f>
        <v>063888006528</v>
      </c>
    </row>
    <row r="4479" spans="1:9" x14ac:dyDescent="0.25">
      <c r="A4479" t="s">
        <v>3972</v>
      </c>
      <c r="B4479" t="s">
        <v>13</v>
      </c>
      <c r="C4479">
        <v>18</v>
      </c>
      <c r="D4479">
        <v>18</v>
      </c>
      <c r="E4479" t="s">
        <v>17</v>
      </c>
      <c r="F4479">
        <v>23.72</v>
      </c>
      <c r="G4479">
        <v>24.61</v>
      </c>
      <c r="H4479" t="s">
        <v>17</v>
      </c>
      <c r="I4479" t="str">
        <f>"061866002271"</f>
        <v>061866002271</v>
      </c>
    </row>
    <row r="4480" spans="1:9" x14ac:dyDescent="0.25">
      <c r="A4480" t="s">
        <v>3973</v>
      </c>
      <c r="B4480" t="s">
        <v>13</v>
      </c>
      <c r="C4480" t="s">
        <v>14</v>
      </c>
      <c r="D4480">
        <v>3</v>
      </c>
      <c r="E4480" t="s">
        <v>17</v>
      </c>
      <c r="F4480" t="s">
        <v>17</v>
      </c>
      <c r="G4480">
        <v>14.33</v>
      </c>
      <c r="H4480" t="s">
        <v>17</v>
      </c>
      <c r="I4480" t="str">
        <f>"062610003903"</f>
        <v>062610003903</v>
      </c>
    </row>
    <row r="4481" spans="1:9" x14ac:dyDescent="0.25">
      <c r="A4481" t="s">
        <v>3974</v>
      </c>
      <c r="B4481" t="s">
        <v>13</v>
      </c>
      <c r="C4481">
        <v>3</v>
      </c>
      <c r="D4481" t="s">
        <v>14</v>
      </c>
      <c r="E4481" t="s">
        <v>14</v>
      </c>
      <c r="F4481">
        <v>19.329999999999998</v>
      </c>
      <c r="G4481" t="s">
        <v>14</v>
      </c>
      <c r="H4481" t="s">
        <v>14</v>
      </c>
      <c r="I4481" t="str">
        <f>"062610013049"</f>
        <v>062610013049</v>
      </c>
    </row>
    <row r="4482" spans="1:9" x14ac:dyDescent="0.25">
      <c r="A4482" t="s">
        <v>3975</v>
      </c>
      <c r="B4482" t="s">
        <v>13</v>
      </c>
      <c r="C4482">
        <v>27.5</v>
      </c>
      <c r="D4482">
        <v>25</v>
      </c>
      <c r="E4482" t="s">
        <v>17</v>
      </c>
      <c r="F4482">
        <v>24</v>
      </c>
      <c r="G4482">
        <v>24.88</v>
      </c>
      <c r="H4482" t="s">
        <v>17</v>
      </c>
      <c r="I4482" t="str">
        <f>"062271012719"</f>
        <v>062271012719</v>
      </c>
    </row>
    <row r="4483" spans="1:9" x14ac:dyDescent="0.25">
      <c r="A4483" t="s">
        <v>3976</v>
      </c>
      <c r="B4483" t="s">
        <v>13</v>
      </c>
      <c r="C4483">
        <v>20</v>
      </c>
      <c r="D4483">
        <v>19.5</v>
      </c>
      <c r="E4483" t="s">
        <v>17</v>
      </c>
      <c r="F4483">
        <v>24</v>
      </c>
      <c r="G4483">
        <v>22.97</v>
      </c>
      <c r="H4483" t="s">
        <v>17</v>
      </c>
      <c r="I4483" t="str">
        <f>"060681001165"</f>
        <v>060681001165</v>
      </c>
    </row>
    <row r="4484" spans="1:9" x14ac:dyDescent="0.25">
      <c r="A4484" t="s">
        <v>3977</v>
      </c>
      <c r="B4484" t="s">
        <v>13</v>
      </c>
      <c r="C4484">
        <v>109.99</v>
      </c>
      <c r="D4484">
        <v>129.80000000000001</v>
      </c>
      <c r="E4484" t="s">
        <v>17</v>
      </c>
      <c r="F4484">
        <v>22.44</v>
      </c>
      <c r="G4484">
        <v>19.53</v>
      </c>
      <c r="H4484" t="s">
        <v>17</v>
      </c>
      <c r="I4484" t="str">
        <f>"062271003037"</f>
        <v>062271003037</v>
      </c>
    </row>
    <row r="4485" spans="1:9" x14ac:dyDescent="0.25">
      <c r="A4485" t="s">
        <v>3978</v>
      </c>
      <c r="B4485" t="s">
        <v>13</v>
      </c>
      <c r="C4485">
        <v>20.34</v>
      </c>
      <c r="D4485">
        <v>19.350000000000001</v>
      </c>
      <c r="E4485" t="s">
        <v>17</v>
      </c>
      <c r="F4485">
        <v>22.22</v>
      </c>
      <c r="G4485">
        <v>23.57</v>
      </c>
      <c r="H4485" t="s">
        <v>17</v>
      </c>
      <c r="I4485" t="str">
        <f>"062706004081"</f>
        <v>062706004081</v>
      </c>
    </row>
    <row r="4486" spans="1:9" x14ac:dyDescent="0.25">
      <c r="A4486" t="s">
        <v>3979</v>
      </c>
      <c r="B4486" t="s">
        <v>13</v>
      </c>
      <c r="C4486">
        <v>20.399999999999999</v>
      </c>
      <c r="D4486">
        <v>21</v>
      </c>
      <c r="E4486" t="s">
        <v>17</v>
      </c>
      <c r="F4486">
        <v>24.71</v>
      </c>
      <c r="G4486">
        <v>25.95</v>
      </c>
      <c r="H4486" t="s">
        <v>17</v>
      </c>
      <c r="I4486" t="str">
        <f>"061233001407"</f>
        <v>061233001407</v>
      </c>
    </row>
    <row r="4487" spans="1:9" x14ac:dyDescent="0.25">
      <c r="A4487" t="s">
        <v>3980</v>
      </c>
      <c r="B4487" t="s">
        <v>13</v>
      </c>
      <c r="C4487">
        <v>24</v>
      </c>
      <c r="D4487">
        <v>25</v>
      </c>
      <c r="E4487" t="s">
        <v>17</v>
      </c>
      <c r="F4487">
        <v>27.46</v>
      </c>
      <c r="G4487">
        <v>26.52</v>
      </c>
      <c r="H4487" t="s">
        <v>17</v>
      </c>
      <c r="I4487" t="str">
        <f>"060636000560"</f>
        <v>060636000560</v>
      </c>
    </row>
    <row r="4488" spans="1:9" x14ac:dyDescent="0.25">
      <c r="A4488" t="s">
        <v>3981</v>
      </c>
      <c r="B4488" t="s">
        <v>13</v>
      </c>
      <c r="C4488" t="s">
        <v>14</v>
      </c>
      <c r="D4488" t="s">
        <v>14</v>
      </c>
      <c r="E4488" t="s">
        <v>17</v>
      </c>
      <c r="F4488" t="s">
        <v>14</v>
      </c>
      <c r="G4488" t="s">
        <v>14</v>
      </c>
      <c r="H4488" t="s">
        <v>17</v>
      </c>
      <c r="I4488" t="str">
        <f>"060005007487"</f>
        <v>060005007487</v>
      </c>
    </row>
    <row r="4489" spans="1:9" x14ac:dyDescent="0.25">
      <c r="A4489" t="s">
        <v>3982</v>
      </c>
      <c r="B4489" t="s">
        <v>13</v>
      </c>
      <c r="C4489">
        <v>43.95</v>
      </c>
      <c r="D4489">
        <v>41.4</v>
      </c>
      <c r="E4489" t="s">
        <v>17</v>
      </c>
      <c r="F4489">
        <v>21.68</v>
      </c>
      <c r="G4489">
        <v>21.76</v>
      </c>
      <c r="H4489" t="s">
        <v>17</v>
      </c>
      <c r="I4489" t="str">
        <f>"063509005936"</f>
        <v>063509005936</v>
      </c>
    </row>
    <row r="4490" spans="1:9" x14ac:dyDescent="0.25">
      <c r="A4490" t="s">
        <v>3983</v>
      </c>
      <c r="B4490" t="s">
        <v>13</v>
      </c>
      <c r="C4490">
        <v>90.59</v>
      </c>
      <c r="D4490">
        <v>92.59</v>
      </c>
      <c r="E4490" t="s">
        <v>17</v>
      </c>
      <c r="F4490">
        <v>27.33</v>
      </c>
      <c r="G4490">
        <v>26.7</v>
      </c>
      <c r="H4490" t="s">
        <v>17</v>
      </c>
      <c r="I4490" t="str">
        <f>"062515011812"</f>
        <v>062515011812</v>
      </c>
    </row>
    <row r="4491" spans="1:9" x14ac:dyDescent="0.25">
      <c r="A4491" t="s">
        <v>3984</v>
      </c>
      <c r="B4491" t="s">
        <v>13</v>
      </c>
      <c r="C4491">
        <v>29.4</v>
      </c>
      <c r="D4491">
        <v>29.5</v>
      </c>
      <c r="E4491" t="s">
        <v>17</v>
      </c>
      <c r="F4491">
        <v>25.82</v>
      </c>
      <c r="G4491">
        <v>24.17</v>
      </c>
      <c r="H4491" t="s">
        <v>17</v>
      </c>
      <c r="I4491" t="str">
        <f>"060001908443"</f>
        <v>060001908443</v>
      </c>
    </row>
    <row r="4492" spans="1:9" x14ac:dyDescent="0.25">
      <c r="A4492" t="s">
        <v>3985</v>
      </c>
      <c r="B4492" t="s">
        <v>13</v>
      </c>
      <c r="C4492">
        <v>20.2</v>
      </c>
      <c r="D4492">
        <v>23.7</v>
      </c>
      <c r="E4492" t="s">
        <v>17</v>
      </c>
      <c r="F4492">
        <v>25.4</v>
      </c>
      <c r="G4492">
        <v>23.71</v>
      </c>
      <c r="H4492" t="s">
        <v>17</v>
      </c>
      <c r="I4492" t="str">
        <f>"063171008943"</f>
        <v>063171008943</v>
      </c>
    </row>
    <row r="4493" spans="1:9" x14ac:dyDescent="0.25">
      <c r="A4493" t="s">
        <v>3986</v>
      </c>
      <c r="B4493" t="s">
        <v>13</v>
      </c>
      <c r="C4493">
        <v>41.54</v>
      </c>
      <c r="D4493">
        <v>38</v>
      </c>
      <c r="E4493" t="s">
        <v>17</v>
      </c>
      <c r="F4493">
        <v>21.43</v>
      </c>
      <c r="G4493">
        <v>23.42</v>
      </c>
      <c r="H4493" t="s">
        <v>17</v>
      </c>
      <c r="I4493" t="str">
        <f>"061350001540"</f>
        <v>061350001540</v>
      </c>
    </row>
    <row r="4494" spans="1:9" x14ac:dyDescent="0.25">
      <c r="A4494" t="s">
        <v>3987</v>
      </c>
      <c r="B4494" t="s">
        <v>13</v>
      </c>
      <c r="C4494">
        <v>26</v>
      </c>
      <c r="D4494">
        <v>27</v>
      </c>
      <c r="E4494" t="s">
        <v>17</v>
      </c>
      <c r="F4494">
        <v>25.69</v>
      </c>
      <c r="G4494">
        <v>24</v>
      </c>
      <c r="H4494" t="s">
        <v>17</v>
      </c>
      <c r="I4494" t="str">
        <f>"061111006219"</f>
        <v>061111006219</v>
      </c>
    </row>
    <row r="4495" spans="1:9" x14ac:dyDescent="0.25">
      <c r="A4495" t="s">
        <v>3988</v>
      </c>
      <c r="B4495" t="s">
        <v>13</v>
      </c>
      <c r="C4495" t="s">
        <v>14</v>
      </c>
      <c r="D4495" t="s">
        <v>14</v>
      </c>
      <c r="E4495" t="s">
        <v>17</v>
      </c>
      <c r="F4495" t="s">
        <v>14</v>
      </c>
      <c r="G4495" t="s">
        <v>14</v>
      </c>
      <c r="H4495" t="s">
        <v>17</v>
      </c>
      <c r="I4495" t="str">
        <f>"063186009426"</f>
        <v>063186009426</v>
      </c>
    </row>
    <row r="4496" spans="1:9" x14ac:dyDescent="0.25">
      <c r="A4496" t="s">
        <v>3989</v>
      </c>
      <c r="B4496" t="s">
        <v>13</v>
      </c>
      <c r="C4496">
        <v>23</v>
      </c>
      <c r="D4496">
        <v>24</v>
      </c>
      <c r="E4496" t="s">
        <v>17</v>
      </c>
      <c r="F4496">
        <v>28.57</v>
      </c>
      <c r="G4496">
        <v>25.33</v>
      </c>
      <c r="H4496" t="s">
        <v>17</v>
      </c>
      <c r="I4496" t="str">
        <f>"063597009637"</f>
        <v>063597009637</v>
      </c>
    </row>
    <row r="4497" spans="1:9" x14ac:dyDescent="0.25">
      <c r="A4497" t="s">
        <v>3990</v>
      </c>
      <c r="B4497" t="s">
        <v>13</v>
      </c>
      <c r="C4497">
        <v>32</v>
      </c>
      <c r="D4497">
        <v>33.21</v>
      </c>
      <c r="E4497" t="s">
        <v>17</v>
      </c>
      <c r="F4497">
        <v>25.38</v>
      </c>
      <c r="G4497">
        <v>24.03</v>
      </c>
      <c r="H4497" t="s">
        <v>17</v>
      </c>
      <c r="I4497" t="str">
        <f>"061314008631"</f>
        <v>061314008631</v>
      </c>
    </row>
    <row r="4498" spans="1:9" x14ac:dyDescent="0.25">
      <c r="A4498" t="s">
        <v>3991</v>
      </c>
      <c r="B4498" t="s">
        <v>13</v>
      </c>
      <c r="C4498">
        <v>11.1</v>
      </c>
      <c r="D4498">
        <v>11.3</v>
      </c>
      <c r="E4498" t="s">
        <v>17</v>
      </c>
      <c r="F4498">
        <v>24.32</v>
      </c>
      <c r="G4498">
        <v>23.98</v>
      </c>
      <c r="H4498" t="s">
        <v>17</v>
      </c>
      <c r="I4498" t="str">
        <f>"063627006183"</f>
        <v>063627006183</v>
      </c>
    </row>
    <row r="4499" spans="1:9" x14ac:dyDescent="0.25">
      <c r="A4499" t="s">
        <v>3992</v>
      </c>
      <c r="B4499" t="s">
        <v>13</v>
      </c>
      <c r="C4499">
        <v>27.63</v>
      </c>
      <c r="D4499">
        <v>29.35</v>
      </c>
      <c r="E4499" t="s">
        <v>17</v>
      </c>
      <c r="F4499">
        <v>30.55</v>
      </c>
      <c r="G4499">
        <v>27.43</v>
      </c>
      <c r="H4499" t="s">
        <v>17</v>
      </c>
      <c r="I4499" t="str">
        <f>"061488001852"</f>
        <v>061488001852</v>
      </c>
    </row>
    <row r="4500" spans="1:9" x14ac:dyDescent="0.25">
      <c r="A4500" t="s">
        <v>3993</v>
      </c>
      <c r="B4500" t="s">
        <v>13</v>
      </c>
      <c r="C4500">
        <v>20</v>
      </c>
      <c r="D4500">
        <v>19.02</v>
      </c>
      <c r="E4500" t="s">
        <v>17</v>
      </c>
      <c r="F4500">
        <v>7.05</v>
      </c>
      <c r="G4500">
        <v>7.62</v>
      </c>
      <c r="H4500" t="s">
        <v>17</v>
      </c>
      <c r="I4500" t="str">
        <f>"062271007760"</f>
        <v>062271007760</v>
      </c>
    </row>
    <row r="4501" spans="1:9" x14ac:dyDescent="0.25">
      <c r="A4501" t="s">
        <v>3994</v>
      </c>
      <c r="B4501" t="s">
        <v>13</v>
      </c>
      <c r="C4501">
        <v>12</v>
      </c>
      <c r="D4501">
        <v>11.45</v>
      </c>
      <c r="E4501" t="s">
        <v>17</v>
      </c>
      <c r="F4501">
        <v>22.17</v>
      </c>
      <c r="G4501">
        <v>22.27</v>
      </c>
      <c r="H4501" t="s">
        <v>17</v>
      </c>
      <c r="I4501" t="str">
        <f>"062271010893"</f>
        <v>062271010893</v>
      </c>
    </row>
    <row r="4502" spans="1:9" x14ac:dyDescent="0.25">
      <c r="A4502" t="s">
        <v>3995</v>
      </c>
      <c r="B4502" t="s">
        <v>13</v>
      </c>
      <c r="C4502">
        <v>28.59</v>
      </c>
      <c r="D4502">
        <v>28.59</v>
      </c>
      <c r="E4502" t="s">
        <v>17</v>
      </c>
      <c r="F4502">
        <v>29.31</v>
      </c>
      <c r="G4502">
        <v>26.83</v>
      </c>
      <c r="H4502" t="s">
        <v>17</v>
      </c>
      <c r="I4502" t="str">
        <f>"060797010786"</f>
        <v>060797010786</v>
      </c>
    </row>
    <row r="4503" spans="1:9" x14ac:dyDescent="0.25">
      <c r="A4503" t="s">
        <v>3996</v>
      </c>
      <c r="B4503" t="s">
        <v>13</v>
      </c>
      <c r="C4503">
        <v>23.4</v>
      </c>
      <c r="D4503">
        <v>22.1</v>
      </c>
      <c r="E4503" t="s">
        <v>17</v>
      </c>
      <c r="F4503">
        <v>24.36</v>
      </c>
      <c r="G4503">
        <v>25.93</v>
      </c>
      <c r="H4503" t="s">
        <v>17</v>
      </c>
      <c r="I4503" t="str">
        <f>"062706004079"</f>
        <v>062706004079</v>
      </c>
    </row>
    <row r="4504" spans="1:9" x14ac:dyDescent="0.25">
      <c r="A4504" t="s">
        <v>3997</v>
      </c>
      <c r="B4504" t="s">
        <v>13</v>
      </c>
      <c r="C4504">
        <v>37.71</v>
      </c>
      <c r="D4504">
        <v>40.299999999999997</v>
      </c>
      <c r="E4504" t="s">
        <v>17</v>
      </c>
      <c r="F4504">
        <v>24.93</v>
      </c>
      <c r="G4504">
        <v>24.64</v>
      </c>
      <c r="H4504" t="s">
        <v>17</v>
      </c>
      <c r="I4504" t="str">
        <f>"060002808272"</f>
        <v>060002808272</v>
      </c>
    </row>
    <row r="4505" spans="1:9" x14ac:dyDescent="0.25">
      <c r="A4505" t="s">
        <v>3998</v>
      </c>
      <c r="B4505" t="s">
        <v>13</v>
      </c>
      <c r="C4505">
        <v>34.4</v>
      </c>
      <c r="D4505">
        <v>31.5</v>
      </c>
      <c r="E4505" t="s">
        <v>17</v>
      </c>
      <c r="F4505">
        <v>30.52</v>
      </c>
      <c r="G4505">
        <v>25.05</v>
      </c>
      <c r="H4505" t="s">
        <v>17</v>
      </c>
      <c r="I4505" t="str">
        <f>"061440001673"</f>
        <v>061440001673</v>
      </c>
    </row>
    <row r="4506" spans="1:9" x14ac:dyDescent="0.25">
      <c r="A4506" t="s">
        <v>3999</v>
      </c>
      <c r="B4506" t="s">
        <v>13</v>
      </c>
      <c r="C4506">
        <v>64.569999999999993</v>
      </c>
      <c r="D4506">
        <v>63.32</v>
      </c>
      <c r="E4506" t="s">
        <v>17</v>
      </c>
      <c r="F4506">
        <v>21.14</v>
      </c>
      <c r="G4506">
        <v>22.36</v>
      </c>
      <c r="H4506" t="s">
        <v>17</v>
      </c>
      <c r="I4506" t="str">
        <f>"061182001303"</f>
        <v>061182001303</v>
      </c>
    </row>
    <row r="4507" spans="1:9" x14ac:dyDescent="0.25">
      <c r="A4507" t="s">
        <v>4000</v>
      </c>
      <c r="B4507" t="s">
        <v>13</v>
      </c>
      <c r="C4507">
        <v>152.19999999999999</v>
      </c>
      <c r="D4507">
        <v>158.63999999999999</v>
      </c>
      <c r="E4507" t="s">
        <v>17</v>
      </c>
      <c r="F4507">
        <v>25.85</v>
      </c>
      <c r="G4507">
        <v>26.05</v>
      </c>
      <c r="H4507" t="s">
        <v>17</v>
      </c>
      <c r="I4507" t="str">
        <f>"062691004072"</f>
        <v>062691004072</v>
      </c>
    </row>
    <row r="4508" spans="1:9" x14ac:dyDescent="0.25">
      <c r="A4508" t="s">
        <v>4001</v>
      </c>
      <c r="B4508" t="s">
        <v>13</v>
      </c>
      <c r="C4508">
        <v>18.899999999999999</v>
      </c>
      <c r="D4508">
        <v>20.5</v>
      </c>
      <c r="E4508" t="s">
        <v>17</v>
      </c>
      <c r="F4508">
        <v>23.97</v>
      </c>
      <c r="G4508">
        <v>20.68</v>
      </c>
      <c r="H4508" t="s">
        <v>17</v>
      </c>
      <c r="I4508" t="str">
        <f>"060957000968"</f>
        <v>060957000968</v>
      </c>
    </row>
    <row r="4509" spans="1:9" x14ac:dyDescent="0.25">
      <c r="A4509" t="s">
        <v>4002</v>
      </c>
      <c r="B4509" t="s">
        <v>13</v>
      </c>
      <c r="C4509">
        <v>21</v>
      </c>
      <c r="D4509">
        <v>24</v>
      </c>
      <c r="E4509" t="s">
        <v>17</v>
      </c>
      <c r="F4509">
        <v>29.38</v>
      </c>
      <c r="G4509">
        <v>26.88</v>
      </c>
      <c r="H4509" t="s">
        <v>17</v>
      </c>
      <c r="I4509" t="str">
        <f>"062334006019"</f>
        <v>062334006019</v>
      </c>
    </row>
    <row r="4510" spans="1:9" x14ac:dyDescent="0.25">
      <c r="A4510" t="s">
        <v>4002</v>
      </c>
      <c r="B4510" t="s">
        <v>13</v>
      </c>
      <c r="C4510">
        <v>20.5</v>
      </c>
      <c r="D4510">
        <v>22</v>
      </c>
      <c r="E4510" t="s">
        <v>17</v>
      </c>
      <c r="F4510">
        <v>26.54</v>
      </c>
      <c r="G4510">
        <v>25.64</v>
      </c>
      <c r="H4510" t="s">
        <v>17</v>
      </c>
      <c r="I4510" t="str">
        <f>"061111009785"</f>
        <v>061111009785</v>
      </c>
    </row>
    <row r="4511" spans="1:9" x14ac:dyDescent="0.25">
      <c r="A4511" t="s">
        <v>4003</v>
      </c>
      <c r="B4511" t="s">
        <v>13</v>
      </c>
      <c r="C4511">
        <v>55.75</v>
      </c>
      <c r="D4511">
        <v>65.53</v>
      </c>
      <c r="E4511" t="s">
        <v>17</v>
      </c>
      <c r="F4511">
        <v>28.43</v>
      </c>
      <c r="G4511">
        <v>24.39</v>
      </c>
      <c r="H4511" t="s">
        <v>17</v>
      </c>
      <c r="I4511" t="str">
        <f>"062271003156"</f>
        <v>062271003156</v>
      </c>
    </row>
    <row r="4512" spans="1:9" x14ac:dyDescent="0.25">
      <c r="A4512" t="s">
        <v>4004</v>
      </c>
      <c r="B4512" t="s">
        <v>13</v>
      </c>
      <c r="C4512">
        <v>32.06</v>
      </c>
      <c r="D4512">
        <v>39</v>
      </c>
      <c r="E4512" t="s">
        <v>17</v>
      </c>
      <c r="F4512">
        <v>24.98</v>
      </c>
      <c r="G4512">
        <v>20</v>
      </c>
      <c r="H4512" t="s">
        <v>17</v>
      </c>
      <c r="I4512" t="str">
        <f>"062513003743"</f>
        <v>062513003743</v>
      </c>
    </row>
    <row r="4513" spans="1:9" x14ac:dyDescent="0.25">
      <c r="A4513" t="s">
        <v>4004</v>
      </c>
      <c r="B4513" t="s">
        <v>13</v>
      </c>
      <c r="C4513">
        <v>15</v>
      </c>
      <c r="D4513">
        <v>13.5</v>
      </c>
      <c r="E4513" t="s">
        <v>17</v>
      </c>
      <c r="F4513">
        <v>25.93</v>
      </c>
      <c r="G4513">
        <v>28.74</v>
      </c>
      <c r="H4513" t="s">
        <v>17</v>
      </c>
      <c r="I4513" t="str">
        <f>"063384005251"</f>
        <v>063384005251</v>
      </c>
    </row>
    <row r="4514" spans="1:9" x14ac:dyDescent="0.25">
      <c r="A4514" t="s">
        <v>4005</v>
      </c>
      <c r="B4514" t="s">
        <v>13</v>
      </c>
      <c r="C4514">
        <v>14.17</v>
      </c>
      <c r="D4514">
        <v>15</v>
      </c>
      <c r="E4514" t="s">
        <v>17</v>
      </c>
      <c r="F4514">
        <v>22.16</v>
      </c>
      <c r="G4514">
        <v>23.27</v>
      </c>
      <c r="H4514" t="s">
        <v>17</v>
      </c>
      <c r="I4514" t="str">
        <f>"060231012086"</f>
        <v>060231012086</v>
      </c>
    </row>
    <row r="4515" spans="1:9" x14ac:dyDescent="0.25">
      <c r="A4515" t="s">
        <v>4006</v>
      </c>
      <c r="B4515" t="s">
        <v>13</v>
      </c>
      <c r="C4515">
        <v>24.33</v>
      </c>
      <c r="D4515">
        <v>24.9</v>
      </c>
      <c r="E4515" t="s">
        <v>17</v>
      </c>
      <c r="F4515">
        <v>17.88</v>
      </c>
      <c r="G4515">
        <v>18.27</v>
      </c>
      <c r="H4515" t="s">
        <v>17</v>
      </c>
      <c r="I4515" t="str">
        <f>"063581006126"</f>
        <v>063581006126</v>
      </c>
    </row>
    <row r="4516" spans="1:9" x14ac:dyDescent="0.25">
      <c r="A4516" t="s">
        <v>4006</v>
      </c>
      <c r="B4516" t="s">
        <v>13</v>
      </c>
      <c r="C4516">
        <v>23</v>
      </c>
      <c r="D4516">
        <v>23</v>
      </c>
      <c r="E4516" t="s">
        <v>17</v>
      </c>
      <c r="F4516">
        <v>25.22</v>
      </c>
      <c r="G4516">
        <v>25.04</v>
      </c>
      <c r="H4516" t="s">
        <v>17</v>
      </c>
      <c r="I4516" t="str">
        <f>"061111009786"</f>
        <v>061111009786</v>
      </c>
    </row>
    <row r="4517" spans="1:9" x14ac:dyDescent="0.25">
      <c r="A4517" t="s">
        <v>4006</v>
      </c>
      <c r="B4517" t="s">
        <v>13</v>
      </c>
      <c r="C4517">
        <v>28</v>
      </c>
      <c r="D4517">
        <v>29</v>
      </c>
      <c r="E4517" t="s">
        <v>17</v>
      </c>
      <c r="F4517">
        <v>29.86</v>
      </c>
      <c r="G4517">
        <v>27.59</v>
      </c>
      <c r="H4517" t="s">
        <v>17</v>
      </c>
      <c r="I4517" t="str">
        <f>"062334003551"</f>
        <v>062334003551</v>
      </c>
    </row>
    <row r="4518" spans="1:9" x14ac:dyDescent="0.25">
      <c r="A4518" t="s">
        <v>4006</v>
      </c>
      <c r="B4518" t="s">
        <v>13</v>
      </c>
      <c r="C4518">
        <v>12</v>
      </c>
      <c r="D4518">
        <v>15</v>
      </c>
      <c r="E4518" t="s">
        <v>17</v>
      </c>
      <c r="F4518">
        <v>23.08</v>
      </c>
      <c r="G4518">
        <v>19.73</v>
      </c>
      <c r="H4518" t="s">
        <v>17</v>
      </c>
      <c r="I4518" t="str">
        <f>"061488001863"</f>
        <v>061488001863</v>
      </c>
    </row>
    <row r="4519" spans="1:9" x14ac:dyDescent="0.25">
      <c r="A4519" t="s">
        <v>4007</v>
      </c>
      <c r="B4519" t="s">
        <v>13</v>
      </c>
      <c r="C4519">
        <v>98.35</v>
      </c>
      <c r="D4519">
        <v>100.05</v>
      </c>
      <c r="E4519" t="s">
        <v>17</v>
      </c>
      <c r="F4519">
        <v>26.19</v>
      </c>
      <c r="G4519">
        <v>25.12</v>
      </c>
      <c r="H4519" t="s">
        <v>17</v>
      </c>
      <c r="I4519" t="str">
        <f>"062271003193"</f>
        <v>062271003193</v>
      </c>
    </row>
    <row r="4520" spans="1:9" x14ac:dyDescent="0.25">
      <c r="A4520" t="s">
        <v>4008</v>
      </c>
      <c r="B4520" t="s">
        <v>13</v>
      </c>
      <c r="C4520">
        <v>22.87</v>
      </c>
      <c r="D4520">
        <v>23.09</v>
      </c>
      <c r="E4520" t="s">
        <v>17</v>
      </c>
      <c r="F4520">
        <v>21.6</v>
      </c>
      <c r="G4520">
        <v>21.44</v>
      </c>
      <c r="H4520" t="s">
        <v>17</v>
      </c>
      <c r="I4520" t="str">
        <f>"063680006235"</f>
        <v>063680006235</v>
      </c>
    </row>
    <row r="4521" spans="1:9" x14ac:dyDescent="0.25">
      <c r="A4521" t="s">
        <v>4009</v>
      </c>
      <c r="B4521" t="s">
        <v>13</v>
      </c>
      <c r="C4521">
        <v>17.53</v>
      </c>
      <c r="D4521">
        <v>17.899999999999999</v>
      </c>
      <c r="E4521" t="s">
        <v>17</v>
      </c>
      <c r="F4521">
        <v>29.95</v>
      </c>
      <c r="G4521">
        <v>28.44</v>
      </c>
      <c r="H4521" t="s">
        <v>17</v>
      </c>
      <c r="I4521" t="str">
        <f>"063462005766"</f>
        <v>063462005766</v>
      </c>
    </row>
    <row r="4522" spans="1:9" x14ac:dyDescent="0.25">
      <c r="A4522" t="s">
        <v>4010</v>
      </c>
      <c r="B4522" t="s">
        <v>13</v>
      </c>
      <c r="C4522">
        <v>47.44</v>
      </c>
      <c r="D4522">
        <v>42.3</v>
      </c>
      <c r="E4522" t="s">
        <v>17</v>
      </c>
      <c r="F4522">
        <v>17.829999999999998</v>
      </c>
      <c r="G4522">
        <v>20.69</v>
      </c>
      <c r="H4522" t="s">
        <v>17</v>
      </c>
      <c r="I4522" t="str">
        <f>"061233001412"</f>
        <v>061233001412</v>
      </c>
    </row>
    <row r="4523" spans="1:9" x14ac:dyDescent="0.25">
      <c r="A4523" t="s">
        <v>4011</v>
      </c>
      <c r="B4523" t="s">
        <v>13</v>
      </c>
      <c r="C4523">
        <v>26</v>
      </c>
      <c r="D4523">
        <v>27</v>
      </c>
      <c r="E4523" t="s">
        <v>17</v>
      </c>
      <c r="F4523">
        <v>29.31</v>
      </c>
      <c r="G4523">
        <v>26.7</v>
      </c>
      <c r="H4523" t="s">
        <v>17</v>
      </c>
      <c r="I4523" t="str">
        <f>"060903010771"</f>
        <v>060903010771</v>
      </c>
    </row>
    <row r="4524" spans="1:9" x14ac:dyDescent="0.25">
      <c r="A4524" t="s">
        <v>4012</v>
      </c>
      <c r="B4524" t="s">
        <v>13</v>
      </c>
      <c r="C4524" t="s">
        <v>14</v>
      </c>
      <c r="D4524" t="s">
        <v>14</v>
      </c>
      <c r="E4524" t="s">
        <v>17</v>
      </c>
      <c r="F4524" t="s">
        <v>14</v>
      </c>
      <c r="G4524" t="s">
        <v>14</v>
      </c>
      <c r="H4524" t="s">
        <v>17</v>
      </c>
      <c r="I4524" t="str">
        <f>"063801012069"</f>
        <v>063801012069</v>
      </c>
    </row>
    <row r="4525" spans="1:9" x14ac:dyDescent="0.25">
      <c r="A4525" t="s">
        <v>4013</v>
      </c>
      <c r="B4525" t="s">
        <v>13</v>
      </c>
      <c r="C4525">
        <v>56.5</v>
      </c>
      <c r="D4525">
        <v>55</v>
      </c>
      <c r="E4525" t="s">
        <v>17</v>
      </c>
      <c r="F4525">
        <v>26.51</v>
      </c>
      <c r="G4525">
        <v>27.53</v>
      </c>
      <c r="H4525" t="s">
        <v>17</v>
      </c>
      <c r="I4525" t="str">
        <f>"062955004981"</f>
        <v>062955004981</v>
      </c>
    </row>
    <row r="4526" spans="1:9" x14ac:dyDescent="0.25">
      <c r="A4526" t="s">
        <v>4014</v>
      </c>
      <c r="B4526" t="s">
        <v>13</v>
      </c>
      <c r="C4526" t="s">
        <v>17</v>
      </c>
      <c r="D4526" t="s">
        <v>17</v>
      </c>
      <c r="E4526" t="s">
        <v>17</v>
      </c>
      <c r="F4526" t="s">
        <v>17</v>
      </c>
      <c r="G4526" t="s">
        <v>17</v>
      </c>
      <c r="H4526" t="s">
        <v>17</v>
      </c>
      <c r="I4526" t="str">
        <f>"061869007472"</f>
        <v>061869007472</v>
      </c>
    </row>
    <row r="4527" spans="1:9" x14ac:dyDescent="0.25">
      <c r="A4527" t="s">
        <v>4015</v>
      </c>
      <c r="B4527" t="s">
        <v>13</v>
      </c>
      <c r="C4527">
        <v>16.850000000000001</v>
      </c>
      <c r="D4527">
        <v>18.850000000000001</v>
      </c>
      <c r="E4527" t="s">
        <v>17</v>
      </c>
      <c r="F4527">
        <v>19.940000000000001</v>
      </c>
      <c r="G4527">
        <v>18.14</v>
      </c>
      <c r="H4527" t="s">
        <v>17</v>
      </c>
      <c r="I4527" t="str">
        <f>"061869002272"</f>
        <v>061869002272</v>
      </c>
    </row>
    <row r="4528" spans="1:9" x14ac:dyDescent="0.25">
      <c r="A4528" t="s">
        <v>4016</v>
      </c>
      <c r="B4528" t="s">
        <v>13</v>
      </c>
      <c r="C4528">
        <v>7.55</v>
      </c>
      <c r="D4528">
        <v>8.9700000000000006</v>
      </c>
      <c r="E4528" t="s">
        <v>17</v>
      </c>
      <c r="F4528">
        <v>15.5</v>
      </c>
      <c r="G4528">
        <v>17.5</v>
      </c>
      <c r="H4528" t="s">
        <v>17</v>
      </c>
      <c r="I4528" t="str">
        <f>"062140002562"</f>
        <v>062140002562</v>
      </c>
    </row>
    <row r="4529" spans="1:9" x14ac:dyDescent="0.25">
      <c r="A4529" t="s">
        <v>4017</v>
      </c>
      <c r="B4529" t="s">
        <v>13</v>
      </c>
      <c r="C4529">
        <v>5</v>
      </c>
      <c r="D4529">
        <v>6.63</v>
      </c>
      <c r="E4529" t="s">
        <v>17</v>
      </c>
      <c r="F4529">
        <v>23.4</v>
      </c>
      <c r="G4529">
        <v>23.53</v>
      </c>
      <c r="H4529" t="s">
        <v>17</v>
      </c>
      <c r="I4529" t="str">
        <f>"061873003937"</f>
        <v>061873003937</v>
      </c>
    </row>
    <row r="4530" spans="1:9" x14ac:dyDescent="0.25">
      <c r="A4530" t="s">
        <v>4018</v>
      </c>
      <c r="B4530" t="s">
        <v>13</v>
      </c>
      <c r="C4530">
        <v>9.33</v>
      </c>
      <c r="D4530">
        <v>12.53</v>
      </c>
      <c r="E4530" t="s">
        <v>17</v>
      </c>
      <c r="F4530">
        <v>24.12</v>
      </c>
      <c r="G4530">
        <v>20.350000000000001</v>
      </c>
      <c r="H4530" t="s">
        <v>17</v>
      </c>
      <c r="I4530" t="str">
        <f>"061873002273"</f>
        <v>061873002273</v>
      </c>
    </row>
    <row r="4531" spans="1:9" x14ac:dyDescent="0.25">
      <c r="A4531" t="s">
        <v>4019</v>
      </c>
      <c r="B4531" t="s">
        <v>13</v>
      </c>
      <c r="C4531">
        <v>1</v>
      </c>
      <c r="D4531">
        <v>1</v>
      </c>
      <c r="E4531" t="s">
        <v>17</v>
      </c>
      <c r="F4531">
        <v>15</v>
      </c>
      <c r="G4531">
        <v>15</v>
      </c>
      <c r="H4531" t="s">
        <v>17</v>
      </c>
      <c r="I4531" t="str">
        <f>"069105206046"</f>
        <v>069105206046</v>
      </c>
    </row>
    <row r="4532" spans="1:9" x14ac:dyDescent="0.25">
      <c r="A4532" t="s">
        <v>4020</v>
      </c>
      <c r="B4532" t="s">
        <v>13</v>
      </c>
      <c r="C4532">
        <v>6.5</v>
      </c>
      <c r="D4532">
        <v>7.5</v>
      </c>
      <c r="E4532" t="s">
        <v>17</v>
      </c>
      <c r="F4532">
        <v>33.85</v>
      </c>
      <c r="G4532">
        <v>27.73</v>
      </c>
      <c r="H4532" t="s">
        <v>17</v>
      </c>
      <c r="I4532" t="str">
        <f>"062271002801"</f>
        <v>062271002801</v>
      </c>
    </row>
    <row r="4533" spans="1:9" x14ac:dyDescent="0.25">
      <c r="A4533" t="s">
        <v>4021</v>
      </c>
      <c r="B4533" t="s">
        <v>13</v>
      </c>
      <c r="C4533">
        <v>38</v>
      </c>
      <c r="D4533">
        <v>37</v>
      </c>
      <c r="E4533" t="s">
        <v>17</v>
      </c>
      <c r="F4533">
        <v>23.47</v>
      </c>
      <c r="G4533">
        <v>24.38</v>
      </c>
      <c r="H4533" t="s">
        <v>17</v>
      </c>
      <c r="I4533" t="str">
        <f>"062121011612"</f>
        <v>062121011612</v>
      </c>
    </row>
    <row r="4534" spans="1:9" x14ac:dyDescent="0.25">
      <c r="A4534" t="s">
        <v>4022</v>
      </c>
      <c r="B4534" t="s">
        <v>13</v>
      </c>
      <c r="C4534">
        <v>12.33</v>
      </c>
      <c r="D4534">
        <v>14.67</v>
      </c>
      <c r="E4534" t="s">
        <v>17</v>
      </c>
      <c r="F4534">
        <v>21.33</v>
      </c>
      <c r="G4534">
        <v>18.75</v>
      </c>
      <c r="H4534" t="s">
        <v>17</v>
      </c>
      <c r="I4534" t="str">
        <f>"063801009446"</f>
        <v>063801009446</v>
      </c>
    </row>
    <row r="4535" spans="1:9" x14ac:dyDescent="0.25">
      <c r="A4535" t="s">
        <v>4023</v>
      </c>
      <c r="B4535" t="s">
        <v>13</v>
      </c>
      <c r="C4535">
        <v>62.21</v>
      </c>
      <c r="D4535">
        <v>63.3</v>
      </c>
      <c r="E4535" t="s">
        <v>17</v>
      </c>
      <c r="F4535">
        <v>16.14</v>
      </c>
      <c r="G4535">
        <v>15.85</v>
      </c>
      <c r="H4535" t="s">
        <v>17</v>
      </c>
      <c r="I4535" t="str">
        <f>"062961004598"</f>
        <v>062961004598</v>
      </c>
    </row>
    <row r="4536" spans="1:9" x14ac:dyDescent="0.25">
      <c r="A4536" t="s">
        <v>4024</v>
      </c>
      <c r="B4536" t="s">
        <v>13</v>
      </c>
      <c r="C4536">
        <v>14</v>
      </c>
      <c r="D4536">
        <v>14</v>
      </c>
      <c r="E4536" t="s">
        <v>17</v>
      </c>
      <c r="F4536">
        <v>25.5</v>
      </c>
      <c r="G4536">
        <v>26.07</v>
      </c>
      <c r="H4536" t="s">
        <v>17</v>
      </c>
      <c r="I4536" t="str">
        <f>"061878002275"</f>
        <v>061878002275</v>
      </c>
    </row>
    <row r="4537" spans="1:9" x14ac:dyDescent="0.25">
      <c r="A4537" t="s">
        <v>4025</v>
      </c>
      <c r="B4537" t="s">
        <v>13</v>
      </c>
      <c r="C4537">
        <v>25</v>
      </c>
      <c r="D4537">
        <v>26</v>
      </c>
      <c r="E4537" t="s">
        <v>17</v>
      </c>
      <c r="F4537">
        <v>28.4</v>
      </c>
      <c r="G4537">
        <v>28.54</v>
      </c>
      <c r="H4537" t="s">
        <v>17</v>
      </c>
      <c r="I4537" t="str">
        <f>"062316003531"</f>
        <v>062316003531</v>
      </c>
    </row>
    <row r="4538" spans="1:9" x14ac:dyDescent="0.25">
      <c r="A4538" t="s">
        <v>4026</v>
      </c>
      <c r="B4538" t="s">
        <v>13</v>
      </c>
      <c r="C4538" t="s">
        <v>14</v>
      </c>
      <c r="D4538">
        <v>3</v>
      </c>
      <c r="E4538" t="s">
        <v>17</v>
      </c>
      <c r="F4538" t="s">
        <v>14</v>
      </c>
      <c r="G4538">
        <v>16.670000000000002</v>
      </c>
      <c r="H4538" t="s">
        <v>17</v>
      </c>
      <c r="I4538" t="str">
        <f>"062271010853"</f>
        <v>062271010853</v>
      </c>
    </row>
    <row r="4539" spans="1:9" x14ac:dyDescent="0.25">
      <c r="A4539" t="s">
        <v>4026</v>
      </c>
      <c r="B4539" t="s">
        <v>13</v>
      </c>
      <c r="C4539" t="s">
        <v>17</v>
      </c>
      <c r="D4539" t="s">
        <v>14</v>
      </c>
      <c r="E4539" t="s">
        <v>14</v>
      </c>
      <c r="F4539" t="s">
        <v>17</v>
      </c>
      <c r="G4539" t="s">
        <v>14</v>
      </c>
      <c r="H4539" t="s">
        <v>14</v>
      </c>
      <c r="I4539" t="str">
        <f>"069107810853"</f>
        <v>069107810853</v>
      </c>
    </row>
    <row r="4540" spans="1:9" x14ac:dyDescent="0.25">
      <c r="A4540" t="s">
        <v>4027</v>
      </c>
      <c r="B4540" t="s">
        <v>13</v>
      </c>
      <c r="C4540">
        <v>16.5</v>
      </c>
      <c r="D4540">
        <v>12.5</v>
      </c>
      <c r="E4540" t="s">
        <v>17</v>
      </c>
      <c r="F4540">
        <v>4.3</v>
      </c>
      <c r="G4540">
        <v>6.24</v>
      </c>
      <c r="H4540" t="s">
        <v>17</v>
      </c>
      <c r="I4540" t="str">
        <f>"069107812682"</f>
        <v>069107812682</v>
      </c>
    </row>
    <row r="4541" spans="1:9" x14ac:dyDescent="0.25">
      <c r="A4541" t="s">
        <v>4028</v>
      </c>
      <c r="B4541" t="s">
        <v>13</v>
      </c>
      <c r="C4541">
        <v>20</v>
      </c>
      <c r="D4541">
        <v>22.5</v>
      </c>
      <c r="E4541" t="s">
        <v>17</v>
      </c>
      <c r="F4541">
        <v>26.3</v>
      </c>
      <c r="G4541">
        <v>25.42</v>
      </c>
      <c r="H4541" t="s">
        <v>17</v>
      </c>
      <c r="I4541" t="str">
        <f>"060216000096"</f>
        <v>060216000096</v>
      </c>
    </row>
    <row r="4542" spans="1:9" x14ac:dyDescent="0.25">
      <c r="A4542" t="s">
        <v>4029</v>
      </c>
      <c r="B4542" t="s">
        <v>13</v>
      </c>
      <c r="C4542">
        <v>35.43</v>
      </c>
      <c r="D4542">
        <v>35</v>
      </c>
      <c r="E4542" t="s">
        <v>17</v>
      </c>
      <c r="F4542">
        <v>26.81</v>
      </c>
      <c r="G4542">
        <v>27.86</v>
      </c>
      <c r="H4542" t="s">
        <v>17</v>
      </c>
      <c r="I4542" t="str">
        <f>"064059010123"</f>
        <v>064059010123</v>
      </c>
    </row>
    <row r="4543" spans="1:9" x14ac:dyDescent="0.25">
      <c r="A4543" t="s">
        <v>4030</v>
      </c>
      <c r="B4543" t="s">
        <v>13</v>
      </c>
      <c r="C4543">
        <v>21</v>
      </c>
      <c r="D4543">
        <v>22</v>
      </c>
      <c r="E4543" t="s">
        <v>17</v>
      </c>
      <c r="F4543">
        <v>32.479999999999997</v>
      </c>
      <c r="G4543">
        <v>32.049999999999997</v>
      </c>
      <c r="H4543" t="s">
        <v>17</v>
      </c>
      <c r="I4543" t="str">
        <f>"064015006646"</f>
        <v>064015006646</v>
      </c>
    </row>
    <row r="4544" spans="1:9" x14ac:dyDescent="0.25">
      <c r="A4544" t="s">
        <v>4031</v>
      </c>
      <c r="B4544" t="s">
        <v>13</v>
      </c>
      <c r="C4544">
        <v>22</v>
      </c>
      <c r="D4544">
        <v>26</v>
      </c>
      <c r="E4544" t="s">
        <v>17</v>
      </c>
      <c r="F4544">
        <v>24.82</v>
      </c>
      <c r="G4544">
        <v>25.69</v>
      </c>
      <c r="H4544" t="s">
        <v>17</v>
      </c>
      <c r="I4544" t="str">
        <f>"061437009827"</f>
        <v>061437009827</v>
      </c>
    </row>
    <row r="4545" spans="1:9" x14ac:dyDescent="0.25">
      <c r="A4545" t="s">
        <v>4032</v>
      </c>
      <c r="B4545" t="s">
        <v>13</v>
      </c>
      <c r="C4545">
        <v>19.399999999999999</v>
      </c>
      <c r="D4545">
        <v>20.5</v>
      </c>
      <c r="E4545" t="s">
        <v>17</v>
      </c>
      <c r="F4545">
        <v>22.32</v>
      </c>
      <c r="G4545">
        <v>21.9</v>
      </c>
      <c r="H4545" t="s">
        <v>17</v>
      </c>
      <c r="I4545" t="str">
        <f>"061884002277"</f>
        <v>061884002277</v>
      </c>
    </row>
    <row r="4546" spans="1:9" x14ac:dyDescent="0.25">
      <c r="A4546" t="s">
        <v>4032</v>
      </c>
      <c r="B4546" t="s">
        <v>13</v>
      </c>
      <c r="C4546">
        <v>20.5</v>
      </c>
      <c r="D4546">
        <v>23.5</v>
      </c>
      <c r="E4546" t="s">
        <v>17</v>
      </c>
      <c r="F4546">
        <v>28.44</v>
      </c>
      <c r="G4546">
        <v>23.87</v>
      </c>
      <c r="H4546" t="s">
        <v>17</v>
      </c>
      <c r="I4546" t="str">
        <f>"061668002095"</f>
        <v>061668002095</v>
      </c>
    </row>
    <row r="4547" spans="1:9" x14ac:dyDescent="0.25">
      <c r="A4547" t="s">
        <v>4033</v>
      </c>
      <c r="B4547" t="s">
        <v>13</v>
      </c>
      <c r="C4547">
        <v>24.8</v>
      </c>
      <c r="D4547">
        <v>23.6</v>
      </c>
      <c r="E4547" t="s">
        <v>17</v>
      </c>
      <c r="F4547">
        <v>22.9</v>
      </c>
      <c r="G4547">
        <v>23.9</v>
      </c>
      <c r="H4547" t="s">
        <v>17</v>
      </c>
      <c r="I4547" t="str">
        <f>"060261000154"</f>
        <v>060261000154</v>
      </c>
    </row>
    <row r="4548" spans="1:9" x14ac:dyDescent="0.25">
      <c r="A4548" t="s">
        <v>4034</v>
      </c>
      <c r="B4548" t="s">
        <v>13</v>
      </c>
      <c r="C4548">
        <v>17.5</v>
      </c>
      <c r="D4548">
        <v>22</v>
      </c>
      <c r="E4548" t="s">
        <v>17</v>
      </c>
      <c r="F4548">
        <v>26.91</v>
      </c>
      <c r="G4548">
        <v>22.82</v>
      </c>
      <c r="H4548" t="s">
        <v>17</v>
      </c>
      <c r="I4548" t="str">
        <f>"062994004674"</f>
        <v>062994004674</v>
      </c>
    </row>
    <row r="4549" spans="1:9" x14ac:dyDescent="0.25">
      <c r="A4549" t="s">
        <v>4034</v>
      </c>
      <c r="B4549" t="s">
        <v>13</v>
      </c>
      <c r="C4549">
        <v>16.5</v>
      </c>
      <c r="D4549">
        <v>17</v>
      </c>
      <c r="E4549" t="s">
        <v>17</v>
      </c>
      <c r="F4549">
        <v>28.85</v>
      </c>
      <c r="G4549">
        <v>29.41</v>
      </c>
      <c r="H4549" t="s">
        <v>17</v>
      </c>
      <c r="I4549" t="str">
        <f>"062985008516"</f>
        <v>062985008516</v>
      </c>
    </row>
    <row r="4550" spans="1:9" x14ac:dyDescent="0.25">
      <c r="A4550" t="s">
        <v>4034</v>
      </c>
      <c r="B4550" t="s">
        <v>13</v>
      </c>
      <c r="C4550">
        <v>33.5</v>
      </c>
      <c r="D4550">
        <v>36</v>
      </c>
      <c r="E4550" t="s">
        <v>17</v>
      </c>
      <c r="F4550">
        <v>26.75</v>
      </c>
      <c r="G4550">
        <v>24.44</v>
      </c>
      <c r="H4550" t="s">
        <v>17</v>
      </c>
      <c r="I4550" t="str">
        <f>"063531005991"</f>
        <v>063531005991</v>
      </c>
    </row>
    <row r="4551" spans="1:9" x14ac:dyDescent="0.25">
      <c r="A4551" t="s">
        <v>4034</v>
      </c>
      <c r="B4551" t="s">
        <v>13</v>
      </c>
      <c r="C4551">
        <v>39</v>
      </c>
      <c r="D4551">
        <v>39.799999999999997</v>
      </c>
      <c r="E4551" t="s">
        <v>17</v>
      </c>
      <c r="F4551">
        <v>21.1</v>
      </c>
      <c r="G4551">
        <v>20.45</v>
      </c>
      <c r="H4551" t="s">
        <v>17</v>
      </c>
      <c r="I4551" t="str">
        <f>"062142002565"</f>
        <v>062142002565</v>
      </c>
    </row>
    <row r="4552" spans="1:9" x14ac:dyDescent="0.25">
      <c r="A4552" t="s">
        <v>4034</v>
      </c>
      <c r="B4552" t="s">
        <v>13</v>
      </c>
      <c r="C4552">
        <v>19.5</v>
      </c>
      <c r="D4552">
        <v>18</v>
      </c>
      <c r="E4552" t="s">
        <v>17</v>
      </c>
      <c r="F4552">
        <v>29.74</v>
      </c>
      <c r="G4552">
        <v>31.78</v>
      </c>
      <c r="H4552" t="s">
        <v>17</v>
      </c>
      <c r="I4552" t="str">
        <f>"060962000983"</f>
        <v>060962000983</v>
      </c>
    </row>
    <row r="4553" spans="1:9" x14ac:dyDescent="0.25">
      <c r="A4553" t="s">
        <v>4034</v>
      </c>
      <c r="B4553" t="s">
        <v>13</v>
      </c>
      <c r="C4553">
        <v>23</v>
      </c>
      <c r="D4553">
        <v>25</v>
      </c>
      <c r="E4553" t="s">
        <v>17</v>
      </c>
      <c r="F4553">
        <v>27.91</v>
      </c>
      <c r="G4553">
        <v>26.64</v>
      </c>
      <c r="H4553" t="s">
        <v>17</v>
      </c>
      <c r="I4553" t="str">
        <f>"060003204956"</f>
        <v>060003204956</v>
      </c>
    </row>
    <row r="4554" spans="1:9" x14ac:dyDescent="0.25">
      <c r="A4554" t="s">
        <v>4034</v>
      </c>
      <c r="B4554" t="s">
        <v>13</v>
      </c>
      <c r="C4554">
        <v>17</v>
      </c>
      <c r="D4554">
        <v>18.2</v>
      </c>
      <c r="E4554" t="s">
        <v>17</v>
      </c>
      <c r="F4554">
        <v>22.47</v>
      </c>
      <c r="G4554">
        <v>21.04</v>
      </c>
      <c r="H4554" t="s">
        <v>17</v>
      </c>
      <c r="I4554" t="str">
        <f>"063525005972"</f>
        <v>063525005972</v>
      </c>
    </row>
    <row r="4555" spans="1:9" x14ac:dyDescent="0.25">
      <c r="A4555" t="s">
        <v>4034</v>
      </c>
      <c r="B4555" t="s">
        <v>13</v>
      </c>
      <c r="C4555">
        <v>15</v>
      </c>
      <c r="D4555">
        <v>13.8</v>
      </c>
      <c r="E4555" t="s">
        <v>17</v>
      </c>
      <c r="F4555">
        <v>25.93</v>
      </c>
      <c r="G4555">
        <v>26.74</v>
      </c>
      <c r="H4555" t="s">
        <v>17</v>
      </c>
      <c r="I4555" t="str">
        <f>"061970002368"</f>
        <v>061970002368</v>
      </c>
    </row>
    <row r="4556" spans="1:9" x14ac:dyDescent="0.25">
      <c r="A4556" t="s">
        <v>4034</v>
      </c>
      <c r="B4556" t="s">
        <v>13</v>
      </c>
      <c r="C4556" t="s">
        <v>17</v>
      </c>
      <c r="D4556" t="s">
        <v>17</v>
      </c>
      <c r="E4556" t="s">
        <v>17</v>
      </c>
      <c r="F4556" t="s">
        <v>17</v>
      </c>
      <c r="G4556" t="s">
        <v>17</v>
      </c>
      <c r="H4556" t="s">
        <v>17</v>
      </c>
      <c r="I4556" t="str">
        <f>"061647002079"</f>
        <v>061647002079</v>
      </c>
    </row>
    <row r="4557" spans="1:9" x14ac:dyDescent="0.25">
      <c r="A4557" t="s">
        <v>4034</v>
      </c>
      <c r="B4557" t="s">
        <v>13</v>
      </c>
      <c r="C4557">
        <v>20</v>
      </c>
      <c r="D4557">
        <v>20</v>
      </c>
      <c r="E4557" t="s">
        <v>17</v>
      </c>
      <c r="F4557">
        <v>22.95</v>
      </c>
      <c r="G4557">
        <v>25.55</v>
      </c>
      <c r="H4557" t="s">
        <v>17</v>
      </c>
      <c r="I4557" t="str">
        <f>"061455001742"</f>
        <v>061455001742</v>
      </c>
    </row>
    <row r="4558" spans="1:9" x14ac:dyDescent="0.25">
      <c r="A4558" t="s">
        <v>4034</v>
      </c>
      <c r="B4558" t="s">
        <v>13</v>
      </c>
      <c r="C4558">
        <v>21</v>
      </c>
      <c r="D4558">
        <v>22</v>
      </c>
      <c r="E4558" t="s">
        <v>17</v>
      </c>
      <c r="F4558">
        <v>28.19</v>
      </c>
      <c r="G4558">
        <v>25.64</v>
      </c>
      <c r="H4558" t="s">
        <v>17</v>
      </c>
      <c r="I4558" t="str">
        <f>"060903000911"</f>
        <v>060903000911</v>
      </c>
    </row>
    <row r="4559" spans="1:9" x14ac:dyDescent="0.25">
      <c r="A4559" t="s">
        <v>4034</v>
      </c>
      <c r="B4559" t="s">
        <v>13</v>
      </c>
      <c r="C4559">
        <v>22</v>
      </c>
      <c r="D4559">
        <v>16.25</v>
      </c>
      <c r="E4559" t="s">
        <v>17</v>
      </c>
      <c r="F4559">
        <v>29</v>
      </c>
      <c r="G4559">
        <v>27.38</v>
      </c>
      <c r="H4559" t="s">
        <v>17</v>
      </c>
      <c r="I4559" t="str">
        <f>"060690000637"</f>
        <v>060690000637</v>
      </c>
    </row>
    <row r="4560" spans="1:9" x14ac:dyDescent="0.25">
      <c r="A4560" t="s">
        <v>4034</v>
      </c>
      <c r="B4560" t="s">
        <v>13</v>
      </c>
      <c r="C4560">
        <v>10</v>
      </c>
      <c r="D4560">
        <v>9</v>
      </c>
      <c r="E4560" t="s">
        <v>17</v>
      </c>
      <c r="F4560">
        <v>23.7</v>
      </c>
      <c r="G4560">
        <v>26.89</v>
      </c>
      <c r="H4560" t="s">
        <v>17</v>
      </c>
      <c r="I4560" t="str">
        <f>"063870008993"</f>
        <v>063870008993</v>
      </c>
    </row>
    <row r="4561" spans="1:9" x14ac:dyDescent="0.25">
      <c r="A4561" t="s">
        <v>4034</v>
      </c>
      <c r="B4561" t="s">
        <v>13</v>
      </c>
      <c r="C4561">
        <v>28.2</v>
      </c>
      <c r="D4561">
        <v>28.58</v>
      </c>
      <c r="E4561" t="s">
        <v>17</v>
      </c>
      <c r="F4561">
        <v>19.93</v>
      </c>
      <c r="G4561">
        <v>20.329999999999998</v>
      </c>
      <c r="H4561" t="s">
        <v>17</v>
      </c>
      <c r="I4561" t="str">
        <f>"060363000306"</f>
        <v>060363000306</v>
      </c>
    </row>
    <row r="4562" spans="1:9" x14ac:dyDescent="0.25">
      <c r="A4562" t="s">
        <v>4034</v>
      </c>
      <c r="B4562" t="s">
        <v>13</v>
      </c>
      <c r="C4562">
        <v>30</v>
      </c>
      <c r="D4562">
        <v>30.75</v>
      </c>
      <c r="E4562" t="s">
        <v>17</v>
      </c>
      <c r="F4562">
        <v>21.53</v>
      </c>
      <c r="G4562">
        <v>19.190000000000001</v>
      </c>
      <c r="H4562" t="s">
        <v>17</v>
      </c>
      <c r="I4562" t="str">
        <f>"060006501238"</f>
        <v>060006501238</v>
      </c>
    </row>
    <row r="4563" spans="1:9" x14ac:dyDescent="0.25">
      <c r="A4563" t="s">
        <v>4034</v>
      </c>
      <c r="B4563" t="s">
        <v>13</v>
      </c>
      <c r="C4563">
        <v>20</v>
      </c>
      <c r="D4563">
        <v>23</v>
      </c>
      <c r="E4563" t="s">
        <v>17</v>
      </c>
      <c r="F4563">
        <v>22.85</v>
      </c>
      <c r="G4563">
        <v>21.7</v>
      </c>
      <c r="H4563" t="s">
        <v>17</v>
      </c>
      <c r="I4563" t="str">
        <f>"062187002594"</f>
        <v>062187002594</v>
      </c>
    </row>
    <row r="4564" spans="1:9" x14ac:dyDescent="0.25">
      <c r="A4564" t="s">
        <v>4034</v>
      </c>
      <c r="B4564" t="s">
        <v>13</v>
      </c>
      <c r="C4564">
        <v>21</v>
      </c>
      <c r="D4564">
        <v>19.600000000000001</v>
      </c>
      <c r="E4564" t="s">
        <v>17</v>
      </c>
      <c r="F4564">
        <v>26.95</v>
      </c>
      <c r="G4564">
        <v>27.5</v>
      </c>
      <c r="H4564" t="s">
        <v>17</v>
      </c>
      <c r="I4564" t="str">
        <f>"060897000900"</f>
        <v>060897000900</v>
      </c>
    </row>
    <row r="4565" spans="1:9" x14ac:dyDescent="0.25">
      <c r="A4565" t="s">
        <v>4034</v>
      </c>
      <c r="B4565" t="s">
        <v>13</v>
      </c>
      <c r="C4565">
        <v>1.8</v>
      </c>
      <c r="D4565">
        <v>1.8</v>
      </c>
      <c r="E4565" t="s">
        <v>17</v>
      </c>
      <c r="F4565">
        <v>10</v>
      </c>
      <c r="G4565">
        <v>10</v>
      </c>
      <c r="H4565" t="s">
        <v>17</v>
      </c>
      <c r="I4565" t="str">
        <f>"061881002276"</f>
        <v>061881002276</v>
      </c>
    </row>
    <row r="4566" spans="1:9" x14ac:dyDescent="0.25">
      <c r="A4566" t="s">
        <v>4034</v>
      </c>
      <c r="B4566" t="s">
        <v>13</v>
      </c>
      <c r="C4566">
        <v>22</v>
      </c>
      <c r="D4566">
        <v>23</v>
      </c>
      <c r="E4566" t="s">
        <v>17</v>
      </c>
      <c r="F4566">
        <v>23.18</v>
      </c>
      <c r="G4566">
        <v>21.78</v>
      </c>
      <c r="H4566" t="s">
        <v>17</v>
      </c>
      <c r="I4566" t="str">
        <f>"063441005631"</f>
        <v>063441005631</v>
      </c>
    </row>
    <row r="4567" spans="1:9" x14ac:dyDescent="0.25">
      <c r="A4567" t="s">
        <v>4034</v>
      </c>
      <c r="B4567" t="s">
        <v>13</v>
      </c>
      <c r="C4567">
        <v>32.700000000000003</v>
      </c>
      <c r="D4567">
        <v>33.4</v>
      </c>
      <c r="E4567" t="s">
        <v>17</v>
      </c>
      <c r="F4567">
        <v>28.23</v>
      </c>
      <c r="G4567">
        <v>26.71</v>
      </c>
      <c r="H4567" t="s">
        <v>17</v>
      </c>
      <c r="I4567" t="str">
        <f>"063315005146"</f>
        <v>063315005146</v>
      </c>
    </row>
    <row r="4568" spans="1:9" x14ac:dyDescent="0.25">
      <c r="A4568" t="s">
        <v>4034</v>
      </c>
      <c r="B4568" t="s">
        <v>13</v>
      </c>
      <c r="C4568">
        <v>32</v>
      </c>
      <c r="D4568">
        <v>36</v>
      </c>
      <c r="E4568" t="s">
        <v>17</v>
      </c>
      <c r="F4568">
        <v>24</v>
      </c>
      <c r="G4568">
        <v>21.72</v>
      </c>
      <c r="H4568" t="s">
        <v>17</v>
      </c>
      <c r="I4568" t="str">
        <f>"060985001057"</f>
        <v>060985001057</v>
      </c>
    </row>
    <row r="4569" spans="1:9" x14ac:dyDescent="0.25">
      <c r="A4569" t="s">
        <v>4034</v>
      </c>
      <c r="B4569" t="s">
        <v>13</v>
      </c>
      <c r="C4569">
        <v>20.95</v>
      </c>
      <c r="D4569">
        <v>19.82</v>
      </c>
      <c r="E4569" t="s">
        <v>17</v>
      </c>
      <c r="F4569">
        <v>22.86</v>
      </c>
      <c r="G4569">
        <v>24.37</v>
      </c>
      <c r="H4569" t="s">
        <v>17</v>
      </c>
      <c r="I4569" t="str">
        <f>"060003601108"</f>
        <v>060003601108</v>
      </c>
    </row>
    <row r="4570" spans="1:9" x14ac:dyDescent="0.25">
      <c r="A4570" t="s">
        <v>4034</v>
      </c>
      <c r="B4570" t="s">
        <v>13</v>
      </c>
      <c r="C4570">
        <v>19</v>
      </c>
      <c r="D4570">
        <v>19.2</v>
      </c>
      <c r="E4570" t="s">
        <v>17</v>
      </c>
      <c r="F4570">
        <v>17.420000000000002</v>
      </c>
      <c r="G4570">
        <v>17.14</v>
      </c>
      <c r="H4570" t="s">
        <v>17</v>
      </c>
      <c r="I4570" t="str">
        <f>"063432005485"</f>
        <v>063432005485</v>
      </c>
    </row>
    <row r="4571" spans="1:9" x14ac:dyDescent="0.25">
      <c r="A4571" t="s">
        <v>4034</v>
      </c>
      <c r="B4571" t="s">
        <v>13</v>
      </c>
      <c r="C4571">
        <v>20.2</v>
      </c>
      <c r="D4571">
        <v>24</v>
      </c>
      <c r="E4571" t="s">
        <v>17</v>
      </c>
      <c r="F4571">
        <v>28.96</v>
      </c>
      <c r="G4571">
        <v>29.46</v>
      </c>
      <c r="H4571" t="s">
        <v>17</v>
      </c>
      <c r="I4571" t="str">
        <f>"060750000710"</f>
        <v>060750000710</v>
      </c>
    </row>
    <row r="4572" spans="1:9" x14ac:dyDescent="0.25">
      <c r="A4572" t="s">
        <v>4034</v>
      </c>
      <c r="B4572" t="s">
        <v>13</v>
      </c>
      <c r="C4572">
        <v>13.78</v>
      </c>
      <c r="D4572">
        <v>13.38</v>
      </c>
      <c r="E4572" t="s">
        <v>17</v>
      </c>
      <c r="F4572">
        <v>24.31</v>
      </c>
      <c r="G4572">
        <v>24.59</v>
      </c>
      <c r="H4572" t="s">
        <v>17</v>
      </c>
      <c r="I4572" t="str">
        <f>"060474000441"</f>
        <v>060474000441</v>
      </c>
    </row>
    <row r="4573" spans="1:9" x14ac:dyDescent="0.25">
      <c r="A4573" t="s">
        <v>4034</v>
      </c>
      <c r="B4573" t="s">
        <v>13</v>
      </c>
      <c r="C4573">
        <v>26.61</v>
      </c>
      <c r="D4573">
        <v>26.03</v>
      </c>
      <c r="E4573" t="s">
        <v>17</v>
      </c>
      <c r="F4573">
        <v>22.77</v>
      </c>
      <c r="G4573">
        <v>22.28</v>
      </c>
      <c r="H4573" t="s">
        <v>17</v>
      </c>
      <c r="I4573" t="str">
        <f>"063468005834"</f>
        <v>063468005834</v>
      </c>
    </row>
    <row r="4574" spans="1:9" x14ac:dyDescent="0.25">
      <c r="A4574" t="s">
        <v>4035</v>
      </c>
      <c r="B4574" t="s">
        <v>13</v>
      </c>
      <c r="C4574">
        <v>50.1</v>
      </c>
      <c r="D4574">
        <v>54.3</v>
      </c>
      <c r="E4574" t="s">
        <v>17</v>
      </c>
      <c r="F4574">
        <v>23.29</v>
      </c>
      <c r="G4574">
        <v>21.75</v>
      </c>
      <c r="H4574" t="s">
        <v>17</v>
      </c>
      <c r="I4574" t="str">
        <f>"061893002293"</f>
        <v>061893002293</v>
      </c>
    </row>
    <row r="4575" spans="1:9" x14ac:dyDescent="0.25">
      <c r="A4575" t="s">
        <v>4036</v>
      </c>
      <c r="B4575" t="s">
        <v>13</v>
      </c>
      <c r="C4575">
        <v>2.71</v>
      </c>
      <c r="D4575">
        <v>3.2</v>
      </c>
      <c r="E4575" t="s">
        <v>17</v>
      </c>
      <c r="F4575">
        <v>11.44</v>
      </c>
      <c r="G4575">
        <v>8.75</v>
      </c>
      <c r="H4575" t="s">
        <v>17</v>
      </c>
      <c r="I4575" t="str">
        <f>"063694001734"</f>
        <v>063694001734</v>
      </c>
    </row>
    <row r="4576" spans="1:9" x14ac:dyDescent="0.25">
      <c r="A4576" t="s">
        <v>4037</v>
      </c>
      <c r="B4576" t="s">
        <v>13</v>
      </c>
      <c r="C4576">
        <v>41.55</v>
      </c>
      <c r="D4576">
        <v>42.2</v>
      </c>
      <c r="E4576" t="s">
        <v>17</v>
      </c>
      <c r="F4576">
        <v>21.2</v>
      </c>
      <c r="G4576">
        <v>21.66</v>
      </c>
      <c r="H4576" t="s">
        <v>17</v>
      </c>
      <c r="I4576" t="str">
        <f>"062250002727"</f>
        <v>062250002727</v>
      </c>
    </row>
    <row r="4577" spans="1:9" x14ac:dyDescent="0.25">
      <c r="A4577" t="s">
        <v>4038</v>
      </c>
      <c r="B4577" t="s">
        <v>13</v>
      </c>
      <c r="C4577">
        <v>47.81</v>
      </c>
      <c r="D4577">
        <v>45.3</v>
      </c>
      <c r="E4577" t="s">
        <v>17</v>
      </c>
      <c r="F4577">
        <v>25.77</v>
      </c>
      <c r="G4577">
        <v>27.09</v>
      </c>
      <c r="H4577" t="s">
        <v>17</v>
      </c>
      <c r="I4577" t="str">
        <f>"063442500557"</f>
        <v>063442500557</v>
      </c>
    </row>
    <row r="4578" spans="1:9" x14ac:dyDescent="0.25">
      <c r="A4578" t="s">
        <v>4038</v>
      </c>
      <c r="B4578" t="s">
        <v>13</v>
      </c>
      <c r="C4578">
        <v>20.66</v>
      </c>
      <c r="D4578">
        <v>20</v>
      </c>
      <c r="E4578" t="s">
        <v>17</v>
      </c>
      <c r="F4578">
        <v>29.24</v>
      </c>
      <c r="G4578">
        <v>30.9</v>
      </c>
      <c r="H4578" t="s">
        <v>17</v>
      </c>
      <c r="I4578" t="str">
        <f>"063942002213"</f>
        <v>063942002213</v>
      </c>
    </row>
    <row r="4579" spans="1:9" x14ac:dyDescent="0.25">
      <c r="A4579" t="s">
        <v>4038</v>
      </c>
      <c r="B4579" t="s">
        <v>13</v>
      </c>
      <c r="C4579">
        <v>36.43</v>
      </c>
      <c r="D4579">
        <v>47.23</v>
      </c>
      <c r="E4579" t="s">
        <v>17</v>
      </c>
      <c r="F4579">
        <v>23.47</v>
      </c>
      <c r="G4579">
        <v>22.15</v>
      </c>
      <c r="H4579" t="s">
        <v>17</v>
      </c>
      <c r="I4579" t="str">
        <f>"062825004361"</f>
        <v>062825004361</v>
      </c>
    </row>
    <row r="4580" spans="1:9" x14ac:dyDescent="0.25">
      <c r="A4580" t="s">
        <v>4039</v>
      </c>
      <c r="B4580" t="s">
        <v>13</v>
      </c>
      <c r="C4580" t="s">
        <v>17</v>
      </c>
      <c r="D4580" t="s">
        <v>14</v>
      </c>
      <c r="E4580" t="s">
        <v>14</v>
      </c>
      <c r="F4580" t="s">
        <v>17</v>
      </c>
      <c r="G4580" t="s">
        <v>14</v>
      </c>
      <c r="H4580" t="s">
        <v>14</v>
      </c>
      <c r="I4580" t="str">
        <f>"068450013238"</f>
        <v>068450013238</v>
      </c>
    </row>
    <row r="4581" spans="1:9" x14ac:dyDescent="0.25">
      <c r="A4581" t="s">
        <v>4040</v>
      </c>
      <c r="B4581" t="s">
        <v>13</v>
      </c>
      <c r="C4581">
        <v>20.8</v>
      </c>
      <c r="D4581">
        <v>21.8</v>
      </c>
      <c r="E4581" t="s">
        <v>17</v>
      </c>
      <c r="F4581">
        <v>22.79</v>
      </c>
      <c r="G4581">
        <v>22.8</v>
      </c>
      <c r="H4581" t="s">
        <v>17</v>
      </c>
      <c r="I4581" t="str">
        <f>"063375005203"</f>
        <v>063375005203</v>
      </c>
    </row>
    <row r="4582" spans="1:9" x14ac:dyDescent="0.25">
      <c r="A4582" t="s">
        <v>4041</v>
      </c>
      <c r="B4582" t="s">
        <v>13</v>
      </c>
      <c r="C4582">
        <v>22.75</v>
      </c>
      <c r="D4582">
        <v>24.14</v>
      </c>
      <c r="E4582" t="s">
        <v>17</v>
      </c>
      <c r="F4582">
        <v>24.84</v>
      </c>
      <c r="G4582">
        <v>24.23</v>
      </c>
      <c r="H4582" t="s">
        <v>17</v>
      </c>
      <c r="I4582" t="str">
        <f>"060687009522"</f>
        <v>060687009522</v>
      </c>
    </row>
    <row r="4583" spans="1:9" x14ac:dyDescent="0.25">
      <c r="A4583" t="s">
        <v>4042</v>
      </c>
      <c r="B4583" t="s">
        <v>13</v>
      </c>
      <c r="C4583">
        <v>1</v>
      </c>
      <c r="D4583">
        <v>1</v>
      </c>
      <c r="E4583" t="s">
        <v>17</v>
      </c>
      <c r="F4583">
        <v>18</v>
      </c>
      <c r="G4583">
        <v>13</v>
      </c>
      <c r="H4583" t="s">
        <v>17</v>
      </c>
      <c r="I4583" t="str">
        <f>"060687005719"</f>
        <v>060687005719</v>
      </c>
    </row>
    <row r="4584" spans="1:9" x14ac:dyDescent="0.25">
      <c r="A4584" t="s">
        <v>4043</v>
      </c>
      <c r="B4584" t="s">
        <v>13</v>
      </c>
      <c r="C4584">
        <v>17.420000000000002</v>
      </c>
      <c r="D4584">
        <v>18.420000000000002</v>
      </c>
      <c r="E4584" t="s">
        <v>17</v>
      </c>
      <c r="F4584">
        <v>23.59</v>
      </c>
      <c r="G4584">
        <v>22.48</v>
      </c>
      <c r="H4584" t="s">
        <v>17</v>
      </c>
      <c r="I4584" t="str">
        <f>"060780004339"</f>
        <v>060780004339</v>
      </c>
    </row>
    <row r="4585" spans="1:9" x14ac:dyDescent="0.25">
      <c r="A4585" t="s">
        <v>4044</v>
      </c>
      <c r="B4585" t="s">
        <v>13</v>
      </c>
      <c r="C4585">
        <v>30.25</v>
      </c>
      <c r="D4585">
        <v>30.4</v>
      </c>
      <c r="E4585" t="s">
        <v>17</v>
      </c>
      <c r="F4585">
        <v>22.08</v>
      </c>
      <c r="G4585">
        <v>21.32</v>
      </c>
      <c r="H4585" t="s">
        <v>17</v>
      </c>
      <c r="I4585" t="str">
        <f>"063432005486"</f>
        <v>063432005486</v>
      </c>
    </row>
    <row r="4586" spans="1:9" x14ac:dyDescent="0.25">
      <c r="A4586" t="s">
        <v>4045</v>
      </c>
      <c r="B4586" t="s">
        <v>13</v>
      </c>
      <c r="C4586">
        <v>27</v>
      </c>
      <c r="D4586">
        <v>26.65</v>
      </c>
      <c r="E4586" t="s">
        <v>17</v>
      </c>
      <c r="F4586">
        <v>20</v>
      </c>
      <c r="G4586">
        <v>21.24</v>
      </c>
      <c r="H4586" t="s">
        <v>17</v>
      </c>
      <c r="I4586" t="str">
        <f>"060369000333"</f>
        <v>060369000333</v>
      </c>
    </row>
    <row r="4587" spans="1:9" x14ac:dyDescent="0.25">
      <c r="A4587" t="s">
        <v>4046</v>
      </c>
      <c r="B4587" t="s">
        <v>13</v>
      </c>
      <c r="C4587">
        <v>17</v>
      </c>
      <c r="D4587">
        <v>17</v>
      </c>
      <c r="E4587" t="s">
        <v>17</v>
      </c>
      <c r="F4587">
        <v>28.71</v>
      </c>
      <c r="G4587">
        <v>30.18</v>
      </c>
      <c r="H4587" t="s">
        <v>17</v>
      </c>
      <c r="I4587" t="str">
        <f>"062619003915"</f>
        <v>062619003915</v>
      </c>
    </row>
    <row r="4588" spans="1:9" x14ac:dyDescent="0.25">
      <c r="A4588" t="s">
        <v>4047</v>
      </c>
      <c r="B4588" t="s">
        <v>13</v>
      </c>
      <c r="C4588">
        <v>16.61</v>
      </c>
      <c r="D4588">
        <v>19</v>
      </c>
      <c r="E4588" t="s">
        <v>17</v>
      </c>
      <c r="F4588">
        <v>28.84</v>
      </c>
      <c r="G4588">
        <v>25.68</v>
      </c>
      <c r="H4588" t="s">
        <v>17</v>
      </c>
      <c r="I4588" t="str">
        <f>"062193002601"</f>
        <v>062193002601</v>
      </c>
    </row>
    <row r="4589" spans="1:9" x14ac:dyDescent="0.25">
      <c r="A4589" t="s">
        <v>4048</v>
      </c>
      <c r="B4589" t="s">
        <v>13</v>
      </c>
      <c r="C4589">
        <v>26</v>
      </c>
      <c r="D4589">
        <v>25.5</v>
      </c>
      <c r="E4589" t="s">
        <v>17</v>
      </c>
      <c r="F4589">
        <v>28</v>
      </c>
      <c r="G4589">
        <v>30.2</v>
      </c>
      <c r="H4589" t="s">
        <v>17</v>
      </c>
      <c r="I4589" t="str">
        <f>"060195000085"</f>
        <v>060195000085</v>
      </c>
    </row>
    <row r="4590" spans="1:9" x14ac:dyDescent="0.25">
      <c r="A4590" t="s">
        <v>4049</v>
      </c>
      <c r="B4590" t="s">
        <v>13</v>
      </c>
      <c r="C4590">
        <v>78.73</v>
      </c>
      <c r="D4590">
        <v>87.23</v>
      </c>
      <c r="E4590" t="s">
        <v>17</v>
      </c>
      <c r="F4590">
        <v>24.03</v>
      </c>
      <c r="G4590">
        <v>22.89</v>
      </c>
      <c r="H4590" t="s">
        <v>17</v>
      </c>
      <c r="I4590" t="str">
        <f>"064074007861"</f>
        <v>064074007861</v>
      </c>
    </row>
    <row r="4591" spans="1:9" x14ac:dyDescent="0.25">
      <c r="A4591" t="s">
        <v>4050</v>
      </c>
      <c r="B4591" t="s">
        <v>13</v>
      </c>
      <c r="C4591">
        <v>13</v>
      </c>
      <c r="D4591">
        <v>14</v>
      </c>
      <c r="E4591" t="s">
        <v>17</v>
      </c>
      <c r="F4591">
        <v>12.77</v>
      </c>
      <c r="G4591">
        <v>11.29</v>
      </c>
      <c r="H4591" t="s">
        <v>17</v>
      </c>
      <c r="I4591" t="str">
        <f>"061233007698"</f>
        <v>061233007698</v>
      </c>
    </row>
    <row r="4592" spans="1:9" x14ac:dyDescent="0.25">
      <c r="A4592" t="s">
        <v>4051</v>
      </c>
      <c r="B4592" t="s">
        <v>13</v>
      </c>
      <c r="C4592" t="s">
        <v>17</v>
      </c>
      <c r="D4592" t="s">
        <v>14</v>
      </c>
      <c r="E4592" t="s">
        <v>14</v>
      </c>
      <c r="F4592" t="s">
        <v>17</v>
      </c>
      <c r="G4592" t="s">
        <v>14</v>
      </c>
      <c r="H4592" t="s">
        <v>14</v>
      </c>
      <c r="I4592" t="str">
        <f>"062394012770"</f>
        <v>062394012770</v>
      </c>
    </row>
    <row r="4593" spans="1:9" x14ac:dyDescent="0.25">
      <c r="A4593" t="s">
        <v>4051</v>
      </c>
      <c r="B4593" t="s">
        <v>13</v>
      </c>
      <c r="C4593" t="s">
        <v>14</v>
      </c>
      <c r="D4593">
        <v>1</v>
      </c>
      <c r="E4593" t="s">
        <v>17</v>
      </c>
      <c r="F4593" t="s">
        <v>14</v>
      </c>
      <c r="G4593">
        <v>3</v>
      </c>
      <c r="H4593" t="s">
        <v>17</v>
      </c>
      <c r="I4593" t="str">
        <f>"069109012770"</f>
        <v>069109012770</v>
      </c>
    </row>
    <row r="4594" spans="1:9" x14ac:dyDescent="0.25">
      <c r="A4594" t="s">
        <v>4052</v>
      </c>
      <c r="B4594" t="s">
        <v>13</v>
      </c>
      <c r="C4594">
        <v>35</v>
      </c>
      <c r="D4594">
        <v>34</v>
      </c>
      <c r="E4594" t="s">
        <v>17</v>
      </c>
      <c r="F4594">
        <v>25.26</v>
      </c>
      <c r="G4594">
        <v>24.68</v>
      </c>
      <c r="H4594" t="s">
        <v>17</v>
      </c>
      <c r="I4594" t="str">
        <f>"064215002349"</f>
        <v>064215002349</v>
      </c>
    </row>
    <row r="4595" spans="1:9" x14ac:dyDescent="0.25">
      <c r="A4595" t="s">
        <v>4053</v>
      </c>
      <c r="B4595" t="s">
        <v>13</v>
      </c>
      <c r="C4595">
        <v>28.43</v>
      </c>
      <c r="D4595">
        <v>24.13</v>
      </c>
      <c r="E4595" t="s">
        <v>17</v>
      </c>
      <c r="F4595">
        <v>26.73</v>
      </c>
      <c r="G4595">
        <v>25.98</v>
      </c>
      <c r="H4595" t="s">
        <v>17</v>
      </c>
      <c r="I4595" t="str">
        <f>"062250002708"</f>
        <v>062250002708</v>
      </c>
    </row>
    <row r="4596" spans="1:9" x14ac:dyDescent="0.25">
      <c r="A4596" t="s">
        <v>4054</v>
      </c>
      <c r="B4596" t="s">
        <v>13</v>
      </c>
      <c r="C4596">
        <v>1</v>
      </c>
      <c r="D4596">
        <v>2.2000000000000002</v>
      </c>
      <c r="E4596" t="s">
        <v>17</v>
      </c>
      <c r="F4596">
        <v>1</v>
      </c>
      <c r="G4596">
        <v>4.09</v>
      </c>
      <c r="H4596" t="s">
        <v>17</v>
      </c>
      <c r="I4596" t="str">
        <f>"061524008019"</f>
        <v>061524008019</v>
      </c>
    </row>
    <row r="4597" spans="1:9" x14ac:dyDescent="0.25">
      <c r="A4597" t="s">
        <v>4055</v>
      </c>
      <c r="B4597" t="s">
        <v>13</v>
      </c>
      <c r="C4597">
        <v>1</v>
      </c>
      <c r="D4597">
        <v>1</v>
      </c>
      <c r="E4597" t="s">
        <v>17</v>
      </c>
      <c r="F4597">
        <v>7</v>
      </c>
      <c r="G4597">
        <v>8</v>
      </c>
      <c r="H4597" t="s">
        <v>17</v>
      </c>
      <c r="I4597" t="str">
        <f>"069101100411"</f>
        <v>069101100411</v>
      </c>
    </row>
    <row r="4598" spans="1:9" x14ac:dyDescent="0.25">
      <c r="A4598" t="s">
        <v>4056</v>
      </c>
      <c r="B4598" t="s">
        <v>13</v>
      </c>
      <c r="C4598">
        <v>20.55</v>
      </c>
      <c r="D4598">
        <v>22.65</v>
      </c>
      <c r="E4598" t="s">
        <v>17</v>
      </c>
      <c r="F4598">
        <v>27.01</v>
      </c>
      <c r="G4598">
        <v>28.17</v>
      </c>
      <c r="H4598" t="s">
        <v>17</v>
      </c>
      <c r="I4598" t="str">
        <f>"060657010701"</f>
        <v>060657010701</v>
      </c>
    </row>
    <row r="4599" spans="1:9" x14ac:dyDescent="0.25">
      <c r="A4599" t="s">
        <v>4057</v>
      </c>
      <c r="B4599" t="s">
        <v>13</v>
      </c>
      <c r="C4599">
        <v>35.5</v>
      </c>
      <c r="D4599">
        <v>37.5</v>
      </c>
      <c r="E4599" t="s">
        <v>17</v>
      </c>
      <c r="F4599">
        <v>30.23</v>
      </c>
      <c r="G4599">
        <v>27.68</v>
      </c>
      <c r="H4599" t="s">
        <v>17</v>
      </c>
      <c r="I4599" t="str">
        <f>"063531008248"</f>
        <v>063531008248</v>
      </c>
    </row>
    <row r="4600" spans="1:9" x14ac:dyDescent="0.25">
      <c r="A4600" t="s">
        <v>4058</v>
      </c>
      <c r="B4600" t="s">
        <v>13</v>
      </c>
      <c r="C4600">
        <v>29</v>
      </c>
      <c r="D4600">
        <v>29.47</v>
      </c>
      <c r="E4600" t="s">
        <v>17</v>
      </c>
      <c r="F4600">
        <v>23.62</v>
      </c>
      <c r="G4600">
        <v>23.89</v>
      </c>
      <c r="H4600" t="s">
        <v>17</v>
      </c>
      <c r="I4600" t="str">
        <f>"060210000092"</f>
        <v>060210000092</v>
      </c>
    </row>
    <row r="4601" spans="1:9" x14ac:dyDescent="0.25">
      <c r="A4601" t="s">
        <v>4059</v>
      </c>
      <c r="B4601" t="s">
        <v>13</v>
      </c>
      <c r="C4601">
        <v>21.5</v>
      </c>
      <c r="D4601">
        <v>19.03</v>
      </c>
      <c r="E4601" t="s">
        <v>17</v>
      </c>
      <c r="F4601">
        <v>10.56</v>
      </c>
      <c r="G4601">
        <v>11.77</v>
      </c>
      <c r="H4601" t="s">
        <v>17</v>
      </c>
      <c r="I4601" t="str">
        <f>"062271003107"</f>
        <v>062271003107</v>
      </c>
    </row>
    <row r="4602" spans="1:9" x14ac:dyDescent="0.25">
      <c r="A4602" t="s">
        <v>4060</v>
      </c>
      <c r="B4602" t="s">
        <v>13</v>
      </c>
      <c r="C4602">
        <v>23</v>
      </c>
      <c r="D4602">
        <v>24</v>
      </c>
      <c r="E4602" t="s">
        <v>17</v>
      </c>
      <c r="F4602">
        <v>31.48</v>
      </c>
      <c r="G4602">
        <v>29.75</v>
      </c>
      <c r="H4602" t="s">
        <v>17</v>
      </c>
      <c r="I4602" t="str">
        <f>"060645000574"</f>
        <v>060645000574</v>
      </c>
    </row>
    <row r="4603" spans="1:9" x14ac:dyDescent="0.25">
      <c r="A4603" t="s">
        <v>4060</v>
      </c>
      <c r="B4603" t="s">
        <v>13</v>
      </c>
      <c r="C4603">
        <v>16</v>
      </c>
      <c r="D4603">
        <v>16</v>
      </c>
      <c r="E4603" t="s">
        <v>17</v>
      </c>
      <c r="F4603">
        <v>26.31</v>
      </c>
      <c r="G4603">
        <v>24.75</v>
      </c>
      <c r="H4603" t="s">
        <v>17</v>
      </c>
      <c r="I4603" t="str">
        <f>"062805004280"</f>
        <v>062805004280</v>
      </c>
    </row>
    <row r="4604" spans="1:9" x14ac:dyDescent="0.25">
      <c r="A4604" t="s">
        <v>4061</v>
      </c>
      <c r="B4604" t="s">
        <v>13</v>
      </c>
      <c r="C4604">
        <v>56.9</v>
      </c>
      <c r="D4604">
        <v>54.77</v>
      </c>
      <c r="E4604" t="s">
        <v>17</v>
      </c>
      <c r="F4604">
        <v>23.53</v>
      </c>
      <c r="G4604">
        <v>23.83</v>
      </c>
      <c r="H4604" t="s">
        <v>17</v>
      </c>
      <c r="I4604" t="str">
        <f>"061029001142"</f>
        <v>061029001142</v>
      </c>
    </row>
    <row r="4605" spans="1:9" x14ac:dyDescent="0.25">
      <c r="A4605" t="s">
        <v>4062</v>
      </c>
      <c r="B4605" t="s">
        <v>13</v>
      </c>
      <c r="C4605">
        <v>35.299999999999997</v>
      </c>
      <c r="D4605">
        <v>34.36</v>
      </c>
      <c r="E4605" t="s">
        <v>17</v>
      </c>
      <c r="F4605">
        <v>18.22</v>
      </c>
      <c r="G4605">
        <v>18.510000000000002</v>
      </c>
      <c r="H4605" t="s">
        <v>17</v>
      </c>
      <c r="I4605" t="str">
        <f>"062574003851"</f>
        <v>062574003851</v>
      </c>
    </row>
    <row r="4606" spans="1:9" x14ac:dyDescent="0.25">
      <c r="A4606" t="s">
        <v>4063</v>
      </c>
      <c r="B4606" t="s">
        <v>13</v>
      </c>
      <c r="C4606">
        <v>34</v>
      </c>
      <c r="D4606">
        <v>32.67</v>
      </c>
      <c r="E4606" t="s">
        <v>17</v>
      </c>
      <c r="F4606">
        <v>24.88</v>
      </c>
      <c r="G4606">
        <v>23.72</v>
      </c>
      <c r="H4606" t="s">
        <v>17</v>
      </c>
      <c r="I4606" t="str">
        <f>"060939000945"</f>
        <v>060939000945</v>
      </c>
    </row>
    <row r="4607" spans="1:9" x14ac:dyDescent="0.25">
      <c r="A4607" t="s">
        <v>4064</v>
      </c>
      <c r="B4607" t="s">
        <v>13</v>
      </c>
      <c r="C4607">
        <v>18.5</v>
      </c>
      <c r="D4607">
        <v>19.5</v>
      </c>
      <c r="E4607" t="s">
        <v>17</v>
      </c>
      <c r="F4607">
        <v>15.3</v>
      </c>
      <c r="G4607">
        <v>15.28</v>
      </c>
      <c r="H4607" t="s">
        <v>17</v>
      </c>
      <c r="I4607" t="str">
        <f>"061077001194"</f>
        <v>061077001194</v>
      </c>
    </row>
    <row r="4608" spans="1:9" x14ac:dyDescent="0.25">
      <c r="A4608" t="s">
        <v>4065</v>
      </c>
      <c r="B4608" t="s">
        <v>13</v>
      </c>
      <c r="C4608">
        <v>19</v>
      </c>
      <c r="D4608">
        <v>21</v>
      </c>
      <c r="E4608" t="s">
        <v>17</v>
      </c>
      <c r="F4608">
        <v>26.79</v>
      </c>
      <c r="G4608">
        <v>26.29</v>
      </c>
      <c r="H4608" t="s">
        <v>17</v>
      </c>
      <c r="I4608" t="str">
        <f>"060462009116"</f>
        <v>060462009116</v>
      </c>
    </row>
    <row r="4609" spans="1:9" x14ac:dyDescent="0.25">
      <c r="A4609" t="s">
        <v>4066</v>
      </c>
      <c r="B4609" t="s">
        <v>13</v>
      </c>
      <c r="C4609">
        <v>23.64</v>
      </c>
      <c r="D4609">
        <v>21.64</v>
      </c>
      <c r="E4609" t="s">
        <v>17</v>
      </c>
      <c r="F4609">
        <v>19.5</v>
      </c>
      <c r="G4609">
        <v>21.58</v>
      </c>
      <c r="H4609" t="s">
        <v>17</v>
      </c>
      <c r="I4609" t="str">
        <f>"062211002628"</f>
        <v>062211002628</v>
      </c>
    </row>
    <row r="4610" spans="1:9" x14ac:dyDescent="0.25">
      <c r="A4610" t="s">
        <v>4067</v>
      </c>
      <c r="B4610" t="s">
        <v>13</v>
      </c>
      <c r="C4610">
        <v>29.95</v>
      </c>
      <c r="D4610">
        <v>28.55</v>
      </c>
      <c r="E4610" t="s">
        <v>17</v>
      </c>
      <c r="F4610">
        <v>24.51</v>
      </c>
      <c r="G4610">
        <v>25.71</v>
      </c>
      <c r="H4610" t="s">
        <v>17</v>
      </c>
      <c r="I4610" t="str">
        <f>"062871004464"</f>
        <v>062871004464</v>
      </c>
    </row>
    <row r="4611" spans="1:9" x14ac:dyDescent="0.25">
      <c r="A4611" t="s">
        <v>4068</v>
      </c>
      <c r="B4611" t="s">
        <v>13</v>
      </c>
      <c r="C4611">
        <v>17.29</v>
      </c>
      <c r="D4611">
        <v>15.95</v>
      </c>
      <c r="E4611" t="s">
        <v>17</v>
      </c>
      <c r="F4611">
        <v>17.760000000000002</v>
      </c>
      <c r="G4611">
        <v>19.18</v>
      </c>
      <c r="H4611" t="s">
        <v>17</v>
      </c>
      <c r="I4611" t="str">
        <f>"062223008617"</f>
        <v>062223008617</v>
      </c>
    </row>
    <row r="4612" spans="1:9" x14ac:dyDescent="0.25">
      <c r="A4612" t="s">
        <v>4069</v>
      </c>
      <c r="B4612" t="s">
        <v>13</v>
      </c>
      <c r="C4612">
        <v>21</v>
      </c>
      <c r="D4612">
        <v>20</v>
      </c>
      <c r="E4612" t="s">
        <v>17</v>
      </c>
      <c r="F4612">
        <v>24.76</v>
      </c>
      <c r="G4612">
        <v>25.65</v>
      </c>
      <c r="H4612" t="s">
        <v>17</v>
      </c>
      <c r="I4612" t="str">
        <f>"062460011688"</f>
        <v>062460011688</v>
      </c>
    </row>
    <row r="4613" spans="1:9" x14ac:dyDescent="0.25">
      <c r="A4613" t="s">
        <v>4070</v>
      </c>
      <c r="B4613" t="s">
        <v>13</v>
      </c>
      <c r="C4613">
        <v>34.1</v>
      </c>
      <c r="D4613">
        <v>31.1</v>
      </c>
      <c r="E4613" t="s">
        <v>17</v>
      </c>
      <c r="F4613">
        <v>26.01</v>
      </c>
      <c r="G4613">
        <v>27.33</v>
      </c>
      <c r="H4613" t="s">
        <v>17</v>
      </c>
      <c r="I4613" t="str">
        <f>"064212006890"</f>
        <v>064212006890</v>
      </c>
    </row>
    <row r="4614" spans="1:9" x14ac:dyDescent="0.25">
      <c r="A4614" t="s">
        <v>4071</v>
      </c>
      <c r="B4614" t="s">
        <v>13</v>
      </c>
      <c r="C4614">
        <v>19</v>
      </c>
      <c r="D4614">
        <v>18</v>
      </c>
      <c r="E4614" t="s">
        <v>17</v>
      </c>
      <c r="F4614">
        <v>25.37</v>
      </c>
      <c r="G4614">
        <v>26.11</v>
      </c>
      <c r="H4614" t="s">
        <v>17</v>
      </c>
      <c r="I4614" t="str">
        <f>"060813011490"</f>
        <v>060813011490</v>
      </c>
    </row>
    <row r="4615" spans="1:9" x14ac:dyDescent="0.25">
      <c r="A4615" t="s">
        <v>4072</v>
      </c>
      <c r="B4615" t="s">
        <v>13</v>
      </c>
      <c r="C4615" t="s">
        <v>14</v>
      </c>
      <c r="D4615" t="s">
        <v>17</v>
      </c>
      <c r="E4615" t="s">
        <v>17</v>
      </c>
      <c r="F4615" t="s">
        <v>14</v>
      </c>
      <c r="G4615" t="s">
        <v>17</v>
      </c>
      <c r="H4615" t="s">
        <v>17</v>
      </c>
      <c r="I4615" t="str">
        <f>"060005707737"</f>
        <v>060005707737</v>
      </c>
    </row>
    <row r="4616" spans="1:9" x14ac:dyDescent="0.25">
      <c r="A4616" t="s">
        <v>4072</v>
      </c>
      <c r="B4616" t="s">
        <v>13</v>
      </c>
      <c r="C4616" t="s">
        <v>17</v>
      </c>
      <c r="D4616" t="s">
        <v>14</v>
      </c>
      <c r="E4616" t="s">
        <v>14</v>
      </c>
      <c r="F4616" t="s">
        <v>17</v>
      </c>
      <c r="G4616" t="s">
        <v>14</v>
      </c>
      <c r="H4616" t="s">
        <v>14</v>
      </c>
      <c r="I4616" t="str">
        <f>"060142207737"</f>
        <v>060142207737</v>
      </c>
    </row>
    <row r="4617" spans="1:9" x14ac:dyDescent="0.25">
      <c r="A4617" t="s">
        <v>4073</v>
      </c>
      <c r="B4617" t="s">
        <v>13</v>
      </c>
      <c r="C4617">
        <v>1.63</v>
      </c>
      <c r="D4617">
        <v>1</v>
      </c>
      <c r="E4617" t="s">
        <v>17</v>
      </c>
      <c r="F4617">
        <v>16.559999999999999</v>
      </c>
      <c r="G4617">
        <v>27</v>
      </c>
      <c r="H4617" t="s">
        <v>17</v>
      </c>
      <c r="I4617" t="str">
        <f>"060897000901"</f>
        <v>060897000901</v>
      </c>
    </row>
    <row r="4618" spans="1:9" x14ac:dyDescent="0.25">
      <c r="A4618" t="s">
        <v>4074</v>
      </c>
      <c r="B4618" t="s">
        <v>13</v>
      </c>
      <c r="C4618">
        <v>21</v>
      </c>
      <c r="D4618">
        <v>22</v>
      </c>
      <c r="E4618" t="s">
        <v>17</v>
      </c>
      <c r="F4618">
        <v>21.19</v>
      </c>
      <c r="G4618">
        <v>20.64</v>
      </c>
      <c r="H4618" t="s">
        <v>17</v>
      </c>
      <c r="I4618" t="str">
        <f>"062667004049"</f>
        <v>062667004049</v>
      </c>
    </row>
    <row r="4619" spans="1:9" x14ac:dyDescent="0.25">
      <c r="A4619" t="s">
        <v>4075</v>
      </c>
      <c r="B4619" t="s">
        <v>13</v>
      </c>
      <c r="C4619">
        <v>86.87</v>
      </c>
      <c r="D4619">
        <v>86.67</v>
      </c>
      <c r="E4619" t="s">
        <v>17</v>
      </c>
      <c r="F4619">
        <v>27.31</v>
      </c>
      <c r="G4619">
        <v>27.73</v>
      </c>
      <c r="H4619" t="s">
        <v>17</v>
      </c>
      <c r="I4619" t="str">
        <f>"063375005204"</f>
        <v>063375005204</v>
      </c>
    </row>
    <row r="4620" spans="1:9" x14ac:dyDescent="0.25">
      <c r="A4620" t="s">
        <v>4076</v>
      </c>
      <c r="B4620" t="s">
        <v>13</v>
      </c>
      <c r="C4620">
        <v>51.25</v>
      </c>
      <c r="D4620">
        <v>54.69</v>
      </c>
      <c r="E4620" t="s">
        <v>17</v>
      </c>
      <c r="F4620">
        <v>25.31</v>
      </c>
      <c r="G4620">
        <v>25.31</v>
      </c>
      <c r="H4620" t="s">
        <v>17</v>
      </c>
      <c r="I4620" t="str">
        <f>"062271003382"</f>
        <v>062271003382</v>
      </c>
    </row>
    <row r="4621" spans="1:9" x14ac:dyDescent="0.25">
      <c r="A4621" t="s">
        <v>4077</v>
      </c>
      <c r="B4621" t="s">
        <v>13</v>
      </c>
      <c r="C4621">
        <v>26.85</v>
      </c>
      <c r="D4621">
        <v>23.67</v>
      </c>
      <c r="E4621" t="s">
        <v>14</v>
      </c>
      <c r="F4621">
        <v>24.54</v>
      </c>
      <c r="G4621">
        <v>23.62</v>
      </c>
      <c r="H4621" t="s">
        <v>14</v>
      </c>
      <c r="I4621" t="str">
        <f>"062256012569"</f>
        <v>062256012569</v>
      </c>
    </row>
    <row r="4622" spans="1:9" x14ac:dyDescent="0.25">
      <c r="A4622" t="s">
        <v>4078</v>
      </c>
      <c r="B4622" t="s">
        <v>13</v>
      </c>
      <c r="C4622">
        <v>18.489999999999998</v>
      </c>
      <c r="D4622">
        <v>17.05</v>
      </c>
      <c r="E4622" t="s">
        <v>17</v>
      </c>
      <c r="F4622">
        <v>23.26</v>
      </c>
      <c r="G4622">
        <v>23.93</v>
      </c>
      <c r="H4622" t="s">
        <v>17</v>
      </c>
      <c r="I4622" t="str">
        <f>"063942006549"</f>
        <v>063942006549</v>
      </c>
    </row>
    <row r="4623" spans="1:9" x14ac:dyDescent="0.25">
      <c r="A4623" t="s">
        <v>4078</v>
      </c>
      <c r="B4623" t="s">
        <v>13</v>
      </c>
      <c r="C4623">
        <v>28</v>
      </c>
      <c r="D4623">
        <v>30</v>
      </c>
      <c r="E4623" t="s">
        <v>17</v>
      </c>
      <c r="F4623">
        <v>29.75</v>
      </c>
      <c r="G4623">
        <v>27.7</v>
      </c>
      <c r="H4623" t="s">
        <v>17</v>
      </c>
      <c r="I4623" t="str">
        <f>"062334003543"</f>
        <v>062334003543</v>
      </c>
    </row>
    <row r="4624" spans="1:9" x14ac:dyDescent="0.25">
      <c r="A4624" t="s">
        <v>4078</v>
      </c>
      <c r="B4624" t="s">
        <v>13</v>
      </c>
      <c r="C4624">
        <v>29.5</v>
      </c>
      <c r="D4624">
        <v>33.5</v>
      </c>
      <c r="E4624" t="s">
        <v>17</v>
      </c>
      <c r="F4624">
        <v>26.75</v>
      </c>
      <c r="G4624">
        <v>22.33</v>
      </c>
      <c r="H4624" t="s">
        <v>17</v>
      </c>
      <c r="I4624" t="str">
        <f>"060985001045"</f>
        <v>060985001045</v>
      </c>
    </row>
    <row r="4625" spans="1:9" x14ac:dyDescent="0.25">
      <c r="A4625" t="s">
        <v>4078</v>
      </c>
      <c r="B4625" t="s">
        <v>13</v>
      </c>
      <c r="C4625">
        <v>18.399999999999999</v>
      </c>
      <c r="D4625">
        <v>18.399999999999999</v>
      </c>
      <c r="E4625" t="s">
        <v>17</v>
      </c>
      <c r="F4625">
        <v>24.57</v>
      </c>
      <c r="G4625">
        <v>23.86</v>
      </c>
      <c r="H4625" t="s">
        <v>17</v>
      </c>
      <c r="I4625" t="str">
        <f>"061111006220"</f>
        <v>061111006220</v>
      </c>
    </row>
    <row r="4626" spans="1:9" x14ac:dyDescent="0.25">
      <c r="A4626" t="s">
        <v>4079</v>
      </c>
      <c r="B4626" t="s">
        <v>13</v>
      </c>
      <c r="C4626">
        <v>46.31</v>
      </c>
      <c r="D4626">
        <v>46.1</v>
      </c>
      <c r="E4626" t="s">
        <v>17</v>
      </c>
      <c r="F4626">
        <v>21.46</v>
      </c>
      <c r="G4626">
        <v>22.86</v>
      </c>
      <c r="H4626" t="s">
        <v>17</v>
      </c>
      <c r="I4626" t="str">
        <f>"063570006085"</f>
        <v>063570006085</v>
      </c>
    </row>
    <row r="4627" spans="1:9" x14ac:dyDescent="0.25">
      <c r="A4627" t="s">
        <v>4079</v>
      </c>
      <c r="B4627" t="s">
        <v>13</v>
      </c>
      <c r="C4627">
        <v>53.5</v>
      </c>
      <c r="D4627">
        <v>61</v>
      </c>
      <c r="E4627" t="s">
        <v>17</v>
      </c>
      <c r="F4627">
        <v>19.07</v>
      </c>
      <c r="G4627">
        <v>17.72</v>
      </c>
      <c r="H4627" t="s">
        <v>17</v>
      </c>
      <c r="I4627" t="str">
        <f>"062271002800"</f>
        <v>062271002800</v>
      </c>
    </row>
    <row r="4628" spans="1:9" x14ac:dyDescent="0.25">
      <c r="A4628" t="s">
        <v>4080</v>
      </c>
      <c r="B4628" t="s">
        <v>13</v>
      </c>
      <c r="C4628">
        <v>24</v>
      </c>
      <c r="D4628">
        <v>24</v>
      </c>
      <c r="E4628" t="s">
        <v>17</v>
      </c>
      <c r="F4628">
        <v>29.04</v>
      </c>
      <c r="G4628">
        <v>29.42</v>
      </c>
      <c r="H4628" t="s">
        <v>17</v>
      </c>
      <c r="I4628" t="str">
        <f>"062088012421"</f>
        <v>062088012421</v>
      </c>
    </row>
    <row r="4629" spans="1:9" x14ac:dyDescent="0.25">
      <c r="A4629" t="s">
        <v>4081</v>
      </c>
      <c r="B4629" t="s">
        <v>13</v>
      </c>
      <c r="C4629">
        <v>22.4</v>
      </c>
      <c r="D4629">
        <v>20.100000000000001</v>
      </c>
      <c r="E4629" t="s">
        <v>17</v>
      </c>
      <c r="F4629">
        <v>24.64</v>
      </c>
      <c r="G4629">
        <v>26.72</v>
      </c>
      <c r="H4629" t="s">
        <v>17</v>
      </c>
      <c r="I4629" t="str">
        <f>"069104111486"</f>
        <v>069104111486</v>
      </c>
    </row>
    <row r="4630" spans="1:9" x14ac:dyDescent="0.25">
      <c r="A4630" t="s">
        <v>4082</v>
      </c>
      <c r="B4630" t="s">
        <v>13</v>
      </c>
      <c r="C4630">
        <v>31</v>
      </c>
      <c r="D4630">
        <v>31</v>
      </c>
      <c r="E4630" t="s">
        <v>17</v>
      </c>
      <c r="F4630">
        <v>23.87</v>
      </c>
      <c r="G4630">
        <v>24.74</v>
      </c>
      <c r="H4630" t="s">
        <v>17</v>
      </c>
      <c r="I4630" t="str">
        <f>"062271003191"</f>
        <v>062271003191</v>
      </c>
    </row>
    <row r="4631" spans="1:9" x14ac:dyDescent="0.25">
      <c r="A4631" t="s">
        <v>4083</v>
      </c>
      <c r="B4631" t="s">
        <v>13</v>
      </c>
      <c r="C4631">
        <v>21.9</v>
      </c>
      <c r="D4631">
        <v>22.9</v>
      </c>
      <c r="E4631" t="s">
        <v>17</v>
      </c>
      <c r="F4631">
        <v>21.1</v>
      </c>
      <c r="G4631">
        <v>20.74</v>
      </c>
      <c r="H4631" t="s">
        <v>17</v>
      </c>
      <c r="I4631" t="str">
        <f>"062400001766"</f>
        <v>062400001766</v>
      </c>
    </row>
    <row r="4632" spans="1:9" x14ac:dyDescent="0.25">
      <c r="A4632" t="s">
        <v>4084</v>
      </c>
      <c r="B4632" t="s">
        <v>13</v>
      </c>
      <c r="C4632">
        <v>24.9</v>
      </c>
      <c r="D4632">
        <v>23.6</v>
      </c>
      <c r="E4632" t="s">
        <v>17</v>
      </c>
      <c r="F4632">
        <v>21.73</v>
      </c>
      <c r="G4632">
        <v>22.67</v>
      </c>
      <c r="H4632" t="s">
        <v>17</v>
      </c>
      <c r="I4632" t="str">
        <f>"063513005949"</f>
        <v>063513005949</v>
      </c>
    </row>
    <row r="4633" spans="1:9" x14ac:dyDescent="0.25">
      <c r="A4633" t="s">
        <v>4085</v>
      </c>
      <c r="B4633" t="s">
        <v>13</v>
      </c>
      <c r="C4633">
        <v>36</v>
      </c>
      <c r="D4633">
        <v>35.9</v>
      </c>
      <c r="E4633" t="s">
        <v>17</v>
      </c>
      <c r="F4633">
        <v>21.86</v>
      </c>
      <c r="G4633">
        <v>24.43</v>
      </c>
      <c r="H4633" t="s">
        <v>17</v>
      </c>
      <c r="I4633" t="str">
        <f>"063462005755"</f>
        <v>063462005755</v>
      </c>
    </row>
    <row r="4634" spans="1:9" x14ac:dyDescent="0.25">
      <c r="A4634" t="s">
        <v>4086</v>
      </c>
      <c r="B4634" t="s">
        <v>13</v>
      </c>
      <c r="C4634">
        <v>13</v>
      </c>
      <c r="D4634">
        <v>14</v>
      </c>
      <c r="E4634" t="s">
        <v>17</v>
      </c>
      <c r="F4634">
        <v>29.92</v>
      </c>
      <c r="G4634">
        <v>24.86</v>
      </c>
      <c r="H4634" t="s">
        <v>17</v>
      </c>
      <c r="I4634" t="str">
        <f>"063384005254"</f>
        <v>063384005254</v>
      </c>
    </row>
    <row r="4635" spans="1:9" x14ac:dyDescent="0.25">
      <c r="A4635" t="s">
        <v>4087</v>
      </c>
      <c r="B4635" t="s">
        <v>13</v>
      </c>
      <c r="C4635">
        <v>25.5</v>
      </c>
      <c r="D4635">
        <v>28.5</v>
      </c>
      <c r="E4635" t="s">
        <v>17</v>
      </c>
      <c r="F4635">
        <v>19.57</v>
      </c>
      <c r="G4635">
        <v>18.98</v>
      </c>
      <c r="H4635" t="s">
        <v>17</v>
      </c>
      <c r="I4635" t="str">
        <f>"061440001656"</f>
        <v>061440001656</v>
      </c>
    </row>
    <row r="4636" spans="1:9" x14ac:dyDescent="0.25">
      <c r="A4636" t="s">
        <v>4088</v>
      </c>
      <c r="B4636" t="s">
        <v>13</v>
      </c>
      <c r="C4636">
        <v>69.33</v>
      </c>
      <c r="D4636">
        <v>76.510000000000005</v>
      </c>
      <c r="E4636" t="s">
        <v>17</v>
      </c>
      <c r="F4636">
        <v>28.08</v>
      </c>
      <c r="G4636">
        <v>25.79</v>
      </c>
      <c r="H4636" t="s">
        <v>17</v>
      </c>
      <c r="I4636" t="str">
        <f>"062271002875"</f>
        <v>062271002875</v>
      </c>
    </row>
    <row r="4637" spans="1:9" x14ac:dyDescent="0.25">
      <c r="A4637" t="s">
        <v>4089</v>
      </c>
      <c r="B4637" t="s">
        <v>13</v>
      </c>
      <c r="C4637">
        <v>16</v>
      </c>
      <c r="D4637">
        <v>18</v>
      </c>
      <c r="E4637" t="s">
        <v>17</v>
      </c>
      <c r="F4637">
        <v>29.13</v>
      </c>
      <c r="G4637">
        <v>27.33</v>
      </c>
      <c r="H4637" t="s">
        <v>17</v>
      </c>
      <c r="I4637" t="str">
        <f>"062991004656"</f>
        <v>062991004656</v>
      </c>
    </row>
    <row r="4638" spans="1:9" x14ac:dyDescent="0.25">
      <c r="A4638" t="s">
        <v>4090</v>
      </c>
      <c r="B4638" t="s">
        <v>13</v>
      </c>
      <c r="C4638">
        <v>20</v>
      </c>
      <c r="D4638">
        <v>20</v>
      </c>
      <c r="E4638" t="s">
        <v>17</v>
      </c>
      <c r="F4638">
        <v>23.55</v>
      </c>
      <c r="G4638">
        <v>24.7</v>
      </c>
      <c r="H4638" t="s">
        <v>17</v>
      </c>
      <c r="I4638" t="str">
        <f>"062460003691"</f>
        <v>062460003691</v>
      </c>
    </row>
    <row r="4639" spans="1:9" x14ac:dyDescent="0.25">
      <c r="A4639" t="s">
        <v>4091</v>
      </c>
      <c r="B4639" t="s">
        <v>13</v>
      </c>
      <c r="C4639">
        <v>20</v>
      </c>
      <c r="D4639">
        <v>19</v>
      </c>
      <c r="E4639" t="s">
        <v>17</v>
      </c>
      <c r="F4639">
        <v>26.7</v>
      </c>
      <c r="G4639">
        <v>26.95</v>
      </c>
      <c r="H4639" t="s">
        <v>17</v>
      </c>
      <c r="I4639" t="str">
        <f>"060969001036"</f>
        <v>060969001036</v>
      </c>
    </row>
    <row r="4640" spans="1:9" x14ac:dyDescent="0.25">
      <c r="A4640" t="s">
        <v>4091</v>
      </c>
      <c r="B4640" t="s">
        <v>13</v>
      </c>
      <c r="C4640">
        <v>27.5</v>
      </c>
      <c r="D4640">
        <v>27</v>
      </c>
      <c r="E4640" t="s">
        <v>17</v>
      </c>
      <c r="F4640">
        <v>25.89</v>
      </c>
      <c r="G4640">
        <v>26.41</v>
      </c>
      <c r="H4640" t="s">
        <v>17</v>
      </c>
      <c r="I4640" t="str">
        <f>"061524001929"</f>
        <v>061524001929</v>
      </c>
    </row>
    <row r="4641" spans="1:9" x14ac:dyDescent="0.25">
      <c r="A4641" t="s">
        <v>4091</v>
      </c>
      <c r="B4641" t="s">
        <v>13</v>
      </c>
      <c r="C4641">
        <v>25.67</v>
      </c>
      <c r="D4641">
        <v>31.75</v>
      </c>
      <c r="E4641" t="s">
        <v>17</v>
      </c>
      <c r="F4641">
        <v>36.03</v>
      </c>
      <c r="G4641">
        <v>27.78</v>
      </c>
      <c r="H4641" t="s">
        <v>17</v>
      </c>
      <c r="I4641" t="str">
        <f>"063801011782"</f>
        <v>063801011782</v>
      </c>
    </row>
    <row r="4642" spans="1:9" x14ac:dyDescent="0.25">
      <c r="A4642" t="s">
        <v>4092</v>
      </c>
      <c r="B4642" t="s">
        <v>13</v>
      </c>
      <c r="C4642">
        <v>104.5</v>
      </c>
      <c r="D4642">
        <v>150.24</v>
      </c>
      <c r="E4642" t="s">
        <v>17</v>
      </c>
      <c r="F4642">
        <v>24.15</v>
      </c>
      <c r="G4642">
        <v>23.22</v>
      </c>
      <c r="H4642" t="s">
        <v>17</v>
      </c>
      <c r="I4642" t="str">
        <f>"062271003023"</f>
        <v>062271003023</v>
      </c>
    </row>
    <row r="4643" spans="1:9" x14ac:dyDescent="0.25">
      <c r="A4643" t="s">
        <v>4093</v>
      </c>
      <c r="B4643" t="s">
        <v>13</v>
      </c>
      <c r="C4643">
        <v>83.46</v>
      </c>
      <c r="D4643">
        <v>75.459999999999994</v>
      </c>
      <c r="E4643" t="s">
        <v>17</v>
      </c>
      <c r="F4643">
        <v>25.4</v>
      </c>
      <c r="G4643">
        <v>25.99</v>
      </c>
      <c r="H4643" t="s">
        <v>17</v>
      </c>
      <c r="I4643" t="str">
        <f>"060004712372"</f>
        <v>060004712372</v>
      </c>
    </row>
    <row r="4644" spans="1:9" x14ac:dyDescent="0.25">
      <c r="A4644" t="s">
        <v>4094</v>
      </c>
      <c r="B4644" t="s">
        <v>13</v>
      </c>
      <c r="C4644">
        <v>15</v>
      </c>
      <c r="D4644">
        <v>14.4</v>
      </c>
      <c r="E4644" t="s">
        <v>17</v>
      </c>
      <c r="F4644">
        <v>24.93</v>
      </c>
      <c r="G4644">
        <v>28.13</v>
      </c>
      <c r="H4644" t="s">
        <v>17</v>
      </c>
      <c r="I4644" t="str">
        <f>"063384005255"</f>
        <v>063384005255</v>
      </c>
    </row>
    <row r="4645" spans="1:9" x14ac:dyDescent="0.25">
      <c r="A4645" t="s">
        <v>4095</v>
      </c>
      <c r="B4645" t="s">
        <v>13</v>
      </c>
      <c r="C4645">
        <v>11</v>
      </c>
      <c r="D4645">
        <v>12.35</v>
      </c>
      <c r="E4645" t="s">
        <v>17</v>
      </c>
      <c r="F4645">
        <v>28.18</v>
      </c>
      <c r="G4645">
        <v>25.18</v>
      </c>
      <c r="H4645" t="s">
        <v>17</v>
      </c>
      <c r="I4645" t="str">
        <f>"063384005256"</f>
        <v>063384005256</v>
      </c>
    </row>
    <row r="4646" spans="1:9" x14ac:dyDescent="0.25">
      <c r="A4646" t="s">
        <v>4096</v>
      </c>
      <c r="B4646" t="s">
        <v>13</v>
      </c>
      <c r="C4646">
        <v>26</v>
      </c>
      <c r="D4646">
        <v>27</v>
      </c>
      <c r="E4646" t="s">
        <v>17</v>
      </c>
      <c r="F4646">
        <v>23.58</v>
      </c>
      <c r="G4646">
        <v>26.74</v>
      </c>
      <c r="H4646" t="s">
        <v>17</v>
      </c>
      <c r="I4646" t="str">
        <f>"062769004158"</f>
        <v>062769004158</v>
      </c>
    </row>
    <row r="4647" spans="1:9" x14ac:dyDescent="0.25">
      <c r="A4647" t="s">
        <v>4097</v>
      </c>
      <c r="B4647" t="s">
        <v>13</v>
      </c>
      <c r="C4647">
        <v>23</v>
      </c>
      <c r="D4647">
        <v>24</v>
      </c>
      <c r="E4647" t="s">
        <v>17</v>
      </c>
      <c r="F4647">
        <v>28.3</v>
      </c>
      <c r="G4647">
        <v>28.29</v>
      </c>
      <c r="H4647" t="s">
        <v>17</v>
      </c>
      <c r="I4647" t="str">
        <f>"060195009694"</f>
        <v>060195009694</v>
      </c>
    </row>
    <row r="4648" spans="1:9" x14ac:dyDescent="0.25">
      <c r="A4648" t="s">
        <v>4098</v>
      </c>
      <c r="B4648" t="s">
        <v>13</v>
      </c>
      <c r="C4648">
        <v>34</v>
      </c>
      <c r="D4648">
        <v>33.39</v>
      </c>
      <c r="E4648" t="s">
        <v>17</v>
      </c>
      <c r="F4648">
        <v>26.32</v>
      </c>
      <c r="G4648">
        <v>26.18</v>
      </c>
      <c r="H4648" t="s">
        <v>17</v>
      </c>
      <c r="I4648" t="str">
        <f>"061233010293"</f>
        <v>061233010293</v>
      </c>
    </row>
    <row r="4649" spans="1:9" x14ac:dyDescent="0.25">
      <c r="A4649" t="s">
        <v>4099</v>
      </c>
      <c r="B4649" t="s">
        <v>13</v>
      </c>
      <c r="C4649">
        <v>12</v>
      </c>
      <c r="D4649">
        <v>10</v>
      </c>
      <c r="E4649" t="s">
        <v>17</v>
      </c>
      <c r="F4649">
        <v>10.17</v>
      </c>
      <c r="G4649">
        <v>15.9</v>
      </c>
      <c r="H4649" t="s">
        <v>17</v>
      </c>
      <c r="I4649" t="str">
        <f>"069103107355"</f>
        <v>069103107355</v>
      </c>
    </row>
    <row r="4650" spans="1:9" x14ac:dyDescent="0.25">
      <c r="A4650" t="s">
        <v>4100</v>
      </c>
      <c r="B4650" t="s">
        <v>13</v>
      </c>
      <c r="C4650">
        <v>17.5</v>
      </c>
      <c r="D4650">
        <v>20</v>
      </c>
      <c r="E4650" t="s">
        <v>17</v>
      </c>
      <c r="F4650">
        <v>26.63</v>
      </c>
      <c r="G4650">
        <v>21.65</v>
      </c>
      <c r="H4650" t="s">
        <v>17</v>
      </c>
      <c r="I4650" t="str">
        <f>"060006511536"</f>
        <v>060006511536</v>
      </c>
    </row>
    <row r="4651" spans="1:9" x14ac:dyDescent="0.25">
      <c r="A4651" t="s">
        <v>4100</v>
      </c>
      <c r="B4651" t="s">
        <v>13</v>
      </c>
      <c r="C4651">
        <v>24.5</v>
      </c>
      <c r="D4651">
        <v>23.25</v>
      </c>
      <c r="E4651" t="s">
        <v>17</v>
      </c>
      <c r="F4651">
        <v>20.2</v>
      </c>
      <c r="G4651">
        <v>22.02</v>
      </c>
      <c r="H4651" t="s">
        <v>17</v>
      </c>
      <c r="I4651" t="str">
        <f>"061887002287"</f>
        <v>061887002287</v>
      </c>
    </row>
    <row r="4652" spans="1:9" x14ac:dyDescent="0.25">
      <c r="A4652" t="s">
        <v>4100</v>
      </c>
      <c r="B4652" t="s">
        <v>13</v>
      </c>
      <c r="C4652">
        <v>20</v>
      </c>
      <c r="D4652">
        <v>21</v>
      </c>
      <c r="E4652" t="s">
        <v>17</v>
      </c>
      <c r="F4652">
        <v>27.65</v>
      </c>
      <c r="G4652">
        <v>26</v>
      </c>
      <c r="H4652" t="s">
        <v>17</v>
      </c>
      <c r="I4652" t="str">
        <f>"061111001229"</f>
        <v>061111001229</v>
      </c>
    </row>
    <row r="4653" spans="1:9" x14ac:dyDescent="0.25">
      <c r="A4653" t="s">
        <v>4100</v>
      </c>
      <c r="B4653" t="s">
        <v>13</v>
      </c>
      <c r="C4653">
        <v>15.34</v>
      </c>
      <c r="D4653">
        <v>15.53</v>
      </c>
      <c r="E4653" t="s">
        <v>17</v>
      </c>
      <c r="F4653">
        <v>24.45</v>
      </c>
      <c r="G4653">
        <v>25.5</v>
      </c>
      <c r="H4653" t="s">
        <v>17</v>
      </c>
      <c r="I4653" t="str">
        <f>"062706004082"</f>
        <v>062706004082</v>
      </c>
    </row>
    <row r="4654" spans="1:9" x14ac:dyDescent="0.25">
      <c r="A4654" t="s">
        <v>4100</v>
      </c>
      <c r="B4654" t="s">
        <v>13</v>
      </c>
      <c r="C4654">
        <v>29</v>
      </c>
      <c r="D4654">
        <v>34</v>
      </c>
      <c r="E4654" t="s">
        <v>17</v>
      </c>
      <c r="F4654">
        <v>28.24</v>
      </c>
      <c r="G4654">
        <v>23.5</v>
      </c>
      <c r="H4654" t="s">
        <v>17</v>
      </c>
      <c r="I4654" t="str">
        <f>"063531009440"</f>
        <v>063531009440</v>
      </c>
    </row>
    <row r="4655" spans="1:9" x14ac:dyDescent="0.25">
      <c r="A4655" t="s">
        <v>4100</v>
      </c>
      <c r="B4655" t="s">
        <v>13</v>
      </c>
      <c r="C4655">
        <v>41.05</v>
      </c>
      <c r="D4655">
        <v>40.35</v>
      </c>
      <c r="E4655" t="s">
        <v>17</v>
      </c>
      <c r="F4655">
        <v>28.11</v>
      </c>
      <c r="G4655">
        <v>26.47</v>
      </c>
      <c r="H4655" t="s">
        <v>17</v>
      </c>
      <c r="I4655" t="str">
        <f>"063315010585"</f>
        <v>063315010585</v>
      </c>
    </row>
    <row r="4656" spans="1:9" x14ac:dyDescent="0.25">
      <c r="A4656" t="s">
        <v>4101</v>
      </c>
      <c r="B4656" t="s">
        <v>13</v>
      </c>
      <c r="C4656">
        <v>89.83</v>
      </c>
      <c r="D4656">
        <v>97.58</v>
      </c>
      <c r="E4656" t="s">
        <v>17</v>
      </c>
      <c r="F4656">
        <v>25.43</v>
      </c>
      <c r="G4656">
        <v>25.56</v>
      </c>
      <c r="H4656" t="s">
        <v>17</v>
      </c>
      <c r="I4656" t="str">
        <f>"062271003108"</f>
        <v>062271003108</v>
      </c>
    </row>
    <row r="4657" spans="1:9" x14ac:dyDescent="0.25">
      <c r="A4657" t="s">
        <v>4101</v>
      </c>
      <c r="B4657" t="s">
        <v>13</v>
      </c>
      <c r="C4657">
        <v>85.25</v>
      </c>
      <c r="D4657">
        <v>79.010000000000005</v>
      </c>
      <c r="E4657" t="s">
        <v>17</v>
      </c>
      <c r="F4657">
        <v>27.24</v>
      </c>
      <c r="G4657">
        <v>30.69</v>
      </c>
      <c r="H4657" t="s">
        <v>17</v>
      </c>
      <c r="I4657" t="str">
        <f>"060263000177"</f>
        <v>060263000177</v>
      </c>
    </row>
    <row r="4658" spans="1:9" x14ac:dyDescent="0.25">
      <c r="A4658" t="s">
        <v>4101</v>
      </c>
      <c r="B4658" t="s">
        <v>13</v>
      </c>
      <c r="C4658">
        <v>24</v>
      </c>
      <c r="D4658">
        <v>25</v>
      </c>
      <c r="E4658" t="s">
        <v>17</v>
      </c>
      <c r="F4658">
        <v>24.92</v>
      </c>
      <c r="G4658">
        <v>24.96</v>
      </c>
      <c r="H4658" t="s">
        <v>17</v>
      </c>
      <c r="I4658" t="str">
        <f>"060985011712"</f>
        <v>060985011712</v>
      </c>
    </row>
    <row r="4659" spans="1:9" x14ac:dyDescent="0.25">
      <c r="A4659" t="s">
        <v>4101</v>
      </c>
      <c r="B4659" t="s">
        <v>13</v>
      </c>
      <c r="C4659">
        <v>61.59</v>
      </c>
      <c r="D4659">
        <v>64.099999999999994</v>
      </c>
      <c r="E4659" t="s">
        <v>17</v>
      </c>
      <c r="F4659">
        <v>23.02</v>
      </c>
      <c r="G4659">
        <v>21.65</v>
      </c>
      <c r="H4659" t="s">
        <v>17</v>
      </c>
      <c r="I4659" t="str">
        <f>"061440001672"</f>
        <v>061440001672</v>
      </c>
    </row>
    <row r="4660" spans="1:9" x14ac:dyDescent="0.25">
      <c r="A4660" t="s">
        <v>4101</v>
      </c>
      <c r="B4660" t="s">
        <v>13</v>
      </c>
      <c r="C4660">
        <v>81.400000000000006</v>
      </c>
      <c r="D4660">
        <v>63.3</v>
      </c>
      <c r="E4660" t="s">
        <v>17</v>
      </c>
      <c r="F4660">
        <v>25.07</v>
      </c>
      <c r="G4660">
        <v>33.299999999999997</v>
      </c>
      <c r="H4660" t="s">
        <v>17</v>
      </c>
      <c r="I4660" t="str">
        <f>"063384005257"</f>
        <v>063384005257</v>
      </c>
    </row>
    <row r="4661" spans="1:9" x14ac:dyDescent="0.25">
      <c r="A4661" t="s">
        <v>4102</v>
      </c>
      <c r="B4661" t="s">
        <v>13</v>
      </c>
      <c r="C4661">
        <v>26.68</v>
      </c>
      <c r="D4661">
        <v>25.68</v>
      </c>
      <c r="E4661" t="s">
        <v>17</v>
      </c>
      <c r="F4661">
        <v>21.03</v>
      </c>
      <c r="G4661">
        <v>21.03</v>
      </c>
      <c r="H4661" t="s">
        <v>17</v>
      </c>
      <c r="I4661" t="str">
        <f>"061647003154"</f>
        <v>061647003154</v>
      </c>
    </row>
    <row r="4662" spans="1:9" x14ac:dyDescent="0.25">
      <c r="A4662" t="s">
        <v>4103</v>
      </c>
      <c r="B4662" t="s">
        <v>13</v>
      </c>
      <c r="C4662">
        <v>37.299999999999997</v>
      </c>
      <c r="D4662">
        <v>37.6</v>
      </c>
      <c r="E4662" t="s">
        <v>17</v>
      </c>
      <c r="F4662">
        <v>21.39</v>
      </c>
      <c r="G4662">
        <v>21.38</v>
      </c>
      <c r="H4662" t="s">
        <v>17</v>
      </c>
      <c r="I4662" t="str">
        <f>"063213004970"</f>
        <v>063213004970</v>
      </c>
    </row>
    <row r="4663" spans="1:9" x14ac:dyDescent="0.25">
      <c r="A4663" t="s">
        <v>4103</v>
      </c>
      <c r="B4663" t="s">
        <v>13</v>
      </c>
      <c r="C4663">
        <v>58.6</v>
      </c>
      <c r="D4663">
        <v>57.6</v>
      </c>
      <c r="E4663" t="s">
        <v>17</v>
      </c>
      <c r="F4663">
        <v>23.46</v>
      </c>
      <c r="G4663">
        <v>23.37</v>
      </c>
      <c r="H4663" t="s">
        <v>17</v>
      </c>
      <c r="I4663" t="str">
        <f>"061029001138"</f>
        <v>061029001138</v>
      </c>
    </row>
    <row r="4664" spans="1:9" x14ac:dyDescent="0.25">
      <c r="A4664" t="s">
        <v>4104</v>
      </c>
      <c r="B4664" t="s">
        <v>13</v>
      </c>
      <c r="C4664" t="s">
        <v>17</v>
      </c>
      <c r="D4664" t="s">
        <v>17</v>
      </c>
      <c r="E4664" t="s">
        <v>17</v>
      </c>
      <c r="F4664" t="s">
        <v>17</v>
      </c>
      <c r="G4664" t="s">
        <v>17</v>
      </c>
      <c r="H4664" t="s">
        <v>17</v>
      </c>
      <c r="I4664" t="str">
        <f>"064215012589"</f>
        <v>064215012589</v>
      </c>
    </row>
    <row r="4665" spans="1:9" x14ac:dyDescent="0.25">
      <c r="A4665" t="s">
        <v>4105</v>
      </c>
      <c r="B4665" t="s">
        <v>13</v>
      </c>
      <c r="C4665">
        <v>8.8000000000000007</v>
      </c>
      <c r="D4665">
        <v>10.25</v>
      </c>
      <c r="E4665" t="s">
        <v>17</v>
      </c>
      <c r="F4665">
        <v>16.48</v>
      </c>
      <c r="G4665">
        <v>16.29</v>
      </c>
      <c r="H4665" t="s">
        <v>17</v>
      </c>
      <c r="I4665" t="str">
        <f>"064074006734"</f>
        <v>064074006734</v>
      </c>
    </row>
    <row r="4666" spans="1:9" x14ac:dyDescent="0.25">
      <c r="A4666" t="s">
        <v>4106</v>
      </c>
      <c r="B4666" t="s">
        <v>13</v>
      </c>
      <c r="C4666">
        <v>9</v>
      </c>
      <c r="D4666">
        <v>12</v>
      </c>
      <c r="E4666" t="s">
        <v>17</v>
      </c>
      <c r="F4666">
        <v>26.67</v>
      </c>
      <c r="G4666">
        <v>22.25</v>
      </c>
      <c r="H4666" t="s">
        <v>17</v>
      </c>
      <c r="I4666" t="str">
        <f>"062769004159"</f>
        <v>062769004159</v>
      </c>
    </row>
    <row r="4667" spans="1:9" x14ac:dyDescent="0.25">
      <c r="A4667" t="s">
        <v>4107</v>
      </c>
      <c r="B4667" t="s">
        <v>13</v>
      </c>
      <c r="C4667">
        <v>23.8</v>
      </c>
      <c r="D4667">
        <v>25.8</v>
      </c>
      <c r="E4667" t="s">
        <v>17</v>
      </c>
      <c r="F4667">
        <v>22.82</v>
      </c>
      <c r="G4667">
        <v>21.05</v>
      </c>
      <c r="H4667" t="s">
        <v>17</v>
      </c>
      <c r="I4667" t="str">
        <f>"062513003735"</f>
        <v>062513003735</v>
      </c>
    </row>
    <row r="4668" spans="1:9" x14ac:dyDescent="0.25">
      <c r="A4668" t="s">
        <v>4108</v>
      </c>
      <c r="B4668" t="s">
        <v>13</v>
      </c>
      <c r="C4668">
        <v>25.2</v>
      </c>
      <c r="D4668">
        <v>23.2</v>
      </c>
      <c r="E4668" t="s">
        <v>17</v>
      </c>
      <c r="F4668">
        <v>21.63</v>
      </c>
      <c r="G4668">
        <v>22.93</v>
      </c>
      <c r="H4668" t="s">
        <v>17</v>
      </c>
      <c r="I4668" t="str">
        <f>"061440001675"</f>
        <v>061440001675</v>
      </c>
    </row>
    <row r="4669" spans="1:9" x14ac:dyDescent="0.25">
      <c r="A4669" t="s">
        <v>4109</v>
      </c>
      <c r="B4669" t="s">
        <v>13</v>
      </c>
      <c r="C4669">
        <v>20.6</v>
      </c>
      <c r="D4669">
        <v>19</v>
      </c>
      <c r="E4669" t="s">
        <v>17</v>
      </c>
      <c r="F4669">
        <v>23.5</v>
      </c>
      <c r="G4669">
        <v>24.47</v>
      </c>
      <c r="H4669" t="s">
        <v>17</v>
      </c>
      <c r="I4669" t="str">
        <f>"063213004969"</f>
        <v>063213004969</v>
      </c>
    </row>
    <row r="4670" spans="1:9" x14ac:dyDescent="0.25">
      <c r="A4670" t="s">
        <v>4110</v>
      </c>
      <c r="B4670" t="s">
        <v>13</v>
      </c>
      <c r="C4670">
        <v>45.41</v>
      </c>
      <c r="D4670">
        <v>46</v>
      </c>
      <c r="E4670" t="s">
        <v>17</v>
      </c>
      <c r="F4670">
        <v>28.06</v>
      </c>
      <c r="G4670">
        <v>28.13</v>
      </c>
      <c r="H4670" t="s">
        <v>17</v>
      </c>
      <c r="I4670" t="str">
        <f>"061111008765"</f>
        <v>061111008765</v>
      </c>
    </row>
    <row r="4671" spans="1:9" x14ac:dyDescent="0.25">
      <c r="A4671" t="s">
        <v>4111</v>
      </c>
      <c r="B4671" t="s">
        <v>13</v>
      </c>
      <c r="C4671">
        <v>31</v>
      </c>
      <c r="D4671">
        <v>29</v>
      </c>
      <c r="E4671" t="s">
        <v>17</v>
      </c>
      <c r="F4671">
        <v>23.39</v>
      </c>
      <c r="G4671">
        <v>26.83</v>
      </c>
      <c r="H4671" t="s">
        <v>17</v>
      </c>
      <c r="I4671" t="str">
        <f>"061440001664"</f>
        <v>061440001664</v>
      </c>
    </row>
    <row r="4672" spans="1:9" x14ac:dyDescent="0.25">
      <c r="A4672" t="s">
        <v>4112</v>
      </c>
      <c r="B4672" t="s">
        <v>13</v>
      </c>
      <c r="C4672">
        <v>30.36</v>
      </c>
      <c r="D4672">
        <v>30.86</v>
      </c>
      <c r="E4672" t="s">
        <v>17</v>
      </c>
      <c r="F4672">
        <v>25.66</v>
      </c>
      <c r="G4672">
        <v>23.43</v>
      </c>
      <c r="H4672" t="s">
        <v>17</v>
      </c>
      <c r="I4672" t="str">
        <f>"060001912078"</f>
        <v>060001912078</v>
      </c>
    </row>
    <row r="4673" spans="1:9" x14ac:dyDescent="0.25">
      <c r="A4673" t="s">
        <v>4113</v>
      </c>
      <c r="B4673" t="s">
        <v>13</v>
      </c>
      <c r="C4673">
        <v>24</v>
      </c>
      <c r="D4673">
        <v>22</v>
      </c>
      <c r="E4673" t="s">
        <v>17</v>
      </c>
      <c r="F4673">
        <v>26.33</v>
      </c>
      <c r="G4673">
        <v>29</v>
      </c>
      <c r="H4673" t="s">
        <v>17</v>
      </c>
      <c r="I4673" t="str">
        <f>"061803002216"</f>
        <v>061803002216</v>
      </c>
    </row>
    <row r="4674" spans="1:9" x14ac:dyDescent="0.25">
      <c r="A4674" t="s">
        <v>4114</v>
      </c>
      <c r="B4674" t="s">
        <v>13</v>
      </c>
      <c r="C4674">
        <v>110.49</v>
      </c>
      <c r="D4674">
        <v>117.21</v>
      </c>
      <c r="E4674" t="s">
        <v>17</v>
      </c>
      <c r="F4674">
        <v>26.89</v>
      </c>
      <c r="G4674">
        <v>25.51</v>
      </c>
      <c r="H4674" t="s">
        <v>17</v>
      </c>
      <c r="I4674" t="str">
        <f>"062271003020"</f>
        <v>062271003020</v>
      </c>
    </row>
    <row r="4675" spans="1:9" x14ac:dyDescent="0.25">
      <c r="A4675" t="s">
        <v>4115</v>
      </c>
      <c r="B4675" t="s">
        <v>13</v>
      </c>
      <c r="C4675">
        <v>74.59</v>
      </c>
      <c r="D4675">
        <v>78.209999999999994</v>
      </c>
      <c r="E4675" t="s">
        <v>17</v>
      </c>
      <c r="F4675">
        <v>23.25</v>
      </c>
      <c r="G4675">
        <v>24.04</v>
      </c>
      <c r="H4675" t="s">
        <v>17</v>
      </c>
      <c r="I4675" t="str">
        <f>"062769004168"</f>
        <v>062769004168</v>
      </c>
    </row>
    <row r="4676" spans="1:9" x14ac:dyDescent="0.25">
      <c r="A4676" t="s">
        <v>4116</v>
      </c>
      <c r="B4676" t="s">
        <v>13</v>
      </c>
      <c r="C4676">
        <v>62.27</v>
      </c>
      <c r="D4676">
        <v>72.510000000000005</v>
      </c>
      <c r="E4676" t="s">
        <v>17</v>
      </c>
      <c r="F4676">
        <v>19.98</v>
      </c>
      <c r="G4676">
        <v>18.07</v>
      </c>
      <c r="H4676" t="s">
        <v>17</v>
      </c>
      <c r="I4676" t="str">
        <f>"062271012144"</f>
        <v>062271012144</v>
      </c>
    </row>
    <row r="4677" spans="1:9" x14ac:dyDescent="0.25">
      <c r="A4677" t="s">
        <v>4117</v>
      </c>
      <c r="B4677" t="s">
        <v>13</v>
      </c>
      <c r="C4677">
        <v>19</v>
      </c>
      <c r="D4677">
        <v>20</v>
      </c>
      <c r="E4677" t="s">
        <v>17</v>
      </c>
      <c r="F4677">
        <v>23.37</v>
      </c>
      <c r="G4677">
        <v>22.3</v>
      </c>
      <c r="H4677" t="s">
        <v>17</v>
      </c>
      <c r="I4677" t="str">
        <f>"062769004182"</f>
        <v>062769004182</v>
      </c>
    </row>
    <row r="4678" spans="1:9" x14ac:dyDescent="0.25">
      <c r="A4678" t="s">
        <v>4118</v>
      </c>
      <c r="B4678" t="s">
        <v>13</v>
      </c>
      <c r="C4678">
        <v>91.48</v>
      </c>
      <c r="D4678">
        <v>93.71</v>
      </c>
      <c r="E4678" t="s">
        <v>17</v>
      </c>
      <c r="F4678">
        <v>23.71</v>
      </c>
      <c r="G4678">
        <v>23.25</v>
      </c>
      <c r="H4678" t="s">
        <v>17</v>
      </c>
      <c r="I4678" t="str">
        <f>"060015811503"</f>
        <v>060015811503</v>
      </c>
    </row>
    <row r="4679" spans="1:9" x14ac:dyDescent="0.25">
      <c r="A4679" t="s">
        <v>4119</v>
      </c>
      <c r="B4679" t="s">
        <v>13</v>
      </c>
      <c r="C4679">
        <v>33.4</v>
      </c>
      <c r="D4679">
        <v>27</v>
      </c>
      <c r="E4679" t="s">
        <v>17</v>
      </c>
      <c r="F4679">
        <v>28.32</v>
      </c>
      <c r="G4679">
        <v>28</v>
      </c>
      <c r="H4679" t="s">
        <v>17</v>
      </c>
      <c r="I4679" t="str">
        <f>"063384005259"</f>
        <v>063384005259</v>
      </c>
    </row>
    <row r="4680" spans="1:9" x14ac:dyDescent="0.25">
      <c r="A4680" t="s">
        <v>4120</v>
      </c>
      <c r="B4680" t="s">
        <v>13</v>
      </c>
      <c r="C4680">
        <v>3.5</v>
      </c>
      <c r="D4680">
        <v>3.01</v>
      </c>
      <c r="E4680" t="s">
        <v>17</v>
      </c>
      <c r="F4680">
        <v>33.14</v>
      </c>
      <c r="G4680">
        <v>25.91</v>
      </c>
      <c r="H4680" t="s">
        <v>17</v>
      </c>
      <c r="I4680" t="str">
        <f>"062271003093"</f>
        <v>062271003093</v>
      </c>
    </row>
    <row r="4681" spans="1:9" x14ac:dyDescent="0.25">
      <c r="A4681" t="s">
        <v>4121</v>
      </c>
      <c r="B4681" t="s">
        <v>13</v>
      </c>
      <c r="C4681">
        <v>4</v>
      </c>
      <c r="D4681">
        <v>4</v>
      </c>
      <c r="E4681" t="s">
        <v>17</v>
      </c>
      <c r="F4681">
        <v>27.5</v>
      </c>
      <c r="G4681">
        <v>20.5</v>
      </c>
      <c r="H4681" t="s">
        <v>17</v>
      </c>
      <c r="I4681" t="str">
        <f>"062187005524"</f>
        <v>062187005524</v>
      </c>
    </row>
    <row r="4682" spans="1:9" x14ac:dyDescent="0.25">
      <c r="A4682" t="s">
        <v>4122</v>
      </c>
      <c r="B4682" t="s">
        <v>13</v>
      </c>
      <c r="C4682">
        <v>23</v>
      </c>
      <c r="D4682">
        <v>27.48</v>
      </c>
      <c r="E4682" t="s">
        <v>17</v>
      </c>
      <c r="F4682">
        <v>29.91</v>
      </c>
      <c r="G4682">
        <v>26.49</v>
      </c>
      <c r="H4682" t="s">
        <v>17</v>
      </c>
      <c r="I4682" t="str">
        <f>"060006404871"</f>
        <v>060006404871</v>
      </c>
    </row>
    <row r="4683" spans="1:9" x14ac:dyDescent="0.25">
      <c r="A4683" t="s">
        <v>4123</v>
      </c>
      <c r="B4683" t="s">
        <v>13</v>
      </c>
      <c r="C4683">
        <v>25</v>
      </c>
      <c r="D4683">
        <v>27.71</v>
      </c>
      <c r="E4683" t="s">
        <v>17</v>
      </c>
      <c r="F4683">
        <v>25.56</v>
      </c>
      <c r="G4683">
        <v>23.93</v>
      </c>
      <c r="H4683" t="s">
        <v>17</v>
      </c>
      <c r="I4683" t="str">
        <f>"061314001495"</f>
        <v>061314001495</v>
      </c>
    </row>
    <row r="4684" spans="1:9" x14ac:dyDescent="0.25">
      <c r="A4684" t="s">
        <v>4124</v>
      </c>
      <c r="B4684" t="s">
        <v>13</v>
      </c>
      <c r="C4684">
        <v>32</v>
      </c>
      <c r="D4684">
        <v>33</v>
      </c>
      <c r="E4684" t="s">
        <v>17</v>
      </c>
      <c r="F4684">
        <v>27.16</v>
      </c>
      <c r="G4684">
        <v>26.64</v>
      </c>
      <c r="H4684" t="s">
        <v>17</v>
      </c>
      <c r="I4684" t="str">
        <f>"062334011926"</f>
        <v>062334011926</v>
      </c>
    </row>
    <row r="4685" spans="1:9" x14ac:dyDescent="0.25">
      <c r="A4685" t="s">
        <v>4125</v>
      </c>
      <c r="B4685" t="s">
        <v>13</v>
      </c>
      <c r="C4685">
        <v>30.1</v>
      </c>
      <c r="D4685">
        <v>30.75</v>
      </c>
      <c r="E4685" t="s">
        <v>17</v>
      </c>
      <c r="F4685">
        <v>19.93</v>
      </c>
      <c r="G4685">
        <v>20.13</v>
      </c>
      <c r="H4685" t="s">
        <v>17</v>
      </c>
      <c r="I4685" t="str">
        <f>"060907000922"</f>
        <v>060907000922</v>
      </c>
    </row>
    <row r="4686" spans="1:9" x14ac:dyDescent="0.25">
      <c r="A4686" t="s">
        <v>4126</v>
      </c>
      <c r="B4686" t="s">
        <v>13</v>
      </c>
      <c r="C4686">
        <v>32</v>
      </c>
      <c r="D4686">
        <v>32</v>
      </c>
      <c r="E4686" t="s">
        <v>17</v>
      </c>
      <c r="F4686">
        <v>27.19</v>
      </c>
      <c r="G4686">
        <v>27.53</v>
      </c>
      <c r="H4686" t="s">
        <v>17</v>
      </c>
      <c r="I4686" t="str">
        <f>"061296010361"</f>
        <v>061296010361</v>
      </c>
    </row>
    <row r="4687" spans="1:9" x14ac:dyDescent="0.25">
      <c r="A4687" t="s">
        <v>4127</v>
      </c>
      <c r="B4687" t="s">
        <v>13</v>
      </c>
      <c r="C4687">
        <v>25.75</v>
      </c>
      <c r="D4687">
        <v>21</v>
      </c>
      <c r="E4687" t="s">
        <v>17</v>
      </c>
      <c r="F4687">
        <v>27.15</v>
      </c>
      <c r="G4687">
        <v>28.29</v>
      </c>
      <c r="H4687" t="s">
        <v>17</v>
      </c>
      <c r="I4687" t="str">
        <f>"064140000417"</f>
        <v>064140000417</v>
      </c>
    </row>
    <row r="4688" spans="1:9" x14ac:dyDescent="0.25">
      <c r="A4688" t="s">
        <v>4128</v>
      </c>
      <c r="B4688" t="s">
        <v>13</v>
      </c>
      <c r="C4688">
        <v>40.200000000000003</v>
      </c>
      <c r="D4688">
        <v>42.4</v>
      </c>
      <c r="E4688" t="s">
        <v>17</v>
      </c>
      <c r="F4688">
        <v>25.2</v>
      </c>
      <c r="G4688">
        <v>23.04</v>
      </c>
      <c r="H4688" t="s">
        <v>17</v>
      </c>
      <c r="I4688" t="str">
        <f>"061440001670"</f>
        <v>061440001670</v>
      </c>
    </row>
    <row r="4689" spans="1:9" x14ac:dyDescent="0.25">
      <c r="A4689" t="s">
        <v>4129</v>
      </c>
      <c r="B4689" t="s">
        <v>13</v>
      </c>
      <c r="C4689">
        <v>23.33</v>
      </c>
      <c r="D4689">
        <v>24.68</v>
      </c>
      <c r="E4689" t="s">
        <v>17</v>
      </c>
      <c r="F4689">
        <v>30.3</v>
      </c>
      <c r="G4689">
        <v>28.12</v>
      </c>
      <c r="H4689" t="s">
        <v>17</v>
      </c>
      <c r="I4689" t="str">
        <f>"060744003383"</f>
        <v>060744003383</v>
      </c>
    </row>
    <row r="4690" spans="1:9" x14ac:dyDescent="0.25">
      <c r="A4690" t="s">
        <v>4130</v>
      </c>
      <c r="B4690" t="s">
        <v>13</v>
      </c>
      <c r="C4690">
        <v>22</v>
      </c>
      <c r="D4690">
        <v>21</v>
      </c>
      <c r="E4690" t="s">
        <v>17</v>
      </c>
      <c r="F4690">
        <v>24.59</v>
      </c>
      <c r="G4690">
        <v>24.57</v>
      </c>
      <c r="H4690" t="s">
        <v>17</v>
      </c>
      <c r="I4690" t="str">
        <f>"061488001860"</f>
        <v>061488001860</v>
      </c>
    </row>
    <row r="4691" spans="1:9" x14ac:dyDescent="0.25">
      <c r="A4691" t="s">
        <v>4130</v>
      </c>
      <c r="B4691" t="s">
        <v>13</v>
      </c>
      <c r="C4691">
        <v>18.329999999999998</v>
      </c>
      <c r="D4691">
        <v>22.5</v>
      </c>
      <c r="E4691" t="s">
        <v>17</v>
      </c>
      <c r="F4691">
        <v>32.409999999999997</v>
      </c>
      <c r="G4691">
        <v>26.09</v>
      </c>
      <c r="H4691" t="s">
        <v>17</v>
      </c>
      <c r="I4691" t="str">
        <f>"063801011778"</f>
        <v>063801011778</v>
      </c>
    </row>
    <row r="4692" spans="1:9" x14ac:dyDescent="0.25">
      <c r="A4692" t="s">
        <v>4130</v>
      </c>
      <c r="B4692" t="s">
        <v>13</v>
      </c>
      <c r="C4692">
        <v>24</v>
      </c>
      <c r="D4692">
        <v>24</v>
      </c>
      <c r="E4692" t="s">
        <v>17</v>
      </c>
      <c r="F4692">
        <v>23.13</v>
      </c>
      <c r="G4692">
        <v>22.54</v>
      </c>
      <c r="H4692" t="s">
        <v>17</v>
      </c>
      <c r="I4692" t="str">
        <f>"061524001939"</f>
        <v>061524001939</v>
      </c>
    </row>
    <row r="4693" spans="1:9" x14ac:dyDescent="0.25">
      <c r="A4693" t="s">
        <v>4131</v>
      </c>
      <c r="B4693" t="s">
        <v>13</v>
      </c>
      <c r="C4693">
        <v>99.84</v>
      </c>
      <c r="D4693">
        <v>106.1</v>
      </c>
      <c r="E4693" t="s">
        <v>17</v>
      </c>
      <c r="F4693">
        <v>26.88</v>
      </c>
      <c r="G4693">
        <v>27.27</v>
      </c>
      <c r="H4693" t="s">
        <v>17</v>
      </c>
      <c r="I4693" t="str">
        <f>"062271003171"</f>
        <v>062271003171</v>
      </c>
    </row>
    <row r="4694" spans="1:9" x14ac:dyDescent="0.25">
      <c r="A4694" t="s">
        <v>4132</v>
      </c>
      <c r="B4694" t="s">
        <v>13</v>
      </c>
      <c r="C4694">
        <v>7</v>
      </c>
      <c r="D4694">
        <v>3.8</v>
      </c>
      <c r="E4694" t="s">
        <v>17</v>
      </c>
      <c r="F4694">
        <v>8.2899999999999991</v>
      </c>
      <c r="G4694">
        <v>14.47</v>
      </c>
      <c r="H4694" t="s">
        <v>17</v>
      </c>
      <c r="I4694" t="str">
        <f>"063384011917"</f>
        <v>063384011917</v>
      </c>
    </row>
    <row r="4695" spans="1:9" x14ac:dyDescent="0.25">
      <c r="A4695" t="s">
        <v>4133</v>
      </c>
      <c r="B4695" t="s">
        <v>13</v>
      </c>
      <c r="C4695">
        <v>20.61</v>
      </c>
      <c r="D4695">
        <v>20.81</v>
      </c>
      <c r="E4695" t="s">
        <v>17</v>
      </c>
      <c r="F4695">
        <v>16.59</v>
      </c>
      <c r="G4695">
        <v>17.829999999999998</v>
      </c>
      <c r="H4695" t="s">
        <v>17</v>
      </c>
      <c r="I4695" t="str">
        <f>"063432005487"</f>
        <v>063432005487</v>
      </c>
    </row>
    <row r="4696" spans="1:9" x14ac:dyDescent="0.25">
      <c r="A4696" t="s">
        <v>4134</v>
      </c>
      <c r="B4696" t="s">
        <v>13</v>
      </c>
      <c r="C4696">
        <v>13</v>
      </c>
      <c r="D4696">
        <v>12</v>
      </c>
      <c r="E4696" t="s">
        <v>17</v>
      </c>
      <c r="F4696">
        <v>20</v>
      </c>
      <c r="G4696">
        <v>20.58</v>
      </c>
      <c r="H4696" t="s">
        <v>17</v>
      </c>
      <c r="I4696" t="str">
        <f>"060474008119"</f>
        <v>060474008119</v>
      </c>
    </row>
    <row r="4697" spans="1:9" x14ac:dyDescent="0.25">
      <c r="A4697" t="s">
        <v>4134</v>
      </c>
      <c r="B4697" t="s">
        <v>13</v>
      </c>
      <c r="C4697">
        <v>9.86</v>
      </c>
      <c r="D4697">
        <v>11.56</v>
      </c>
      <c r="E4697" t="s">
        <v>17</v>
      </c>
      <c r="F4697">
        <v>30.73</v>
      </c>
      <c r="G4697">
        <v>31.06</v>
      </c>
      <c r="H4697" t="s">
        <v>17</v>
      </c>
      <c r="I4697" t="str">
        <f>"063423005397"</f>
        <v>063423005397</v>
      </c>
    </row>
    <row r="4698" spans="1:9" x14ac:dyDescent="0.25">
      <c r="A4698" t="s">
        <v>4134</v>
      </c>
      <c r="B4698" t="s">
        <v>13</v>
      </c>
      <c r="C4698">
        <v>24.03</v>
      </c>
      <c r="D4698">
        <v>21.77</v>
      </c>
      <c r="E4698" t="s">
        <v>17</v>
      </c>
      <c r="F4698">
        <v>23.72</v>
      </c>
      <c r="G4698">
        <v>22.65</v>
      </c>
      <c r="H4698" t="s">
        <v>17</v>
      </c>
      <c r="I4698" t="str">
        <f>"061029001144"</f>
        <v>061029001144</v>
      </c>
    </row>
    <row r="4699" spans="1:9" x14ac:dyDescent="0.25">
      <c r="A4699" t="s">
        <v>4134</v>
      </c>
      <c r="B4699" t="s">
        <v>13</v>
      </c>
      <c r="C4699">
        <v>14</v>
      </c>
      <c r="D4699">
        <v>15.2</v>
      </c>
      <c r="E4699" t="s">
        <v>17</v>
      </c>
      <c r="F4699">
        <v>27.64</v>
      </c>
      <c r="G4699">
        <v>26.71</v>
      </c>
      <c r="H4699" t="s">
        <v>17</v>
      </c>
      <c r="I4699" t="str">
        <f>"062403009579"</f>
        <v>062403009579</v>
      </c>
    </row>
    <row r="4700" spans="1:9" x14ac:dyDescent="0.25">
      <c r="A4700" t="s">
        <v>4134</v>
      </c>
      <c r="B4700" t="s">
        <v>13</v>
      </c>
      <c r="C4700">
        <v>27.53</v>
      </c>
      <c r="D4700">
        <v>27.53</v>
      </c>
      <c r="E4700" t="s">
        <v>17</v>
      </c>
      <c r="F4700">
        <v>24.56</v>
      </c>
      <c r="G4700">
        <v>24.34</v>
      </c>
      <c r="H4700" t="s">
        <v>17</v>
      </c>
      <c r="I4700" t="str">
        <f>"062223003998"</f>
        <v>062223003998</v>
      </c>
    </row>
    <row r="4701" spans="1:9" x14ac:dyDescent="0.25">
      <c r="A4701" t="s">
        <v>4134</v>
      </c>
      <c r="B4701" t="s">
        <v>13</v>
      </c>
      <c r="C4701">
        <v>33</v>
      </c>
      <c r="D4701">
        <v>33.6</v>
      </c>
      <c r="E4701" t="s">
        <v>17</v>
      </c>
      <c r="F4701">
        <v>25.76</v>
      </c>
      <c r="G4701">
        <v>24.85</v>
      </c>
      <c r="H4701" t="s">
        <v>17</v>
      </c>
      <c r="I4701" t="str">
        <f>"061524001942"</f>
        <v>061524001942</v>
      </c>
    </row>
    <row r="4702" spans="1:9" x14ac:dyDescent="0.25">
      <c r="A4702" t="s">
        <v>4134</v>
      </c>
      <c r="B4702" t="s">
        <v>13</v>
      </c>
      <c r="C4702">
        <v>14</v>
      </c>
      <c r="D4702">
        <v>12</v>
      </c>
      <c r="E4702" t="s">
        <v>17</v>
      </c>
      <c r="F4702">
        <v>21</v>
      </c>
      <c r="G4702">
        <v>26</v>
      </c>
      <c r="H4702" t="s">
        <v>17</v>
      </c>
      <c r="I4702" t="str">
        <f>"063570006097"</f>
        <v>063570006097</v>
      </c>
    </row>
    <row r="4703" spans="1:9" x14ac:dyDescent="0.25">
      <c r="A4703" t="s">
        <v>4134</v>
      </c>
      <c r="B4703" t="s">
        <v>13</v>
      </c>
      <c r="C4703">
        <v>25</v>
      </c>
      <c r="D4703">
        <v>24</v>
      </c>
      <c r="E4703" t="s">
        <v>17</v>
      </c>
      <c r="F4703">
        <v>20.12</v>
      </c>
      <c r="G4703">
        <v>20.21</v>
      </c>
      <c r="H4703" t="s">
        <v>17</v>
      </c>
      <c r="I4703" t="str">
        <f>"062460003692"</f>
        <v>062460003692</v>
      </c>
    </row>
    <row r="4704" spans="1:9" x14ac:dyDescent="0.25">
      <c r="A4704" t="s">
        <v>4134</v>
      </c>
      <c r="B4704" t="s">
        <v>13</v>
      </c>
      <c r="C4704">
        <v>22</v>
      </c>
      <c r="D4704">
        <v>24.5</v>
      </c>
      <c r="E4704" t="s">
        <v>17</v>
      </c>
      <c r="F4704">
        <v>22.64</v>
      </c>
      <c r="G4704">
        <v>19.55</v>
      </c>
      <c r="H4704" t="s">
        <v>17</v>
      </c>
      <c r="I4704" t="str">
        <f>"062513003745"</f>
        <v>062513003745</v>
      </c>
    </row>
    <row r="4705" spans="1:9" x14ac:dyDescent="0.25">
      <c r="A4705" t="s">
        <v>4135</v>
      </c>
      <c r="B4705" t="s">
        <v>13</v>
      </c>
      <c r="C4705">
        <v>38</v>
      </c>
      <c r="D4705">
        <v>38.5</v>
      </c>
      <c r="E4705" t="s">
        <v>17</v>
      </c>
      <c r="F4705">
        <v>27.21</v>
      </c>
      <c r="G4705">
        <v>24.65</v>
      </c>
      <c r="H4705" t="s">
        <v>17</v>
      </c>
      <c r="I4705" t="str">
        <f>"063531006002"</f>
        <v>063531006002</v>
      </c>
    </row>
    <row r="4706" spans="1:9" x14ac:dyDescent="0.25">
      <c r="A4706" t="s">
        <v>4136</v>
      </c>
      <c r="B4706" t="s">
        <v>13</v>
      </c>
      <c r="C4706">
        <v>57.95</v>
      </c>
      <c r="D4706">
        <v>58.4</v>
      </c>
      <c r="E4706" t="s">
        <v>17</v>
      </c>
      <c r="F4706">
        <v>19.190000000000001</v>
      </c>
      <c r="G4706">
        <v>18.32</v>
      </c>
      <c r="H4706" t="s">
        <v>17</v>
      </c>
      <c r="I4706" t="str">
        <f>"062994004681"</f>
        <v>062994004681</v>
      </c>
    </row>
    <row r="4707" spans="1:9" x14ac:dyDescent="0.25">
      <c r="A4707" t="s">
        <v>4137</v>
      </c>
      <c r="B4707" t="s">
        <v>13</v>
      </c>
      <c r="C4707">
        <v>60.84</v>
      </c>
      <c r="D4707">
        <v>65.02</v>
      </c>
      <c r="E4707" t="s">
        <v>17</v>
      </c>
      <c r="F4707">
        <v>19.2</v>
      </c>
      <c r="G4707">
        <v>19.579999999999998</v>
      </c>
      <c r="H4707" t="s">
        <v>17</v>
      </c>
      <c r="I4707" t="str">
        <f>"062271003204"</f>
        <v>062271003204</v>
      </c>
    </row>
    <row r="4708" spans="1:9" x14ac:dyDescent="0.25">
      <c r="A4708" t="s">
        <v>4137</v>
      </c>
      <c r="B4708" t="s">
        <v>13</v>
      </c>
      <c r="C4708">
        <v>51.2</v>
      </c>
      <c r="D4708">
        <v>55.3</v>
      </c>
      <c r="E4708" t="s">
        <v>17</v>
      </c>
      <c r="F4708">
        <v>25.92</v>
      </c>
      <c r="G4708">
        <v>24.38</v>
      </c>
      <c r="H4708" t="s">
        <v>17</v>
      </c>
      <c r="I4708" t="str">
        <f>"060645000576"</f>
        <v>060645000576</v>
      </c>
    </row>
    <row r="4709" spans="1:9" x14ac:dyDescent="0.25">
      <c r="A4709" t="s">
        <v>4137</v>
      </c>
      <c r="B4709" t="s">
        <v>13</v>
      </c>
      <c r="C4709">
        <v>28.67</v>
      </c>
      <c r="D4709">
        <v>30.5</v>
      </c>
      <c r="E4709" t="s">
        <v>17</v>
      </c>
      <c r="F4709">
        <v>23.75</v>
      </c>
      <c r="G4709">
        <v>22.75</v>
      </c>
      <c r="H4709" t="s">
        <v>17</v>
      </c>
      <c r="I4709" t="str">
        <f>"060969001037"</f>
        <v>060969001037</v>
      </c>
    </row>
    <row r="4710" spans="1:9" x14ac:dyDescent="0.25">
      <c r="A4710" t="s">
        <v>4137</v>
      </c>
      <c r="B4710" t="s">
        <v>13</v>
      </c>
      <c r="C4710">
        <v>55.46</v>
      </c>
      <c r="D4710">
        <v>50.62</v>
      </c>
      <c r="E4710" t="s">
        <v>17</v>
      </c>
      <c r="F4710">
        <v>21.24</v>
      </c>
      <c r="G4710">
        <v>22.68</v>
      </c>
      <c r="H4710" t="s">
        <v>17</v>
      </c>
      <c r="I4710" t="str">
        <f>"063459005723"</f>
        <v>063459005723</v>
      </c>
    </row>
    <row r="4711" spans="1:9" x14ac:dyDescent="0.25">
      <c r="A4711" t="s">
        <v>4137</v>
      </c>
      <c r="B4711" t="s">
        <v>13</v>
      </c>
      <c r="C4711">
        <v>45.9</v>
      </c>
      <c r="D4711">
        <v>45.5</v>
      </c>
      <c r="E4711" t="s">
        <v>17</v>
      </c>
      <c r="F4711">
        <v>21.29</v>
      </c>
      <c r="G4711">
        <v>22.13</v>
      </c>
      <c r="H4711" t="s">
        <v>17</v>
      </c>
      <c r="I4711" t="str">
        <f>"063468005839"</f>
        <v>063468005839</v>
      </c>
    </row>
    <row r="4712" spans="1:9" x14ac:dyDescent="0.25">
      <c r="A4712" t="s">
        <v>4138</v>
      </c>
      <c r="B4712" t="s">
        <v>13</v>
      </c>
      <c r="C4712">
        <v>16</v>
      </c>
      <c r="D4712">
        <v>18</v>
      </c>
      <c r="E4712" t="s">
        <v>17</v>
      </c>
      <c r="F4712">
        <v>26.94</v>
      </c>
      <c r="G4712">
        <v>25.78</v>
      </c>
      <c r="H4712" t="s">
        <v>17</v>
      </c>
      <c r="I4712" t="str">
        <f>"061488001865"</f>
        <v>061488001865</v>
      </c>
    </row>
    <row r="4713" spans="1:9" x14ac:dyDescent="0.25">
      <c r="A4713" t="s">
        <v>4139</v>
      </c>
      <c r="B4713" t="s">
        <v>13</v>
      </c>
      <c r="C4713">
        <v>31.9</v>
      </c>
      <c r="D4713">
        <v>26.58</v>
      </c>
      <c r="E4713" t="s">
        <v>17</v>
      </c>
      <c r="F4713">
        <v>24.45</v>
      </c>
      <c r="G4713">
        <v>26.6</v>
      </c>
      <c r="H4713" t="s">
        <v>17</v>
      </c>
      <c r="I4713" t="str">
        <f>"063066004764"</f>
        <v>063066004764</v>
      </c>
    </row>
    <row r="4714" spans="1:9" x14ac:dyDescent="0.25">
      <c r="A4714" t="s">
        <v>4140</v>
      </c>
      <c r="B4714" t="s">
        <v>13</v>
      </c>
      <c r="C4714">
        <v>24</v>
      </c>
      <c r="D4714">
        <v>21</v>
      </c>
      <c r="E4714" t="s">
        <v>17</v>
      </c>
      <c r="F4714">
        <v>26.17</v>
      </c>
      <c r="G4714">
        <v>30.57</v>
      </c>
      <c r="H4714" t="s">
        <v>17</v>
      </c>
      <c r="I4714" t="str">
        <f>"061803007190"</f>
        <v>061803007190</v>
      </c>
    </row>
    <row r="4715" spans="1:9" x14ac:dyDescent="0.25">
      <c r="A4715" t="s">
        <v>4141</v>
      </c>
      <c r="B4715" t="s">
        <v>13</v>
      </c>
      <c r="C4715">
        <v>20</v>
      </c>
      <c r="D4715">
        <v>21</v>
      </c>
      <c r="E4715" t="s">
        <v>17</v>
      </c>
      <c r="F4715">
        <v>29.05</v>
      </c>
      <c r="G4715">
        <v>27.1</v>
      </c>
      <c r="H4715" t="s">
        <v>17</v>
      </c>
      <c r="I4715" t="str">
        <f>"062169002577"</f>
        <v>062169002577</v>
      </c>
    </row>
    <row r="4716" spans="1:9" x14ac:dyDescent="0.25">
      <c r="A4716" t="s">
        <v>4142</v>
      </c>
      <c r="B4716" t="s">
        <v>13</v>
      </c>
      <c r="C4716">
        <v>1</v>
      </c>
      <c r="D4716">
        <v>2</v>
      </c>
      <c r="E4716" t="s">
        <v>17</v>
      </c>
      <c r="F4716">
        <v>139</v>
      </c>
      <c r="G4716">
        <v>67</v>
      </c>
      <c r="H4716" t="s">
        <v>17</v>
      </c>
      <c r="I4716" t="str">
        <f>"062271002806"</f>
        <v>062271002806</v>
      </c>
    </row>
    <row r="4717" spans="1:9" x14ac:dyDescent="0.25">
      <c r="A4717" t="s">
        <v>4143</v>
      </c>
      <c r="B4717" t="s">
        <v>13</v>
      </c>
      <c r="C4717">
        <v>20</v>
      </c>
      <c r="D4717">
        <v>16.399999999999999</v>
      </c>
      <c r="E4717" t="s">
        <v>17</v>
      </c>
      <c r="F4717">
        <v>22.35</v>
      </c>
      <c r="G4717">
        <v>27.68</v>
      </c>
      <c r="H4717" t="s">
        <v>17</v>
      </c>
      <c r="I4717" t="str">
        <f>"060994001079"</f>
        <v>060994001079</v>
      </c>
    </row>
    <row r="4718" spans="1:9" x14ac:dyDescent="0.25">
      <c r="A4718" t="s">
        <v>4144</v>
      </c>
      <c r="B4718" t="s">
        <v>13</v>
      </c>
      <c r="C4718">
        <v>27.6</v>
      </c>
      <c r="D4718">
        <v>29</v>
      </c>
      <c r="E4718" t="s">
        <v>17</v>
      </c>
      <c r="F4718">
        <v>23.84</v>
      </c>
      <c r="G4718">
        <v>22.24</v>
      </c>
      <c r="H4718" t="s">
        <v>17</v>
      </c>
      <c r="I4718" t="str">
        <f>"061233009535"</f>
        <v>061233009535</v>
      </c>
    </row>
    <row r="4719" spans="1:9" x14ac:dyDescent="0.25">
      <c r="A4719" t="s">
        <v>4145</v>
      </c>
      <c r="B4719" t="s">
        <v>13</v>
      </c>
      <c r="C4719">
        <v>20.399999999999999</v>
      </c>
      <c r="D4719">
        <v>20.54</v>
      </c>
      <c r="E4719" t="s">
        <v>17</v>
      </c>
      <c r="F4719">
        <v>23.04</v>
      </c>
      <c r="G4719">
        <v>22.25</v>
      </c>
      <c r="H4719" t="s">
        <v>17</v>
      </c>
      <c r="I4719" t="str">
        <f>"063525005973"</f>
        <v>063525005973</v>
      </c>
    </row>
    <row r="4720" spans="1:9" x14ac:dyDescent="0.25">
      <c r="A4720" t="s">
        <v>4146</v>
      </c>
      <c r="B4720" t="s">
        <v>13</v>
      </c>
      <c r="C4720">
        <v>27</v>
      </c>
      <c r="D4720">
        <v>26</v>
      </c>
      <c r="E4720" t="s">
        <v>17</v>
      </c>
      <c r="F4720">
        <v>26.56</v>
      </c>
      <c r="G4720">
        <v>27.46</v>
      </c>
      <c r="H4720" t="s">
        <v>17</v>
      </c>
      <c r="I4720" t="str">
        <f>"062450003674"</f>
        <v>062450003674</v>
      </c>
    </row>
    <row r="4721" spans="1:9" x14ac:dyDescent="0.25">
      <c r="A4721" t="s">
        <v>4147</v>
      </c>
      <c r="B4721" t="s">
        <v>13</v>
      </c>
      <c r="C4721">
        <v>26</v>
      </c>
      <c r="D4721">
        <v>30</v>
      </c>
      <c r="E4721" t="s">
        <v>17</v>
      </c>
      <c r="F4721">
        <v>22.42</v>
      </c>
      <c r="G4721">
        <v>21.33</v>
      </c>
      <c r="H4721" t="s">
        <v>17</v>
      </c>
      <c r="I4721" t="str">
        <f>"060985001066"</f>
        <v>060985001066</v>
      </c>
    </row>
    <row r="4722" spans="1:9" x14ac:dyDescent="0.25">
      <c r="A4722" t="s">
        <v>4148</v>
      </c>
      <c r="B4722" t="s">
        <v>13</v>
      </c>
      <c r="C4722">
        <v>29.5</v>
      </c>
      <c r="D4722">
        <v>27.5</v>
      </c>
      <c r="E4722" t="s">
        <v>17</v>
      </c>
      <c r="F4722">
        <v>26.85</v>
      </c>
      <c r="G4722">
        <v>27.02</v>
      </c>
      <c r="H4722" t="s">
        <v>17</v>
      </c>
      <c r="I4722" t="str">
        <f>"060797004485"</f>
        <v>060797004485</v>
      </c>
    </row>
    <row r="4723" spans="1:9" x14ac:dyDescent="0.25">
      <c r="A4723" t="s">
        <v>4149</v>
      </c>
      <c r="B4723" t="s">
        <v>13</v>
      </c>
      <c r="C4723">
        <v>21.65</v>
      </c>
      <c r="D4723">
        <v>21.89</v>
      </c>
      <c r="E4723" t="s">
        <v>17</v>
      </c>
      <c r="F4723">
        <v>25.64</v>
      </c>
      <c r="G4723">
        <v>24.39</v>
      </c>
      <c r="H4723" t="s">
        <v>17</v>
      </c>
      <c r="I4723" t="str">
        <f>"061425007496"</f>
        <v>061425007496</v>
      </c>
    </row>
    <row r="4724" spans="1:9" x14ac:dyDescent="0.25">
      <c r="A4724" t="s">
        <v>4150</v>
      </c>
      <c r="B4724" t="s">
        <v>13</v>
      </c>
      <c r="C4724">
        <v>17</v>
      </c>
      <c r="D4724">
        <v>14</v>
      </c>
      <c r="E4724" t="s">
        <v>17</v>
      </c>
      <c r="F4724">
        <v>26.06</v>
      </c>
      <c r="G4724">
        <v>28.5</v>
      </c>
      <c r="H4724" t="s">
        <v>17</v>
      </c>
      <c r="I4724" t="str">
        <f>"062403003614"</f>
        <v>062403003614</v>
      </c>
    </row>
    <row r="4725" spans="1:9" x14ac:dyDescent="0.25">
      <c r="A4725" t="s">
        <v>4151</v>
      </c>
      <c r="B4725" t="s">
        <v>13</v>
      </c>
      <c r="C4725">
        <v>23.8</v>
      </c>
      <c r="D4725">
        <v>25.5</v>
      </c>
      <c r="E4725" t="s">
        <v>17</v>
      </c>
      <c r="F4725">
        <v>19.920000000000002</v>
      </c>
      <c r="G4725">
        <v>18.82</v>
      </c>
      <c r="H4725" t="s">
        <v>17</v>
      </c>
      <c r="I4725" t="str">
        <f>"061899002302"</f>
        <v>061899002302</v>
      </c>
    </row>
    <row r="4726" spans="1:9" x14ac:dyDescent="0.25">
      <c r="A4726" t="s">
        <v>4152</v>
      </c>
      <c r="B4726" t="s">
        <v>13</v>
      </c>
      <c r="C4726" t="str">
        <f>"0.99"</f>
        <v>0.99</v>
      </c>
      <c r="D4726" t="str">
        <f>"0.70"</f>
        <v>0.70</v>
      </c>
      <c r="E4726" t="s">
        <v>17</v>
      </c>
      <c r="F4726">
        <v>27.27</v>
      </c>
      <c r="G4726">
        <v>25.71</v>
      </c>
      <c r="H4726" t="s">
        <v>17</v>
      </c>
      <c r="I4726" t="str">
        <f>"060594006991"</f>
        <v>060594006991</v>
      </c>
    </row>
    <row r="4727" spans="1:9" x14ac:dyDescent="0.25">
      <c r="A4727" t="s">
        <v>4153</v>
      </c>
      <c r="B4727" t="s">
        <v>13</v>
      </c>
      <c r="C4727">
        <v>18</v>
      </c>
      <c r="D4727">
        <v>18</v>
      </c>
      <c r="E4727" t="s">
        <v>17</v>
      </c>
      <c r="F4727">
        <v>22.28</v>
      </c>
      <c r="G4727">
        <v>22.22</v>
      </c>
      <c r="H4727" t="s">
        <v>17</v>
      </c>
      <c r="I4727" t="str">
        <f>"062271010882"</f>
        <v>062271010882</v>
      </c>
    </row>
    <row r="4728" spans="1:9" x14ac:dyDescent="0.25">
      <c r="A4728" t="s">
        <v>4154</v>
      </c>
      <c r="B4728" t="s">
        <v>13</v>
      </c>
      <c r="C4728">
        <v>89.85</v>
      </c>
      <c r="D4728">
        <v>92.65</v>
      </c>
      <c r="E4728" t="s">
        <v>17</v>
      </c>
      <c r="F4728">
        <v>26.39</v>
      </c>
      <c r="G4728">
        <v>26.54</v>
      </c>
      <c r="H4728" t="s">
        <v>17</v>
      </c>
      <c r="I4728" t="str">
        <f>"063315005154"</f>
        <v>063315005154</v>
      </c>
    </row>
    <row r="4729" spans="1:9" x14ac:dyDescent="0.25">
      <c r="A4729" t="s">
        <v>4155</v>
      </c>
      <c r="B4729" t="s">
        <v>13</v>
      </c>
      <c r="C4729">
        <v>54.01</v>
      </c>
      <c r="D4729">
        <v>58.01</v>
      </c>
      <c r="E4729" t="s">
        <v>17</v>
      </c>
      <c r="F4729">
        <v>19.11</v>
      </c>
      <c r="G4729">
        <v>19.93</v>
      </c>
      <c r="H4729" t="s">
        <v>17</v>
      </c>
      <c r="I4729" t="str">
        <f>"062271003202"</f>
        <v>062271003202</v>
      </c>
    </row>
    <row r="4730" spans="1:9" x14ac:dyDescent="0.25">
      <c r="A4730" t="s">
        <v>4156</v>
      </c>
      <c r="B4730" t="s">
        <v>13</v>
      </c>
      <c r="C4730">
        <v>23</v>
      </c>
      <c r="D4730">
        <v>27</v>
      </c>
      <c r="E4730" t="s">
        <v>17</v>
      </c>
      <c r="F4730">
        <v>19.739999999999998</v>
      </c>
      <c r="G4730">
        <v>18.329999999999998</v>
      </c>
      <c r="H4730" t="s">
        <v>17</v>
      </c>
      <c r="I4730" t="str">
        <f>"063432005488"</f>
        <v>063432005488</v>
      </c>
    </row>
    <row r="4731" spans="1:9" x14ac:dyDescent="0.25">
      <c r="A4731" t="s">
        <v>4156</v>
      </c>
      <c r="B4731" t="s">
        <v>13</v>
      </c>
      <c r="C4731">
        <v>26</v>
      </c>
      <c r="D4731">
        <v>27</v>
      </c>
      <c r="E4731" t="s">
        <v>17</v>
      </c>
      <c r="F4731">
        <v>24.73</v>
      </c>
      <c r="G4731">
        <v>23.56</v>
      </c>
      <c r="H4731" t="s">
        <v>17</v>
      </c>
      <c r="I4731" t="str">
        <f>"060681000617"</f>
        <v>060681000617</v>
      </c>
    </row>
    <row r="4732" spans="1:9" x14ac:dyDescent="0.25">
      <c r="A4732" t="s">
        <v>4157</v>
      </c>
      <c r="B4732" t="s">
        <v>13</v>
      </c>
      <c r="C4732">
        <v>34.01</v>
      </c>
      <c r="D4732">
        <v>36</v>
      </c>
      <c r="E4732" t="s">
        <v>17</v>
      </c>
      <c r="F4732">
        <v>22.23</v>
      </c>
      <c r="G4732">
        <v>21.56</v>
      </c>
      <c r="H4732" t="s">
        <v>17</v>
      </c>
      <c r="I4732" t="str">
        <f>"064215006908"</f>
        <v>064215006908</v>
      </c>
    </row>
    <row r="4733" spans="1:9" x14ac:dyDescent="0.25">
      <c r="A4733" t="s">
        <v>4158</v>
      </c>
      <c r="B4733" t="s">
        <v>13</v>
      </c>
      <c r="C4733">
        <v>14.8</v>
      </c>
      <c r="D4733">
        <v>15.3</v>
      </c>
      <c r="E4733" t="s">
        <v>17</v>
      </c>
      <c r="F4733">
        <v>24.05</v>
      </c>
      <c r="G4733">
        <v>21.96</v>
      </c>
      <c r="H4733" t="s">
        <v>17</v>
      </c>
      <c r="I4733" t="str">
        <f>"062409003628"</f>
        <v>062409003628</v>
      </c>
    </row>
    <row r="4734" spans="1:9" x14ac:dyDescent="0.25">
      <c r="A4734" t="s">
        <v>4159</v>
      </c>
      <c r="B4734" t="s">
        <v>13</v>
      </c>
      <c r="C4734">
        <v>1</v>
      </c>
      <c r="D4734">
        <v>1</v>
      </c>
      <c r="E4734" t="s">
        <v>17</v>
      </c>
      <c r="F4734">
        <v>3</v>
      </c>
      <c r="G4734">
        <v>5</v>
      </c>
      <c r="H4734" t="s">
        <v>17</v>
      </c>
      <c r="I4734" t="str">
        <f>"061764009858"</f>
        <v>061764009858</v>
      </c>
    </row>
    <row r="4735" spans="1:9" x14ac:dyDescent="0.25">
      <c r="A4735" t="s">
        <v>4160</v>
      </c>
      <c r="B4735" t="s">
        <v>13</v>
      </c>
      <c r="C4735">
        <v>20.6</v>
      </c>
      <c r="D4735">
        <v>27.3</v>
      </c>
      <c r="E4735" t="s">
        <v>17</v>
      </c>
      <c r="F4735">
        <v>27.77</v>
      </c>
      <c r="G4735">
        <v>19.27</v>
      </c>
      <c r="H4735" t="s">
        <v>17</v>
      </c>
      <c r="I4735" t="str">
        <f>"064074006720"</f>
        <v>064074006720</v>
      </c>
    </row>
    <row r="4736" spans="1:9" x14ac:dyDescent="0.25">
      <c r="A4736" t="s">
        <v>4161</v>
      </c>
      <c r="B4736" t="s">
        <v>13</v>
      </c>
      <c r="C4736">
        <v>10</v>
      </c>
      <c r="D4736">
        <v>9.67</v>
      </c>
      <c r="E4736" t="s">
        <v>17</v>
      </c>
      <c r="F4736">
        <v>22.6</v>
      </c>
      <c r="G4736">
        <v>20.58</v>
      </c>
      <c r="H4736" t="s">
        <v>17</v>
      </c>
      <c r="I4736" t="str">
        <f>"061905002304"</f>
        <v>061905002304</v>
      </c>
    </row>
    <row r="4737" spans="1:9" x14ac:dyDescent="0.25">
      <c r="A4737" t="s">
        <v>4162</v>
      </c>
      <c r="B4737" t="s">
        <v>13</v>
      </c>
      <c r="C4737">
        <v>29.5</v>
      </c>
      <c r="D4737">
        <v>31.5</v>
      </c>
      <c r="E4737" t="s">
        <v>17</v>
      </c>
      <c r="F4737">
        <v>28.78</v>
      </c>
      <c r="G4737">
        <v>27.08</v>
      </c>
      <c r="H4737" t="s">
        <v>17</v>
      </c>
      <c r="I4737" t="str">
        <f>"063488012201"</f>
        <v>063488012201</v>
      </c>
    </row>
    <row r="4738" spans="1:9" x14ac:dyDescent="0.25">
      <c r="A4738" t="s">
        <v>4163</v>
      </c>
      <c r="B4738" t="s">
        <v>13</v>
      </c>
      <c r="C4738">
        <v>34</v>
      </c>
      <c r="D4738">
        <v>35.049999999999997</v>
      </c>
      <c r="E4738" t="s">
        <v>17</v>
      </c>
      <c r="F4738">
        <v>24.26</v>
      </c>
      <c r="G4738">
        <v>24.28</v>
      </c>
      <c r="H4738" t="s">
        <v>17</v>
      </c>
      <c r="I4738" t="str">
        <f>"062343003563"</f>
        <v>062343003563</v>
      </c>
    </row>
    <row r="4739" spans="1:9" x14ac:dyDescent="0.25">
      <c r="A4739" t="s">
        <v>4164</v>
      </c>
      <c r="B4739" t="s">
        <v>13</v>
      </c>
      <c r="C4739" t="s">
        <v>14</v>
      </c>
      <c r="D4739" t="s">
        <v>14</v>
      </c>
      <c r="E4739" t="s">
        <v>17</v>
      </c>
      <c r="F4739" t="s">
        <v>14</v>
      </c>
      <c r="G4739" t="s">
        <v>14</v>
      </c>
      <c r="H4739" t="s">
        <v>17</v>
      </c>
      <c r="I4739" t="str">
        <f>"063462005816"</f>
        <v>063462005816</v>
      </c>
    </row>
    <row r="4740" spans="1:9" x14ac:dyDescent="0.25">
      <c r="A4740" t="s">
        <v>4165</v>
      </c>
      <c r="B4740" t="s">
        <v>13</v>
      </c>
      <c r="C4740">
        <v>11.34</v>
      </c>
      <c r="D4740">
        <v>11.99</v>
      </c>
      <c r="E4740" t="s">
        <v>17</v>
      </c>
      <c r="F4740">
        <v>18.52</v>
      </c>
      <c r="G4740">
        <v>18.100000000000001</v>
      </c>
      <c r="H4740" t="s">
        <v>17</v>
      </c>
      <c r="I4740" t="str">
        <f>"060633000551"</f>
        <v>060633000551</v>
      </c>
    </row>
    <row r="4741" spans="1:9" x14ac:dyDescent="0.25">
      <c r="A4741" t="s">
        <v>4166</v>
      </c>
      <c r="B4741" t="s">
        <v>13</v>
      </c>
      <c r="C4741">
        <v>18.8</v>
      </c>
      <c r="D4741">
        <v>19</v>
      </c>
      <c r="E4741" t="s">
        <v>17</v>
      </c>
      <c r="F4741">
        <v>18.989999999999998</v>
      </c>
      <c r="G4741">
        <v>18.420000000000002</v>
      </c>
      <c r="H4741" t="s">
        <v>17</v>
      </c>
      <c r="I4741" t="str">
        <f>"063432005489"</f>
        <v>063432005489</v>
      </c>
    </row>
    <row r="4742" spans="1:9" x14ac:dyDescent="0.25">
      <c r="A4742" t="s">
        <v>4167</v>
      </c>
      <c r="B4742" t="s">
        <v>13</v>
      </c>
      <c r="C4742">
        <v>17.71</v>
      </c>
      <c r="D4742">
        <v>16.89</v>
      </c>
      <c r="E4742" t="s">
        <v>17</v>
      </c>
      <c r="F4742">
        <v>14.06</v>
      </c>
      <c r="G4742">
        <v>14.92</v>
      </c>
      <c r="H4742" t="s">
        <v>17</v>
      </c>
      <c r="I4742" t="str">
        <f>"063441011252"</f>
        <v>063441011252</v>
      </c>
    </row>
    <row r="4743" spans="1:9" x14ac:dyDescent="0.25">
      <c r="A4743" t="s">
        <v>4168</v>
      </c>
      <c r="B4743" t="s">
        <v>13</v>
      </c>
      <c r="C4743">
        <v>15.2</v>
      </c>
      <c r="D4743">
        <v>17.2</v>
      </c>
      <c r="E4743" t="s">
        <v>17</v>
      </c>
      <c r="F4743">
        <v>26.97</v>
      </c>
      <c r="G4743">
        <v>26.28</v>
      </c>
      <c r="H4743" t="s">
        <v>17</v>
      </c>
      <c r="I4743" t="str">
        <f>"062301003507"</f>
        <v>062301003507</v>
      </c>
    </row>
    <row r="4744" spans="1:9" x14ac:dyDescent="0.25">
      <c r="A4744" t="s">
        <v>4168</v>
      </c>
      <c r="B4744" t="s">
        <v>13</v>
      </c>
      <c r="C4744">
        <v>16</v>
      </c>
      <c r="D4744">
        <v>17</v>
      </c>
      <c r="E4744" t="s">
        <v>17</v>
      </c>
      <c r="F4744">
        <v>28.13</v>
      </c>
      <c r="G4744">
        <v>25.76</v>
      </c>
      <c r="H4744" t="s">
        <v>17</v>
      </c>
      <c r="I4744" t="str">
        <f>"062865004433"</f>
        <v>062865004433</v>
      </c>
    </row>
    <row r="4745" spans="1:9" x14ac:dyDescent="0.25">
      <c r="A4745" t="s">
        <v>4169</v>
      </c>
      <c r="B4745" t="s">
        <v>13</v>
      </c>
      <c r="C4745">
        <v>139.46</v>
      </c>
      <c r="D4745">
        <v>143.04</v>
      </c>
      <c r="E4745" t="s">
        <v>17</v>
      </c>
      <c r="F4745">
        <v>25.84</v>
      </c>
      <c r="G4745">
        <v>25.09</v>
      </c>
      <c r="H4745" t="s">
        <v>17</v>
      </c>
      <c r="I4745" t="str">
        <f>"062250002728"</f>
        <v>062250002728</v>
      </c>
    </row>
    <row r="4746" spans="1:9" x14ac:dyDescent="0.25">
      <c r="A4746" t="s">
        <v>4170</v>
      </c>
      <c r="B4746" t="s">
        <v>13</v>
      </c>
      <c r="C4746">
        <v>5</v>
      </c>
      <c r="D4746">
        <v>4.8600000000000003</v>
      </c>
      <c r="E4746" t="s">
        <v>17</v>
      </c>
      <c r="F4746">
        <v>10</v>
      </c>
      <c r="G4746">
        <v>9.67</v>
      </c>
      <c r="H4746" t="s">
        <v>17</v>
      </c>
      <c r="I4746" t="str">
        <f>"061488002338"</f>
        <v>061488002338</v>
      </c>
    </row>
    <row r="4747" spans="1:9" x14ac:dyDescent="0.25">
      <c r="A4747" t="s">
        <v>4171</v>
      </c>
      <c r="B4747" t="s">
        <v>13</v>
      </c>
      <c r="C4747">
        <v>16.5</v>
      </c>
      <c r="D4747">
        <v>18</v>
      </c>
      <c r="E4747" t="s">
        <v>17</v>
      </c>
      <c r="F4747">
        <v>26.61</v>
      </c>
      <c r="G4747">
        <v>23.72</v>
      </c>
      <c r="H4747" t="s">
        <v>17</v>
      </c>
      <c r="I4747" t="str">
        <f>"063531008979"</f>
        <v>063531008979</v>
      </c>
    </row>
    <row r="4748" spans="1:9" x14ac:dyDescent="0.25">
      <c r="A4748" t="s">
        <v>4172</v>
      </c>
      <c r="B4748" t="s">
        <v>13</v>
      </c>
      <c r="C4748">
        <v>32</v>
      </c>
      <c r="D4748">
        <v>35.5</v>
      </c>
      <c r="E4748" t="s">
        <v>17</v>
      </c>
      <c r="F4748">
        <v>30.56</v>
      </c>
      <c r="G4748">
        <v>28.65</v>
      </c>
      <c r="H4748" t="s">
        <v>17</v>
      </c>
      <c r="I4748" t="str">
        <f>"062547003794"</f>
        <v>062547003794</v>
      </c>
    </row>
    <row r="4749" spans="1:9" x14ac:dyDescent="0.25">
      <c r="A4749" t="s">
        <v>4173</v>
      </c>
      <c r="B4749" t="s">
        <v>13</v>
      </c>
      <c r="C4749">
        <v>74.849999999999994</v>
      </c>
      <c r="D4749">
        <v>55.94</v>
      </c>
      <c r="E4749" t="s">
        <v>17</v>
      </c>
      <c r="F4749">
        <v>25.74</v>
      </c>
      <c r="G4749">
        <v>25.74</v>
      </c>
      <c r="H4749" t="s">
        <v>17</v>
      </c>
      <c r="I4749" t="str">
        <f>"062515012556"</f>
        <v>062515012556</v>
      </c>
    </row>
    <row r="4750" spans="1:9" x14ac:dyDescent="0.25">
      <c r="A4750" t="s">
        <v>4174</v>
      </c>
      <c r="B4750" t="s">
        <v>13</v>
      </c>
      <c r="C4750">
        <v>27.75</v>
      </c>
      <c r="D4750">
        <v>25.57</v>
      </c>
      <c r="E4750" t="s">
        <v>17</v>
      </c>
      <c r="F4750">
        <v>24.5</v>
      </c>
      <c r="G4750">
        <v>25.15</v>
      </c>
      <c r="H4750" t="s">
        <v>17</v>
      </c>
      <c r="I4750" t="str">
        <f>"063942006552"</f>
        <v>063942006552</v>
      </c>
    </row>
    <row r="4751" spans="1:9" x14ac:dyDescent="0.25">
      <c r="A4751" t="s">
        <v>4175</v>
      </c>
      <c r="B4751" t="s">
        <v>13</v>
      </c>
      <c r="C4751">
        <v>21.5</v>
      </c>
      <c r="D4751">
        <v>20.7</v>
      </c>
      <c r="E4751" t="s">
        <v>17</v>
      </c>
      <c r="F4751">
        <v>23.21</v>
      </c>
      <c r="G4751">
        <v>22.71</v>
      </c>
      <c r="H4751" t="s">
        <v>17</v>
      </c>
      <c r="I4751" t="str">
        <f>"061440001655"</f>
        <v>061440001655</v>
      </c>
    </row>
    <row r="4752" spans="1:9" x14ac:dyDescent="0.25">
      <c r="A4752" t="s">
        <v>4176</v>
      </c>
      <c r="B4752" t="s">
        <v>13</v>
      </c>
      <c r="C4752">
        <v>15</v>
      </c>
      <c r="D4752">
        <v>13.6</v>
      </c>
      <c r="E4752" t="s">
        <v>17</v>
      </c>
      <c r="F4752">
        <v>27.33</v>
      </c>
      <c r="G4752">
        <v>30.15</v>
      </c>
      <c r="H4752" t="s">
        <v>17</v>
      </c>
      <c r="I4752" t="str">
        <f>"063384005261"</f>
        <v>063384005261</v>
      </c>
    </row>
    <row r="4753" spans="1:9" x14ac:dyDescent="0.25">
      <c r="A4753" t="s">
        <v>4177</v>
      </c>
      <c r="B4753" t="s">
        <v>13</v>
      </c>
      <c r="C4753">
        <v>35.17</v>
      </c>
      <c r="D4753">
        <v>35.200000000000003</v>
      </c>
      <c r="E4753" t="s">
        <v>17</v>
      </c>
      <c r="F4753">
        <v>18.25</v>
      </c>
      <c r="G4753">
        <v>17.7</v>
      </c>
      <c r="H4753" t="s">
        <v>17</v>
      </c>
      <c r="I4753" t="str">
        <f>"060231000105"</f>
        <v>060231000105</v>
      </c>
    </row>
    <row r="4754" spans="1:9" x14ac:dyDescent="0.25">
      <c r="A4754" t="s">
        <v>4178</v>
      </c>
      <c r="B4754" t="s">
        <v>13</v>
      </c>
      <c r="C4754">
        <v>32</v>
      </c>
      <c r="D4754">
        <v>31.4</v>
      </c>
      <c r="E4754" t="s">
        <v>17</v>
      </c>
      <c r="F4754">
        <v>26.72</v>
      </c>
      <c r="G4754">
        <v>28.92</v>
      </c>
      <c r="H4754" t="s">
        <v>17</v>
      </c>
      <c r="I4754" t="str">
        <f>"064074010331"</f>
        <v>064074010331</v>
      </c>
    </row>
    <row r="4755" spans="1:9" x14ac:dyDescent="0.25">
      <c r="A4755" t="s">
        <v>4179</v>
      </c>
      <c r="B4755" t="s">
        <v>13</v>
      </c>
      <c r="C4755">
        <v>39.83</v>
      </c>
      <c r="D4755">
        <v>43.13</v>
      </c>
      <c r="E4755" t="s">
        <v>17</v>
      </c>
      <c r="F4755">
        <v>22.5</v>
      </c>
      <c r="G4755">
        <v>21.63</v>
      </c>
      <c r="H4755" t="s">
        <v>17</v>
      </c>
      <c r="I4755" t="str">
        <f>"061233001402"</f>
        <v>061233001402</v>
      </c>
    </row>
    <row r="4756" spans="1:9" x14ac:dyDescent="0.25">
      <c r="A4756" t="s">
        <v>4180</v>
      </c>
      <c r="B4756" t="s">
        <v>13</v>
      </c>
      <c r="C4756">
        <v>51.83</v>
      </c>
      <c r="D4756">
        <v>55.52</v>
      </c>
      <c r="E4756" t="s">
        <v>17</v>
      </c>
      <c r="F4756">
        <v>18.02</v>
      </c>
      <c r="G4756">
        <v>16.52</v>
      </c>
      <c r="H4756" t="s">
        <v>17</v>
      </c>
      <c r="I4756" t="str">
        <f>"062271003129"</f>
        <v>062271003129</v>
      </c>
    </row>
    <row r="4757" spans="1:9" x14ac:dyDescent="0.25">
      <c r="A4757" t="s">
        <v>4181</v>
      </c>
      <c r="B4757" t="s">
        <v>13</v>
      </c>
      <c r="C4757">
        <v>33</v>
      </c>
      <c r="D4757">
        <v>33</v>
      </c>
      <c r="E4757" t="s">
        <v>17</v>
      </c>
      <c r="F4757">
        <v>24.39</v>
      </c>
      <c r="G4757">
        <v>22.67</v>
      </c>
      <c r="H4757" t="s">
        <v>17</v>
      </c>
      <c r="I4757" t="str">
        <f>"061647010816"</f>
        <v>061647010816</v>
      </c>
    </row>
    <row r="4758" spans="1:9" x14ac:dyDescent="0.25">
      <c r="A4758" t="s">
        <v>4182</v>
      </c>
      <c r="B4758" t="s">
        <v>13</v>
      </c>
      <c r="C4758">
        <v>19.829999999999998</v>
      </c>
      <c r="D4758">
        <v>18.05</v>
      </c>
      <c r="E4758" t="s">
        <v>17</v>
      </c>
      <c r="F4758">
        <v>10.14</v>
      </c>
      <c r="G4758">
        <v>11.25</v>
      </c>
      <c r="H4758" t="s">
        <v>17</v>
      </c>
      <c r="I4758" t="str">
        <f>"062271003110"</f>
        <v>062271003110</v>
      </c>
    </row>
    <row r="4759" spans="1:9" x14ac:dyDescent="0.25">
      <c r="A4759" t="s">
        <v>4183</v>
      </c>
      <c r="B4759" t="s">
        <v>13</v>
      </c>
      <c r="C4759">
        <v>21</v>
      </c>
      <c r="D4759">
        <v>19</v>
      </c>
      <c r="E4759" t="s">
        <v>17</v>
      </c>
      <c r="F4759">
        <v>22.76</v>
      </c>
      <c r="G4759">
        <v>25.58</v>
      </c>
      <c r="H4759" t="s">
        <v>17</v>
      </c>
      <c r="I4759" t="str">
        <f>"061803002222"</f>
        <v>061803002222</v>
      </c>
    </row>
    <row r="4760" spans="1:9" x14ac:dyDescent="0.25">
      <c r="A4760" t="s">
        <v>4184</v>
      </c>
      <c r="B4760" t="s">
        <v>13</v>
      </c>
      <c r="C4760">
        <v>42</v>
      </c>
      <c r="D4760">
        <v>46</v>
      </c>
      <c r="E4760" t="s">
        <v>17</v>
      </c>
      <c r="F4760">
        <v>26.6</v>
      </c>
      <c r="G4760">
        <v>25.54</v>
      </c>
      <c r="H4760" t="s">
        <v>17</v>
      </c>
      <c r="I4760" t="str">
        <f>"061233008276"</f>
        <v>061233008276</v>
      </c>
    </row>
    <row r="4761" spans="1:9" x14ac:dyDescent="0.25">
      <c r="A4761" t="s">
        <v>4185</v>
      </c>
      <c r="B4761" t="s">
        <v>13</v>
      </c>
      <c r="C4761">
        <v>18.75</v>
      </c>
      <c r="D4761">
        <v>18</v>
      </c>
      <c r="E4761" t="s">
        <v>17</v>
      </c>
      <c r="F4761">
        <v>23.36</v>
      </c>
      <c r="G4761">
        <v>24.5</v>
      </c>
      <c r="H4761" t="s">
        <v>17</v>
      </c>
      <c r="I4761" t="str">
        <f>"062450003676"</f>
        <v>062450003676</v>
      </c>
    </row>
    <row r="4762" spans="1:9" x14ac:dyDescent="0.25">
      <c r="A4762" t="s">
        <v>4186</v>
      </c>
      <c r="B4762" t="s">
        <v>13</v>
      </c>
      <c r="C4762">
        <v>32.6</v>
      </c>
      <c r="D4762">
        <v>33.1</v>
      </c>
      <c r="E4762" t="s">
        <v>17</v>
      </c>
      <c r="F4762">
        <v>27.85</v>
      </c>
      <c r="G4762">
        <v>27.7</v>
      </c>
      <c r="H4762" t="s">
        <v>17</v>
      </c>
      <c r="I4762" t="str">
        <f>"062361010390"</f>
        <v>062361010390</v>
      </c>
    </row>
    <row r="4763" spans="1:9" x14ac:dyDescent="0.25">
      <c r="A4763" t="s">
        <v>4187</v>
      </c>
      <c r="B4763" t="s">
        <v>13</v>
      </c>
      <c r="C4763">
        <v>20.149999999999999</v>
      </c>
      <c r="D4763">
        <v>19.14</v>
      </c>
      <c r="E4763" t="s">
        <v>17</v>
      </c>
      <c r="F4763">
        <v>27.79</v>
      </c>
      <c r="G4763">
        <v>28.27</v>
      </c>
      <c r="H4763" t="s">
        <v>17</v>
      </c>
      <c r="I4763" t="str">
        <f>"063795006393"</f>
        <v>063795006393</v>
      </c>
    </row>
    <row r="4764" spans="1:9" x14ac:dyDescent="0.25">
      <c r="A4764" t="s">
        <v>4188</v>
      </c>
      <c r="B4764" t="s">
        <v>13</v>
      </c>
      <c r="C4764">
        <v>30.03</v>
      </c>
      <c r="D4764">
        <v>30.03</v>
      </c>
      <c r="E4764" t="s">
        <v>17</v>
      </c>
      <c r="F4764">
        <v>25.84</v>
      </c>
      <c r="G4764">
        <v>25.64</v>
      </c>
      <c r="H4764" t="s">
        <v>17</v>
      </c>
      <c r="I4764" t="str">
        <f>"061440001661"</f>
        <v>061440001661</v>
      </c>
    </row>
    <row r="4765" spans="1:9" x14ac:dyDescent="0.25">
      <c r="A4765" t="s">
        <v>4189</v>
      </c>
      <c r="B4765" t="s">
        <v>13</v>
      </c>
      <c r="C4765">
        <v>27.5</v>
      </c>
      <c r="D4765">
        <v>28</v>
      </c>
      <c r="E4765" t="s">
        <v>17</v>
      </c>
      <c r="F4765">
        <v>29.53</v>
      </c>
      <c r="G4765">
        <v>29.57</v>
      </c>
      <c r="H4765" t="s">
        <v>17</v>
      </c>
      <c r="I4765" t="str">
        <f>"060001409074"</f>
        <v>060001409074</v>
      </c>
    </row>
    <row r="4766" spans="1:9" x14ac:dyDescent="0.25">
      <c r="A4766" t="s">
        <v>4190</v>
      </c>
      <c r="B4766" t="s">
        <v>13</v>
      </c>
      <c r="C4766">
        <v>20.2</v>
      </c>
      <c r="D4766">
        <v>22.5</v>
      </c>
      <c r="E4766" t="s">
        <v>17</v>
      </c>
      <c r="F4766">
        <v>28.56</v>
      </c>
      <c r="G4766">
        <v>27.29</v>
      </c>
      <c r="H4766" t="s">
        <v>17</v>
      </c>
      <c r="I4766" t="str">
        <f>"062361004004"</f>
        <v>062361004004</v>
      </c>
    </row>
    <row r="4767" spans="1:9" x14ac:dyDescent="0.25">
      <c r="A4767" t="s">
        <v>4191</v>
      </c>
      <c r="B4767" t="s">
        <v>13</v>
      </c>
      <c r="C4767">
        <v>23.91</v>
      </c>
      <c r="D4767">
        <v>25.5</v>
      </c>
      <c r="E4767" t="s">
        <v>17</v>
      </c>
      <c r="F4767">
        <v>28.06</v>
      </c>
      <c r="G4767">
        <v>27.14</v>
      </c>
      <c r="H4767" t="s">
        <v>17</v>
      </c>
      <c r="I4767" t="str">
        <f>"062088002507"</f>
        <v>062088002507</v>
      </c>
    </row>
    <row r="4768" spans="1:9" x14ac:dyDescent="0.25">
      <c r="A4768" t="s">
        <v>4192</v>
      </c>
      <c r="B4768" t="s">
        <v>13</v>
      </c>
      <c r="C4768">
        <v>35</v>
      </c>
      <c r="D4768">
        <v>36.01</v>
      </c>
      <c r="E4768" t="s">
        <v>17</v>
      </c>
      <c r="F4768">
        <v>27.51</v>
      </c>
      <c r="G4768">
        <v>28.96</v>
      </c>
      <c r="H4768" t="s">
        <v>17</v>
      </c>
      <c r="I4768" t="str">
        <f>"062958009172"</f>
        <v>062958009172</v>
      </c>
    </row>
    <row r="4769" spans="1:9" x14ac:dyDescent="0.25">
      <c r="A4769" t="s">
        <v>4193</v>
      </c>
      <c r="B4769" t="s">
        <v>13</v>
      </c>
      <c r="C4769">
        <v>15.4</v>
      </c>
      <c r="D4769">
        <v>16.45</v>
      </c>
      <c r="E4769" t="s">
        <v>17</v>
      </c>
      <c r="F4769">
        <v>20.260000000000002</v>
      </c>
      <c r="G4769">
        <v>21.03</v>
      </c>
      <c r="H4769" t="s">
        <v>17</v>
      </c>
      <c r="I4769" t="str">
        <f>"062586003885"</f>
        <v>062586003885</v>
      </c>
    </row>
    <row r="4770" spans="1:9" x14ac:dyDescent="0.25">
      <c r="A4770" t="s">
        <v>4194</v>
      </c>
      <c r="B4770" t="s">
        <v>13</v>
      </c>
      <c r="C4770">
        <v>14</v>
      </c>
      <c r="D4770">
        <v>13</v>
      </c>
      <c r="E4770" t="s">
        <v>17</v>
      </c>
      <c r="F4770">
        <v>23.79</v>
      </c>
      <c r="G4770">
        <v>21</v>
      </c>
      <c r="H4770" t="s">
        <v>17</v>
      </c>
      <c r="I4770" t="str">
        <f>"060744008542"</f>
        <v>060744008542</v>
      </c>
    </row>
    <row r="4771" spans="1:9" x14ac:dyDescent="0.25">
      <c r="A4771" t="s">
        <v>4195</v>
      </c>
      <c r="B4771" t="s">
        <v>13</v>
      </c>
      <c r="C4771">
        <v>36.049999999999997</v>
      </c>
      <c r="D4771">
        <v>33.6</v>
      </c>
      <c r="E4771" t="s">
        <v>17</v>
      </c>
      <c r="F4771">
        <v>19.28</v>
      </c>
      <c r="G4771">
        <v>19.260000000000002</v>
      </c>
      <c r="H4771" t="s">
        <v>17</v>
      </c>
      <c r="I4771" t="str">
        <f>"063432012000"</f>
        <v>063432012000</v>
      </c>
    </row>
    <row r="4772" spans="1:9" x14ac:dyDescent="0.25">
      <c r="A4772" t="s">
        <v>4196</v>
      </c>
      <c r="B4772" t="s">
        <v>13</v>
      </c>
      <c r="C4772">
        <v>5.3</v>
      </c>
      <c r="D4772">
        <v>6.05</v>
      </c>
      <c r="E4772" t="s">
        <v>17</v>
      </c>
      <c r="F4772">
        <v>13.02</v>
      </c>
      <c r="G4772">
        <v>10.91</v>
      </c>
      <c r="H4772" t="s">
        <v>17</v>
      </c>
      <c r="I4772" t="str">
        <f>"060570012330"</f>
        <v>060570012330</v>
      </c>
    </row>
    <row r="4773" spans="1:9" x14ac:dyDescent="0.25">
      <c r="A4773" t="s">
        <v>4197</v>
      </c>
      <c r="B4773" t="s">
        <v>13</v>
      </c>
      <c r="C4773">
        <v>10.1</v>
      </c>
      <c r="D4773">
        <v>11</v>
      </c>
      <c r="E4773" t="s">
        <v>17</v>
      </c>
      <c r="F4773">
        <v>24.75</v>
      </c>
      <c r="G4773">
        <v>23.27</v>
      </c>
      <c r="H4773" t="s">
        <v>17</v>
      </c>
      <c r="I4773" t="str">
        <f>"063570010248"</f>
        <v>063570010248</v>
      </c>
    </row>
    <row r="4774" spans="1:9" x14ac:dyDescent="0.25">
      <c r="A4774" t="s">
        <v>4197</v>
      </c>
      <c r="B4774" t="s">
        <v>13</v>
      </c>
      <c r="C4774">
        <v>19.600000000000001</v>
      </c>
      <c r="D4774">
        <v>21.2</v>
      </c>
      <c r="E4774" t="s">
        <v>17</v>
      </c>
      <c r="F4774">
        <v>25.41</v>
      </c>
      <c r="G4774">
        <v>23.11</v>
      </c>
      <c r="H4774" t="s">
        <v>17</v>
      </c>
      <c r="I4774" t="str">
        <f>"064299006992"</f>
        <v>064299006992</v>
      </c>
    </row>
    <row r="4775" spans="1:9" x14ac:dyDescent="0.25">
      <c r="A4775" t="s">
        <v>4198</v>
      </c>
      <c r="B4775" t="s">
        <v>13</v>
      </c>
      <c r="C4775">
        <v>38.200000000000003</v>
      </c>
      <c r="D4775">
        <v>39.700000000000003</v>
      </c>
      <c r="E4775" t="s">
        <v>17</v>
      </c>
      <c r="F4775">
        <v>21.52</v>
      </c>
      <c r="G4775">
        <v>20.28</v>
      </c>
      <c r="H4775" t="s">
        <v>17</v>
      </c>
      <c r="I4775" t="str">
        <f>"063543001599"</f>
        <v>063543001599</v>
      </c>
    </row>
    <row r="4776" spans="1:9" x14ac:dyDescent="0.25">
      <c r="A4776" t="s">
        <v>4199</v>
      </c>
      <c r="B4776" t="s">
        <v>13</v>
      </c>
      <c r="C4776">
        <v>25.86</v>
      </c>
      <c r="D4776">
        <v>26</v>
      </c>
      <c r="E4776" t="s">
        <v>17</v>
      </c>
      <c r="F4776">
        <v>26.64</v>
      </c>
      <c r="G4776">
        <v>26.19</v>
      </c>
      <c r="H4776" t="s">
        <v>17</v>
      </c>
      <c r="I4776" t="str">
        <f>"064299006990"</f>
        <v>064299006990</v>
      </c>
    </row>
    <row r="4777" spans="1:9" x14ac:dyDescent="0.25">
      <c r="A4777" t="s">
        <v>4200</v>
      </c>
      <c r="B4777" t="s">
        <v>13</v>
      </c>
      <c r="C4777">
        <v>38</v>
      </c>
      <c r="D4777">
        <v>32.200000000000003</v>
      </c>
      <c r="E4777" t="s">
        <v>17</v>
      </c>
      <c r="F4777">
        <v>28.32</v>
      </c>
      <c r="G4777">
        <v>29.01</v>
      </c>
      <c r="H4777" t="s">
        <v>17</v>
      </c>
      <c r="I4777" t="str">
        <f>"062922012389"</f>
        <v>062922012389</v>
      </c>
    </row>
    <row r="4778" spans="1:9" x14ac:dyDescent="0.25">
      <c r="A4778" t="s">
        <v>4201</v>
      </c>
      <c r="B4778" t="s">
        <v>13</v>
      </c>
      <c r="C4778">
        <v>20.010000000000002</v>
      </c>
      <c r="D4778">
        <v>21.32</v>
      </c>
      <c r="E4778" t="s">
        <v>17</v>
      </c>
      <c r="F4778">
        <v>19.54</v>
      </c>
      <c r="G4778">
        <v>19.510000000000002</v>
      </c>
      <c r="H4778" t="s">
        <v>17</v>
      </c>
      <c r="I4778" t="str">
        <f>"062961004591"</f>
        <v>062961004591</v>
      </c>
    </row>
    <row r="4779" spans="1:9" x14ac:dyDescent="0.25">
      <c r="A4779" t="s">
        <v>4202</v>
      </c>
      <c r="B4779" t="s">
        <v>13</v>
      </c>
      <c r="C4779">
        <v>20.100000000000001</v>
      </c>
      <c r="D4779">
        <v>20.010000000000002</v>
      </c>
      <c r="E4779" t="s">
        <v>17</v>
      </c>
      <c r="F4779">
        <v>22.24</v>
      </c>
      <c r="G4779">
        <v>24.14</v>
      </c>
      <c r="H4779" t="s">
        <v>17</v>
      </c>
      <c r="I4779" t="str">
        <f>"064098006754"</f>
        <v>064098006754</v>
      </c>
    </row>
    <row r="4780" spans="1:9" x14ac:dyDescent="0.25">
      <c r="A4780" t="s">
        <v>4203</v>
      </c>
      <c r="B4780" t="s">
        <v>13</v>
      </c>
      <c r="C4780">
        <v>18.5</v>
      </c>
      <c r="D4780">
        <v>18</v>
      </c>
      <c r="E4780" t="s">
        <v>17</v>
      </c>
      <c r="F4780">
        <v>27.14</v>
      </c>
      <c r="G4780">
        <v>29.33</v>
      </c>
      <c r="H4780" t="s">
        <v>17</v>
      </c>
      <c r="I4780" t="str">
        <f>"063417011741"</f>
        <v>063417011741</v>
      </c>
    </row>
    <row r="4781" spans="1:9" x14ac:dyDescent="0.25">
      <c r="A4781" t="s">
        <v>4204</v>
      </c>
      <c r="B4781" t="s">
        <v>13</v>
      </c>
      <c r="C4781">
        <v>18</v>
      </c>
      <c r="D4781">
        <v>14</v>
      </c>
      <c r="E4781" t="s">
        <v>17</v>
      </c>
      <c r="F4781">
        <v>18.72</v>
      </c>
      <c r="G4781">
        <v>26.14</v>
      </c>
      <c r="H4781" t="s">
        <v>17</v>
      </c>
      <c r="I4781" t="str">
        <f>"060162000018"</f>
        <v>060162000018</v>
      </c>
    </row>
    <row r="4782" spans="1:9" x14ac:dyDescent="0.25">
      <c r="A4782" t="s">
        <v>4204</v>
      </c>
      <c r="B4782" t="s">
        <v>13</v>
      </c>
      <c r="C4782">
        <v>28.15</v>
      </c>
      <c r="D4782">
        <v>27.65</v>
      </c>
      <c r="E4782" t="s">
        <v>17</v>
      </c>
      <c r="F4782">
        <v>26.39</v>
      </c>
      <c r="G4782">
        <v>26.65</v>
      </c>
      <c r="H4782" t="s">
        <v>17</v>
      </c>
      <c r="I4782" t="str">
        <f>"060261000155"</f>
        <v>060261000155</v>
      </c>
    </row>
    <row r="4783" spans="1:9" x14ac:dyDescent="0.25">
      <c r="A4783" t="s">
        <v>4205</v>
      </c>
      <c r="B4783" t="s">
        <v>13</v>
      </c>
      <c r="C4783">
        <v>11</v>
      </c>
      <c r="D4783">
        <v>12.5</v>
      </c>
      <c r="E4783" t="s">
        <v>17</v>
      </c>
      <c r="F4783">
        <v>19.09</v>
      </c>
      <c r="G4783">
        <v>18.88</v>
      </c>
      <c r="H4783" t="s">
        <v>17</v>
      </c>
      <c r="I4783" t="str">
        <f>"063432005490"</f>
        <v>063432005490</v>
      </c>
    </row>
    <row r="4784" spans="1:9" x14ac:dyDescent="0.25">
      <c r="A4784" t="s">
        <v>4206</v>
      </c>
      <c r="B4784" t="s">
        <v>13</v>
      </c>
      <c r="C4784">
        <v>28</v>
      </c>
      <c r="D4784">
        <v>29.5</v>
      </c>
      <c r="E4784" t="s">
        <v>17</v>
      </c>
      <c r="F4784">
        <v>21.57</v>
      </c>
      <c r="G4784">
        <v>20.37</v>
      </c>
      <c r="H4784" t="s">
        <v>17</v>
      </c>
      <c r="I4784" t="str">
        <f>"060861000863"</f>
        <v>060861000863</v>
      </c>
    </row>
    <row r="4785" spans="1:9" x14ac:dyDescent="0.25">
      <c r="A4785" t="s">
        <v>4207</v>
      </c>
      <c r="B4785" t="s">
        <v>13</v>
      </c>
      <c r="C4785">
        <v>26</v>
      </c>
      <c r="D4785">
        <v>26</v>
      </c>
      <c r="E4785" t="s">
        <v>17</v>
      </c>
      <c r="F4785">
        <v>24.5</v>
      </c>
      <c r="G4785">
        <v>25.08</v>
      </c>
      <c r="H4785" t="s">
        <v>17</v>
      </c>
      <c r="I4785" t="str">
        <f>"062271012632"</f>
        <v>062271012632</v>
      </c>
    </row>
    <row r="4786" spans="1:9" x14ac:dyDescent="0.25">
      <c r="A4786" t="s">
        <v>4208</v>
      </c>
      <c r="B4786" t="s">
        <v>13</v>
      </c>
      <c r="C4786">
        <v>23.2</v>
      </c>
      <c r="D4786">
        <v>23.2</v>
      </c>
      <c r="E4786" t="s">
        <v>17</v>
      </c>
      <c r="F4786">
        <v>23.92</v>
      </c>
      <c r="G4786">
        <v>23.06</v>
      </c>
      <c r="H4786" t="s">
        <v>17</v>
      </c>
      <c r="I4786" t="str">
        <f>"062308003522"</f>
        <v>062308003522</v>
      </c>
    </row>
    <row r="4787" spans="1:9" x14ac:dyDescent="0.25">
      <c r="A4787" t="s">
        <v>4209</v>
      </c>
      <c r="B4787" t="s">
        <v>13</v>
      </c>
      <c r="C4787">
        <v>23.07</v>
      </c>
      <c r="D4787">
        <v>23.07</v>
      </c>
      <c r="E4787" t="s">
        <v>17</v>
      </c>
      <c r="F4787">
        <v>24.97</v>
      </c>
      <c r="G4787">
        <v>23.71</v>
      </c>
      <c r="H4787" t="s">
        <v>17</v>
      </c>
      <c r="I4787" t="str">
        <f>"063207011740"</f>
        <v>063207011740</v>
      </c>
    </row>
    <row r="4788" spans="1:9" x14ac:dyDescent="0.25">
      <c r="A4788" t="s">
        <v>4210</v>
      </c>
      <c r="B4788" t="s">
        <v>13</v>
      </c>
      <c r="C4788">
        <v>25</v>
      </c>
      <c r="D4788">
        <v>23</v>
      </c>
      <c r="E4788" t="s">
        <v>17</v>
      </c>
      <c r="F4788">
        <v>29.92</v>
      </c>
      <c r="G4788">
        <v>28.17</v>
      </c>
      <c r="H4788" t="s">
        <v>17</v>
      </c>
      <c r="I4788" t="str">
        <f>"062769004177"</f>
        <v>062769004177</v>
      </c>
    </row>
    <row r="4789" spans="1:9" x14ac:dyDescent="0.25">
      <c r="A4789" t="s">
        <v>4211</v>
      </c>
      <c r="B4789" t="s">
        <v>13</v>
      </c>
      <c r="C4789">
        <v>52.07</v>
      </c>
      <c r="D4789">
        <v>54.55</v>
      </c>
      <c r="E4789" t="s">
        <v>17</v>
      </c>
      <c r="F4789">
        <v>22.45</v>
      </c>
      <c r="G4789">
        <v>21.67</v>
      </c>
      <c r="H4789" t="s">
        <v>17</v>
      </c>
      <c r="I4789" t="str">
        <f>"063531005992"</f>
        <v>063531005992</v>
      </c>
    </row>
    <row r="4790" spans="1:9" x14ac:dyDescent="0.25">
      <c r="A4790" t="s">
        <v>4212</v>
      </c>
      <c r="B4790" t="s">
        <v>13</v>
      </c>
      <c r="C4790">
        <v>23.5</v>
      </c>
      <c r="D4790">
        <v>24.33</v>
      </c>
      <c r="E4790" t="s">
        <v>17</v>
      </c>
      <c r="F4790">
        <v>24.43</v>
      </c>
      <c r="G4790">
        <v>24.7</v>
      </c>
      <c r="H4790" t="s">
        <v>17</v>
      </c>
      <c r="I4790" t="str">
        <f>"062223010652"</f>
        <v>062223010652</v>
      </c>
    </row>
    <row r="4791" spans="1:9" x14ac:dyDescent="0.25">
      <c r="A4791" t="s">
        <v>4213</v>
      </c>
      <c r="B4791" t="s">
        <v>13</v>
      </c>
      <c r="C4791">
        <v>112.3</v>
      </c>
      <c r="D4791">
        <v>106</v>
      </c>
      <c r="E4791" t="s">
        <v>17</v>
      </c>
      <c r="F4791">
        <v>21.49</v>
      </c>
      <c r="G4791">
        <v>20.309999999999999</v>
      </c>
      <c r="H4791" t="s">
        <v>17</v>
      </c>
      <c r="I4791" t="str">
        <f>"061914008596"</f>
        <v>061914008596</v>
      </c>
    </row>
    <row r="4792" spans="1:9" x14ac:dyDescent="0.25">
      <c r="A4792" t="s">
        <v>4214</v>
      </c>
      <c r="B4792" t="s">
        <v>13</v>
      </c>
      <c r="C4792">
        <v>11.65</v>
      </c>
      <c r="D4792">
        <v>13.51</v>
      </c>
      <c r="E4792" t="s">
        <v>17</v>
      </c>
      <c r="F4792">
        <v>20.94</v>
      </c>
      <c r="G4792">
        <v>18.8</v>
      </c>
      <c r="H4792" t="s">
        <v>17</v>
      </c>
      <c r="I4792" t="str">
        <f>"061914002306"</f>
        <v>061914002306</v>
      </c>
    </row>
    <row r="4793" spans="1:9" x14ac:dyDescent="0.25">
      <c r="A4793" t="s">
        <v>4215</v>
      </c>
      <c r="B4793" t="s">
        <v>13</v>
      </c>
      <c r="C4793">
        <v>9.76</v>
      </c>
      <c r="D4793">
        <v>10.3</v>
      </c>
      <c r="E4793" t="s">
        <v>17</v>
      </c>
      <c r="F4793">
        <v>17.11</v>
      </c>
      <c r="G4793">
        <v>16.41</v>
      </c>
      <c r="H4793" t="s">
        <v>17</v>
      </c>
      <c r="I4793" t="str">
        <f>"061911002305"</f>
        <v>061911002305</v>
      </c>
    </row>
    <row r="4794" spans="1:9" x14ac:dyDescent="0.25">
      <c r="A4794" t="s">
        <v>4216</v>
      </c>
      <c r="B4794" t="s">
        <v>13</v>
      </c>
      <c r="C4794">
        <v>3.1</v>
      </c>
      <c r="D4794">
        <v>3.5</v>
      </c>
      <c r="E4794" t="s">
        <v>17</v>
      </c>
      <c r="F4794">
        <v>28.06</v>
      </c>
      <c r="G4794">
        <v>24.29</v>
      </c>
      <c r="H4794" t="s">
        <v>17</v>
      </c>
      <c r="I4794" t="str">
        <f>"061914008859"</f>
        <v>061914008859</v>
      </c>
    </row>
    <row r="4795" spans="1:9" x14ac:dyDescent="0.25">
      <c r="A4795" t="s">
        <v>4217</v>
      </c>
      <c r="B4795" t="s">
        <v>13</v>
      </c>
      <c r="C4795">
        <v>23</v>
      </c>
      <c r="D4795">
        <v>24</v>
      </c>
      <c r="E4795" t="s">
        <v>17</v>
      </c>
      <c r="F4795">
        <v>25.57</v>
      </c>
      <c r="G4795">
        <v>23.96</v>
      </c>
      <c r="H4795" t="s">
        <v>17</v>
      </c>
      <c r="I4795" t="str">
        <f>"062271012724"</f>
        <v>062271012724</v>
      </c>
    </row>
    <row r="4796" spans="1:9" x14ac:dyDescent="0.25">
      <c r="A4796" t="s">
        <v>4218</v>
      </c>
      <c r="B4796" t="s">
        <v>13</v>
      </c>
      <c r="C4796">
        <v>35.5</v>
      </c>
      <c r="D4796">
        <v>37.5</v>
      </c>
      <c r="E4796" t="s">
        <v>17</v>
      </c>
      <c r="F4796">
        <v>22.85</v>
      </c>
      <c r="G4796">
        <v>21.87</v>
      </c>
      <c r="H4796" t="s">
        <v>17</v>
      </c>
      <c r="I4796" t="str">
        <f>"060015811510"</f>
        <v>060015811510</v>
      </c>
    </row>
    <row r="4797" spans="1:9" x14ac:dyDescent="0.25">
      <c r="A4797" t="s">
        <v>4219</v>
      </c>
      <c r="B4797" t="s">
        <v>13</v>
      </c>
      <c r="C4797">
        <v>28</v>
      </c>
      <c r="D4797">
        <v>28.5</v>
      </c>
      <c r="E4797" t="s">
        <v>17</v>
      </c>
      <c r="F4797">
        <v>20.64</v>
      </c>
      <c r="G4797">
        <v>19.75</v>
      </c>
      <c r="H4797" t="s">
        <v>17</v>
      </c>
      <c r="I4797" t="str">
        <f>"061785002200"</f>
        <v>061785002200</v>
      </c>
    </row>
    <row r="4798" spans="1:9" x14ac:dyDescent="0.25">
      <c r="A4798" t="s">
        <v>4220</v>
      </c>
      <c r="B4798" t="s">
        <v>13</v>
      </c>
      <c r="C4798">
        <v>26.09</v>
      </c>
      <c r="D4798">
        <v>26.79</v>
      </c>
      <c r="E4798" t="s">
        <v>17</v>
      </c>
      <c r="F4798">
        <v>27.9</v>
      </c>
      <c r="G4798">
        <v>27.51</v>
      </c>
      <c r="H4798" t="s">
        <v>17</v>
      </c>
      <c r="I4798" t="str">
        <f>"061044009129"</f>
        <v>061044009129</v>
      </c>
    </row>
    <row r="4799" spans="1:9" x14ac:dyDescent="0.25">
      <c r="A4799" t="s">
        <v>4221</v>
      </c>
      <c r="B4799" t="s">
        <v>13</v>
      </c>
      <c r="C4799">
        <v>26</v>
      </c>
      <c r="D4799">
        <v>28</v>
      </c>
      <c r="E4799" t="s">
        <v>17</v>
      </c>
      <c r="F4799">
        <v>27.62</v>
      </c>
      <c r="G4799">
        <v>25.43</v>
      </c>
      <c r="H4799" t="s">
        <v>17</v>
      </c>
      <c r="I4799" t="str">
        <f>"062343007191"</f>
        <v>062343007191</v>
      </c>
    </row>
    <row r="4800" spans="1:9" x14ac:dyDescent="0.25">
      <c r="A4800" t="s">
        <v>4222</v>
      </c>
      <c r="B4800" t="s">
        <v>13</v>
      </c>
      <c r="C4800">
        <v>19</v>
      </c>
      <c r="D4800">
        <v>19</v>
      </c>
      <c r="E4800" t="s">
        <v>17</v>
      </c>
      <c r="F4800">
        <v>25.21</v>
      </c>
      <c r="G4800">
        <v>26.42</v>
      </c>
      <c r="H4800" t="s">
        <v>17</v>
      </c>
      <c r="I4800" t="str">
        <f>"062955007810"</f>
        <v>062955007810</v>
      </c>
    </row>
    <row r="4801" spans="1:9" x14ac:dyDescent="0.25">
      <c r="A4801" t="s">
        <v>4223</v>
      </c>
      <c r="B4801" t="s">
        <v>13</v>
      </c>
      <c r="C4801">
        <v>4.4000000000000004</v>
      </c>
      <c r="D4801">
        <v>4.5999999999999996</v>
      </c>
      <c r="E4801" t="s">
        <v>17</v>
      </c>
      <c r="F4801">
        <v>18.18</v>
      </c>
      <c r="G4801">
        <v>19.13</v>
      </c>
      <c r="H4801" t="s">
        <v>17</v>
      </c>
      <c r="I4801" t="str">
        <f>"061917002307"</f>
        <v>061917002307</v>
      </c>
    </row>
    <row r="4802" spans="1:9" x14ac:dyDescent="0.25">
      <c r="A4802" t="s">
        <v>4224</v>
      </c>
      <c r="B4802" t="s">
        <v>13</v>
      </c>
      <c r="C4802">
        <v>2</v>
      </c>
      <c r="D4802">
        <v>2</v>
      </c>
      <c r="E4802" t="s">
        <v>17</v>
      </c>
      <c r="F4802">
        <v>12</v>
      </c>
      <c r="G4802">
        <v>14.5</v>
      </c>
      <c r="H4802" t="s">
        <v>17</v>
      </c>
      <c r="I4802" t="str">
        <f>"061923002309"</f>
        <v>061923002309</v>
      </c>
    </row>
    <row r="4803" spans="1:9" x14ac:dyDescent="0.25">
      <c r="A4803" t="s">
        <v>4224</v>
      </c>
      <c r="B4803" t="s">
        <v>13</v>
      </c>
      <c r="C4803">
        <v>9.9499999999999993</v>
      </c>
      <c r="D4803">
        <v>8.9</v>
      </c>
      <c r="E4803" t="s">
        <v>17</v>
      </c>
      <c r="F4803">
        <v>17.39</v>
      </c>
      <c r="G4803">
        <v>19.21</v>
      </c>
      <c r="H4803" t="s">
        <v>17</v>
      </c>
      <c r="I4803" t="str">
        <f>"061920002308"</f>
        <v>061920002308</v>
      </c>
    </row>
    <row r="4804" spans="1:9" x14ac:dyDescent="0.25">
      <c r="A4804" t="s">
        <v>4224</v>
      </c>
      <c r="B4804" t="s">
        <v>13</v>
      </c>
      <c r="C4804">
        <v>29</v>
      </c>
      <c r="D4804">
        <v>28.5</v>
      </c>
      <c r="E4804" t="s">
        <v>17</v>
      </c>
      <c r="F4804">
        <v>24.52</v>
      </c>
      <c r="G4804">
        <v>23.79</v>
      </c>
      <c r="H4804" t="s">
        <v>17</v>
      </c>
      <c r="I4804" t="str">
        <f>"063360012329"</f>
        <v>063360012329</v>
      </c>
    </row>
    <row r="4805" spans="1:9" x14ac:dyDescent="0.25">
      <c r="A4805" t="s">
        <v>4225</v>
      </c>
      <c r="B4805" t="s">
        <v>13</v>
      </c>
      <c r="C4805">
        <v>4.25</v>
      </c>
      <c r="D4805">
        <v>4.2</v>
      </c>
      <c r="E4805" t="s">
        <v>17</v>
      </c>
      <c r="F4805">
        <v>25.65</v>
      </c>
      <c r="G4805">
        <v>24.29</v>
      </c>
      <c r="H4805" t="s">
        <v>17</v>
      </c>
      <c r="I4805" t="str">
        <f>"061920007292"</f>
        <v>061920007292</v>
      </c>
    </row>
    <row r="4806" spans="1:9" x14ac:dyDescent="0.25">
      <c r="A4806" t="s">
        <v>4226</v>
      </c>
      <c r="B4806" t="s">
        <v>13</v>
      </c>
      <c r="C4806">
        <v>37.25</v>
      </c>
      <c r="D4806">
        <v>35.119999999999997</v>
      </c>
      <c r="E4806" t="s">
        <v>17</v>
      </c>
      <c r="F4806">
        <v>21.66</v>
      </c>
      <c r="G4806">
        <v>22.44</v>
      </c>
      <c r="H4806" t="s">
        <v>17</v>
      </c>
      <c r="I4806" t="str">
        <f>"062211002622"</f>
        <v>062211002622</v>
      </c>
    </row>
    <row r="4807" spans="1:9" x14ac:dyDescent="0.25">
      <c r="A4807" t="s">
        <v>4227</v>
      </c>
      <c r="B4807" t="s">
        <v>13</v>
      </c>
      <c r="C4807">
        <v>11</v>
      </c>
      <c r="D4807">
        <v>11.5</v>
      </c>
      <c r="E4807" t="s">
        <v>17</v>
      </c>
      <c r="F4807">
        <v>20.45</v>
      </c>
      <c r="G4807">
        <v>19.649999999999999</v>
      </c>
      <c r="H4807" t="s">
        <v>17</v>
      </c>
      <c r="I4807" t="str">
        <f>"063204004927"</f>
        <v>063204004927</v>
      </c>
    </row>
    <row r="4808" spans="1:9" x14ac:dyDescent="0.25">
      <c r="A4808" t="s">
        <v>4228</v>
      </c>
      <c r="B4808" t="s">
        <v>13</v>
      </c>
      <c r="C4808">
        <v>29</v>
      </c>
      <c r="D4808">
        <v>33</v>
      </c>
      <c r="E4808" t="s">
        <v>17</v>
      </c>
      <c r="F4808">
        <v>26.24</v>
      </c>
      <c r="G4808">
        <v>22.76</v>
      </c>
      <c r="H4808" t="s">
        <v>17</v>
      </c>
      <c r="I4808" t="str">
        <f>"061288001458"</f>
        <v>061288001458</v>
      </c>
    </row>
    <row r="4809" spans="1:9" x14ac:dyDescent="0.25">
      <c r="A4809" t="s">
        <v>4228</v>
      </c>
      <c r="B4809" t="s">
        <v>13</v>
      </c>
      <c r="C4809">
        <v>20</v>
      </c>
      <c r="D4809">
        <v>20</v>
      </c>
      <c r="E4809" t="s">
        <v>17</v>
      </c>
      <c r="F4809">
        <v>28.1</v>
      </c>
      <c r="G4809">
        <v>29.8</v>
      </c>
      <c r="H4809" t="s">
        <v>17</v>
      </c>
      <c r="I4809" t="str">
        <f>"060001409075"</f>
        <v>060001409075</v>
      </c>
    </row>
    <row r="4810" spans="1:9" x14ac:dyDescent="0.25">
      <c r="A4810" t="s">
        <v>4228</v>
      </c>
      <c r="B4810" t="s">
        <v>13</v>
      </c>
      <c r="C4810">
        <v>21.58</v>
      </c>
      <c r="D4810">
        <v>21.59</v>
      </c>
      <c r="E4810" t="s">
        <v>17</v>
      </c>
      <c r="F4810">
        <v>26.74</v>
      </c>
      <c r="G4810">
        <v>27.61</v>
      </c>
      <c r="H4810" t="s">
        <v>17</v>
      </c>
      <c r="I4810" t="str">
        <f>"061392001591"</f>
        <v>061392001591</v>
      </c>
    </row>
    <row r="4811" spans="1:9" x14ac:dyDescent="0.25">
      <c r="A4811" t="s">
        <v>4229</v>
      </c>
      <c r="B4811" t="s">
        <v>13</v>
      </c>
      <c r="C4811">
        <v>35.090000000000003</v>
      </c>
      <c r="D4811">
        <v>39</v>
      </c>
      <c r="E4811" t="s">
        <v>17</v>
      </c>
      <c r="F4811">
        <v>21.89</v>
      </c>
      <c r="G4811">
        <v>22.54</v>
      </c>
      <c r="H4811" t="s">
        <v>17</v>
      </c>
      <c r="I4811" t="str">
        <f>"062958008172"</f>
        <v>062958008172</v>
      </c>
    </row>
    <row r="4812" spans="1:9" x14ac:dyDescent="0.25">
      <c r="A4812" t="s">
        <v>4230</v>
      </c>
      <c r="B4812" t="s">
        <v>13</v>
      </c>
      <c r="C4812">
        <v>1</v>
      </c>
      <c r="D4812">
        <v>1</v>
      </c>
      <c r="E4812" t="s">
        <v>17</v>
      </c>
      <c r="F4812">
        <v>8</v>
      </c>
      <c r="G4812">
        <v>8</v>
      </c>
      <c r="H4812" t="s">
        <v>17</v>
      </c>
      <c r="I4812" t="str">
        <f>"063183004912"</f>
        <v>063183004912</v>
      </c>
    </row>
    <row r="4813" spans="1:9" x14ac:dyDescent="0.25">
      <c r="A4813" t="s">
        <v>4231</v>
      </c>
      <c r="B4813" t="s">
        <v>13</v>
      </c>
      <c r="C4813">
        <v>2</v>
      </c>
      <c r="D4813">
        <v>2.9</v>
      </c>
      <c r="E4813" t="s">
        <v>17</v>
      </c>
      <c r="F4813">
        <v>22.5</v>
      </c>
      <c r="G4813">
        <v>18.97</v>
      </c>
      <c r="H4813" t="s">
        <v>17</v>
      </c>
      <c r="I4813" t="str">
        <f>"063183012277"</f>
        <v>063183012277</v>
      </c>
    </row>
    <row r="4814" spans="1:9" x14ac:dyDescent="0.25">
      <c r="A4814" t="s">
        <v>4232</v>
      </c>
      <c r="B4814" t="s">
        <v>13</v>
      </c>
      <c r="C4814">
        <v>16</v>
      </c>
      <c r="D4814">
        <v>17</v>
      </c>
      <c r="E4814" t="s">
        <v>17</v>
      </c>
      <c r="F4814">
        <v>21.63</v>
      </c>
      <c r="G4814">
        <v>21.29</v>
      </c>
      <c r="H4814" t="s">
        <v>17</v>
      </c>
      <c r="I4814" t="str">
        <f>"063753006345"</f>
        <v>063753006345</v>
      </c>
    </row>
    <row r="4815" spans="1:9" x14ac:dyDescent="0.25">
      <c r="A4815" t="s">
        <v>4232</v>
      </c>
      <c r="B4815" t="s">
        <v>13</v>
      </c>
      <c r="C4815">
        <v>23.55</v>
      </c>
      <c r="D4815">
        <v>22.41</v>
      </c>
      <c r="E4815" t="s">
        <v>17</v>
      </c>
      <c r="F4815">
        <v>23.74</v>
      </c>
      <c r="G4815">
        <v>23.78</v>
      </c>
      <c r="H4815" t="s">
        <v>17</v>
      </c>
      <c r="I4815" t="str">
        <f>"064098006766"</f>
        <v>064098006766</v>
      </c>
    </row>
    <row r="4816" spans="1:9" x14ac:dyDescent="0.25">
      <c r="A4816" t="s">
        <v>4233</v>
      </c>
      <c r="B4816" t="s">
        <v>13</v>
      </c>
      <c r="C4816">
        <v>11.57</v>
      </c>
      <c r="D4816">
        <v>15.32</v>
      </c>
      <c r="E4816" t="s">
        <v>17</v>
      </c>
      <c r="F4816">
        <v>17.72</v>
      </c>
      <c r="G4816">
        <v>12.53</v>
      </c>
      <c r="H4816" t="s">
        <v>17</v>
      </c>
      <c r="I4816" t="str">
        <f>"060744000703"</f>
        <v>060744000703</v>
      </c>
    </row>
    <row r="4817" spans="1:9" x14ac:dyDescent="0.25">
      <c r="A4817" t="s">
        <v>4234</v>
      </c>
      <c r="B4817" t="s">
        <v>13</v>
      </c>
      <c r="C4817">
        <v>88.11</v>
      </c>
      <c r="D4817">
        <v>72.42</v>
      </c>
      <c r="E4817" t="s">
        <v>17</v>
      </c>
      <c r="F4817">
        <v>22.18</v>
      </c>
      <c r="G4817">
        <v>21.84</v>
      </c>
      <c r="H4817" t="s">
        <v>17</v>
      </c>
      <c r="I4817" t="str">
        <f>"061392012517"</f>
        <v>061392012517</v>
      </c>
    </row>
    <row r="4818" spans="1:9" x14ac:dyDescent="0.25">
      <c r="A4818" t="s">
        <v>4235</v>
      </c>
      <c r="B4818" t="s">
        <v>13</v>
      </c>
      <c r="C4818">
        <v>45.21</v>
      </c>
      <c r="D4818">
        <v>44.14</v>
      </c>
      <c r="E4818" t="s">
        <v>17</v>
      </c>
      <c r="F4818">
        <v>26.45</v>
      </c>
      <c r="G4818">
        <v>26.98</v>
      </c>
      <c r="H4818" t="s">
        <v>17</v>
      </c>
      <c r="I4818" t="str">
        <f>"061926002312"</f>
        <v>061926002312</v>
      </c>
    </row>
    <row r="4819" spans="1:9" x14ac:dyDescent="0.25">
      <c r="A4819" t="s">
        <v>4236</v>
      </c>
      <c r="B4819" t="s">
        <v>13</v>
      </c>
      <c r="C4819" t="s">
        <v>17</v>
      </c>
      <c r="D4819" t="s">
        <v>14</v>
      </c>
      <c r="E4819" t="s">
        <v>14</v>
      </c>
      <c r="F4819" t="s">
        <v>17</v>
      </c>
      <c r="G4819" t="s">
        <v>14</v>
      </c>
      <c r="H4819" t="s">
        <v>14</v>
      </c>
      <c r="I4819" t="str">
        <f>"061926013411"</f>
        <v>061926013411</v>
      </c>
    </row>
    <row r="4820" spans="1:9" x14ac:dyDescent="0.25">
      <c r="A4820" t="s">
        <v>4237</v>
      </c>
      <c r="B4820" t="s">
        <v>13</v>
      </c>
      <c r="C4820">
        <v>72.81</v>
      </c>
      <c r="D4820">
        <v>76.83</v>
      </c>
      <c r="E4820" t="s">
        <v>17</v>
      </c>
      <c r="F4820">
        <v>22.73</v>
      </c>
      <c r="G4820">
        <v>24.39</v>
      </c>
      <c r="H4820" t="s">
        <v>17</v>
      </c>
      <c r="I4820" t="str">
        <f>"061926009556"</f>
        <v>061926009556</v>
      </c>
    </row>
    <row r="4821" spans="1:9" x14ac:dyDescent="0.25">
      <c r="A4821" t="s">
        <v>4238</v>
      </c>
      <c r="B4821" t="s">
        <v>13</v>
      </c>
      <c r="C4821">
        <v>27.5</v>
      </c>
      <c r="D4821">
        <v>27.5</v>
      </c>
      <c r="E4821" t="s">
        <v>17</v>
      </c>
      <c r="F4821">
        <v>22.91</v>
      </c>
      <c r="G4821">
        <v>23.31</v>
      </c>
      <c r="H4821" t="s">
        <v>17</v>
      </c>
      <c r="I4821" t="str">
        <f>"060939009767"</f>
        <v>060939009767</v>
      </c>
    </row>
    <row r="4822" spans="1:9" x14ac:dyDescent="0.25">
      <c r="A4822" t="s">
        <v>4239</v>
      </c>
      <c r="B4822" t="s">
        <v>13</v>
      </c>
      <c r="C4822">
        <v>16.5</v>
      </c>
      <c r="D4822">
        <v>17</v>
      </c>
      <c r="E4822" t="s">
        <v>17</v>
      </c>
      <c r="F4822">
        <v>25.15</v>
      </c>
      <c r="G4822">
        <v>23</v>
      </c>
      <c r="H4822" t="s">
        <v>17</v>
      </c>
      <c r="I4822" t="str">
        <f>"062271003111"</f>
        <v>062271003111</v>
      </c>
    </row>
    <row r="4823" spans="1:9" x14ac:dyDescent="0.25">
      <c r="A4823" t="s">
        <v>4240</v>
      </c>
      <c r="B4823" t="s">
        <v>13</v>
      </c>
      <c r="C4823">
        <v>12</v>
      </c>
      <c r="D4823">
        <v>12</v>
      </c>
      <c r="E4823" t="s">
        <v>17</v>
      </c>
      <c r="F4823">
        <v>24.67</v>
      </c>
      <c r="G4823">
        <v>27.83</v>
      </c>
      <c r="H4823" t="s">
        <v>17</v>
      </c>
      <c r="I4823" t="str">
        <f>"063684006257"</f>
        <v>063684006257</v>
      </c>
    </row>
    <row r="4824" spans="1:9" x14ac:dyDescent="0.25">
      <c r="A4824" t="s">
        <v>4241</v>
      </c>
      <c r="B4824" t="s">
        <v>13</v>
      </c>
      <c r="C4824">
        <v>3</v>
      </c>
      <c r="D4824">
        <v>3</v>
      </c>
      <c r="E4824" t="s">
        <v>17</v>
      </c>
      <c r="F4824">
        <v>17.329999999999998</v>
      </c>
      <c r="G4824">
        <v>13.33</v>
      </c>
      <c r="H4824" t="s">
        <v>17</v>
      </c>
      <c r="I4824" t="str">
        <f>"069101708131"</f>
        <v>069101708131</v>
      </c>
    </row>
    <row r="4825" spans="1:9" x14ac:dyDescent="0.25">
      <c r="A4825" t="s">
        <v>4242</v>
      </c>
      <c r="B4825" t="s">
        <v>13</v>
      </c>
      <c r="C4825" t="s">
        <v>14</v>
      </c>
      <c r="D4825" t="s">
        <v>14</v>
      </c>
      <c r="E4825" t="s">
        <v>17</v>
      </c>
      <c r="F4825" t="s">
        <v>14</v>
      </c>
      <c r="G4825" t="s">
        <v>14</v>
      </c>
      <c r="H4825" t="s">
        <v>17</v>
      </c>
      <c r="I4825" t="str">
        <f>"069100407377"</f>
        <v>069100407377</v>
      </c>
    </row>
    <row r="4826" spans="1:9" x14ac:dyDescent="0.25">
      <c r="A4826" t="s">
        <v>4243</v>
      </c>
      <c r="B4826" t="s">
        <v>13</v>
      </c>
      <c r="C4826">
        <v>2.42</v>
      </c>
      <c r="D4826">
        <v>1</v>
      </c>
      <c r="E4826" t="s">
        <v>17</v>
      </c>
      <c r="F4826">
        <v>11.16</v>
      </c>
      <c r="G4826">
        <v>24</v>
      </c>
      <c r="H4826" t="s">
        <v>17</v>
      </c>
      <c r="I4826" t="str">
        <f>"069109003303"</f>
        <v>069109003303</v>
      </c>
    </row>
    <row r="4827" spans="1:9" x14ac:dyDescent="0.25">
      <c r="A4827" t="s">
        <v>4244</v>
      </c>
      <c r="B4827" t="s">
        <v>13</v>
      </c>
      <c r="C4827">
        <v>26</v>
      </c>
      <c r="D4827">
        <v>26.6</v>
      </c>
      <c r="E4827" t="s">
        <v>17</v>
      </c>
      <c r="F4827">
        <v>30.19</v>
      </c>
      <c r="G4827">
        <v>30.41</v>
      </c>
      <c r="H4827" t="s">
        <v>17</v>
      </c>
      <c r="I4827" t="str">
        <f>"061336001523"</f>
        <v>061336001523</v>
      </c>
    </row>
    <row r="4828" spans="1:9" x14ac:dyDescent="0.25">
      <c r="A4828" t="s">
        <v>4245</v>
      </c>
      <c r="B4828" t="s">
        <v>13</v>
      </c>
      <c r="C4828">
        <v>11</v>
      </c>
      <c r="D4828">
        <v>11</v>
      </c>
      <c r="E4828" t="s">
        <v>17</v>
      </c>
      <c r="F4828">
        <v>24.64</v>
      </c>
      <c r="G4828">
        <v>25</v>
      </c>
      <c r="H4828" t="s">
        <v>17</v>
      </c>
      <c r="I4828" t="str">
        <f>"062805004273"</f>
        <v>062805004273</v>
      </c>
    </row>
    <row r="4829" spans="1:9" x14ac:dyDescent="0.25">
      <c r="A4829" t="s">
        <v>4246</v>
      </c>
      <c r="B4829" t="s">
        <v>13</v>
      </c>
      <c r="C4829">
        <v>35</v>
      </c>
      <c r="D4829">
        <v>33.5</v>
      </c>
      <c r="E4829" t="s">
        <v>17</v>
      </c>
      <c r="F4829">
        <v>29.03</v>
      </c>
      <c r="G4829">
        <v>30.66</v>
      </c>
      <c r="H4829" t="s">
        <v>17</v>
      </c>
      <c r="I4829" t="str">
        <f>"062922004508"</f>
        <v>062922004508</v>
      </c>
    </row>
    <row r="4830" spans="1:9" x14ac:dyDescent="0.25">
      <c r="A4830" t="s">
        <v>4247</v>
      </c>
      <c r="B4830" t="s">
        <v>13</v>
      </c>
      <c r="C4830" t="s">
        <v>14</v>
      </c>
      <c r="D4830" t="s">
        <v>14</v>
      </c>
      <c r="E4830" t="s">
        <v>17</v>
      </c>
      <c r="F4830" t="s">
        <v>14</v>
      </c>
      <c r="G4830" t="s">
        <v>14</v>
      </c>
      <c r="H4830" t="s">
        <v>17</v>
      </c>
      <c r="I4830" t="str">
        <f>"062316012320"</f>
        <v>062316012320</v>
      </c>
    </row>
    <row r="4831" spans="1:9" x14ac:dyDescent="0.25">
      <c r="A4831" t="s">
        <v>4248</v>
      </c>
      <c r="B4831" t="s">
        <v>13</v>
      </c>
      <c r="C4831">
        <v>21.5</v>
      </c>
      <c r="D4831">
        <v>23</v>
      </c>
      <c r="E4831" t="s">
        <v>17</v>
      </c>
      <c r="F4831">
        <v>28.51</v>
      </c>
      <c r="G4831">
        <v>26.83</v>
      </c>
      <c r="H4831" t="s">
        <v>17</v>
      </c>
      <c r="I4831" t="str">
        <f>"064140006845"</f>
        <v>064140006845</v>
      </c>
    </row>
    <row r="4832" spans="1:9" x14ac:dyDescent="0.25">
      <c r="A4832" t="s">
        <v>4249</v>
      </c>
      <c r="B4832" t="s">
        <v>13</v>
      </c>
      <c r="C4832">
        <v>1</v>
      </c>
      <c r="D4832" t="s">
        <v>17</v>
      </c>
      <c r="E4832" t="s">
        <v>17</v>
      </c>
      <c r="F4832">
        <v>11</v>
      </c>
      <c r="G4832" t="s">
        <v>17</v>
      </c>
      <c r="H4832" t="s">
        <v>17</v>
      </c>
      <c r="I4832" t="str">
        <f>"063234004985"</f>
        <v>063234004985</v>
      </c>
    </row>
    <row r="4833" spans="1:9" x14ac:dyDescent="0.25">
      <c r="A4833" t="s">
        <v>4250</v>
      </c>
      <c r="B4833" t="s">
        <v>13</v>
      </c>
      <c r="C4833">
        <v>41.35</v>
      </c>
      <c r="D4833">
        <v>44.72</v>
      </c>
      <c r="E4833" t="s">
        <v>17</v>
      </c>
      <c r="F4833">
        <v>27.04</v>
      </c>
      <c r="G4833">
        <v>24.58</v>
      </c>
      <c r="H4833" t="s">
        <v>17</v>
      </c>
      <c r="I4833" t="str">
        <f>"060903008810"</f>
        <v>060903008810</v>
      </c>
    </row>
    <row r="4834" spans="1:9" x14ac:dyDescent="0.25">
      <c r="A4834" t="s">
        <v>4251</v>
      </c>
      <c r="B4834" t="s">
        <v>13</v>
      </c>
      <c r="C4834">
        <v>96.21</v>
      </c>
      <c r="D4834">
        <v>97.22</v>
      </c>
      <c r="E4834" t="s">
        <v>17</v>
      </c>
      <c r="F4834">
        <v>27.92</v>
      </c>
      <c r="G4834">
        <v>28.45</v>
      </c>
      <c r="H4834" t="s">
        <v>17</v>
      </c>
      <c r="I4834" t="str">
        <f>"060263000176"</f>
        <v>060263000176</v>
      </c>
    </row>
    <row r="4835" spans="1:9" x14ac:dyDescent="0.25">
      <c r="A4835" t="s">
        <v>4252</v>
      </c>
      <c r="B4835" t="s">
        <v>13</v>
      </c>
      <c r="C4835">
        <v>35.19</v>
      </c>
      <c r="D4835">
        <v>36.119999999999997</v>
      </c>
      <c r="E4835" t="s">
        <v>17</v>
      </c>
      <c r="F4835">
        <v>17.79</v>
      </c>
      <c r="G4835">
        <v>24.67</v>
      </c>
      <c r="H4835" t="s">
        <v>17</v>
      </c>
      <c r="I4835" t="str">
        <f>"064245006937"</f>
        <v>064245006937</v>
      </c>
    </row>
    <row r="4836" spans="1:9" x14ac:dyDescent="0.25">
      <c r="A4836" t="s">
        <v>4253</v>
      </c>
      <c r="B4836" t="s">
        <v>13</v>
      </c>
      <c r="C4836">
        <v>16</v>
      </c>
      <c r="D4836">
        <v>18</v>
      </c>
      <c r="E4836" t="s">
        <v>17</v>
      </c>
      <c r="F4836">
        <v>27.44</v>
      </c>
      <c r="G4836">
        <v>26</v>
      </c>
      <c r="H4836" t="s">
        <v>17</v>
      </c>
      <c r="I4836" t="str">
        <f>"063684006258"</f>
        <v>063684006258</v>
      </c>
    </row>
    <row r="4837" spans="1:9" x14ac:dyDescent="0.25">
      <c r="A4837" t="s">
        <v>4254</v>
      </c>
      <c r="B4837" t="s">
        <v>13</v>
      </c>
      <c r="C4837">
        <v>23</v>
      </c>
      <c r="D4837">
        <v>22</v>
      </c>
      <c r="E4837" t="s">
        <v>17</v>
      </c>
      <c r="F4837">
        <v>28.26</v>
      </c>
      <c r="G4837">
        <v>29.59</v>
      </c>
      <c r="H4837" t="s">
        <v>17</v>
      </c>
      <c r="I4837" t="str">
        <f>"062955004567"</f>
        <v>062955004567</v>
      </c>
    </row>
    <row r="4838" spans="1:9" x14ac:dyDescent="0.25">
      <c r="A4838" t="s">
        <v>4255</v>
      </c>
      <c r="B4838" t="s">
        <v>13</v>
      </c>
      <c r="C4838">
        <v>58.62</v>
      </c>
      <c r="D4838">
        <v>56.77</v>
      </c>
      <c r="E4838" t="s">
        <v>17</v>
      </c>
      <c r="F4838">
        <v>23.46</v>
      </c>
      <c r="G4838">
        <v>23.82</v>
      </c>
      <c r="H4838" t="s">
        <v>17</v>
      </c>
      <c r="I4838" t="str">
        <f>"061233011066"</f>
        <v>061233011066</v>
      </c>
    </row>
    <row r="4839" spans="1:9" x14ac:dyDescent="0.25">
      <c r="A4839" t="s">
        <v>4256</v>
      </c>
      <c r="B4839" t="s">
        <v>13</v>
      </c>
      <c r="C4839">
        <v>27</v>
      </c>
      <c r="D4839">
        <v>29.65</v>
      </c>
      <c r="E4839" t="s">
        <v>17</v>
      </c>
      <c r="F4839">
        <v>25.59</v>
      </c>
      <c r="G4839">
        <v>23</v>
      </c>
      <c r="H4839" t="s">
        <v>17</v>
      </c>
      <c r="I4839" t="str">
        <f>"061314001496"</f>
        <v>061314001496</v>
      </c>
    </row>
    <row r="4840" spans="1:9" x14ac:dyDescent="0.25">
      <c r="A4840" t="s">
        <v>4257</v>
      </c>
      <c r="B4840" t="s">
        <v>13</v>
      </c>
      <c r="C4840">
        <v>17.5</v>
      </c>
      <c r="D4840">
        <v>18</v>
      </c>
      <c r="E4840" t="s">
        <v>17</v>
      </c>
      <c r="F4840">
        <v>28.51</v>
      </c>
      <c r="G4840">
        <v>26.22</v>
      </c>
      <c r="H4840" t="s">
        <v>17</v>
      </c>
      <c r="I4840" t="str">
        <f>"063543006041"</f>
        <v>063543006041</v>
      </c>
    </row>
    <row r="4841" spans="1:9" x14ac:dyDescent="0.25">
      <c r="A4841" t="s">
        <v>4258</v>
      </c>
      <c r="B4841" t="s">
        <v>13</v>
      </c>
      <c r="C4841">
        <v>19.510000000000002</v>
      </c>
      <c r="D4841">
        <v>19.5</v>
      </c>
      <c r="E4841" t="s">
        <v>17</v>
      </c>
      <c r="F4841">
        <v>28.45</v>
      </c>
      <c r="G4841">
        <v>27.23</v>
      </c>
      <c r="H4841" t="s">
        <v>17</v>
      </c>
      <c r="I4841" t="str">
        <f>"061392011962"</f>
        <v>061392011962</v>
      </c>
    </row>
    <row r="4842" spans="1:9" x14ac:dyDescent="0.25">
      <c r="A4842" t="s">
        <v>4259</v>
      </c>
      <c r="B4842" t="s">
        <v>13</v>
      </c>
      <c r="C4842" t="s">
        <v>14</v>
      </c>
      <c r="D4842" t="s">
        <v>14</v>
      </c>
      <c r="E4842" t="s">
        <v>17</v>
      </c>
      <c r="F4842" t="s">
        <v>14</v>
      </c>
      <c r="G4842" t="s">
        <v>14</v>
      </c>
      <c r="H4842" t="s">
        <v>17</v>
      </c>
      <c r="I4842" t="str">
        <f>"062676004053"</f>
        <v>062676004053</v>
      </c>
    </row>
    <row r="4843" spans="1:9" x14ac:dyDescent="0.25">
      <c r="A4843" t="s">
        <v>4260</v>
      </c>
      <c r="B4843" t="s">
        <v>13</v>
      </c>
      <c r="C4843" t="s">
        <v>17</v>
      </c>
      <c r="D4843" t="s">
        <v>14</v>
      </c>
      <c r="E4843" t="s">
        <v>14</v>
      </c>
      <c r="F4843" t="s">
        <v>17</v>
      </c>
      <c r="G4843" t="s">
        <v>14</v>
      </c>
      <c r="H4843" t="s">
        <v>14</v>
      </c>
      <c r="I4843" t="str">
        <f>"063432013201"</f>
        <v>063432013201</v>
      </c>
    </row>
    <row r="4844" spans="1:9" x14ac:dyDescent="0.25">
      <c r="A4844" t="s">
        <v>4261</v>
      </c>
      <c r="B4844" t="s">
        <v>13</v>
      </c>
      <c r="C4844">
        <v>19.350000000000001</v>
      </c>
      <c r="D4844">
        <v>19.8</v>
      </c>
      <c r="E4844" t="s">
        <v>17</v>
      </c>
      <c r="F4844">
        <v>23</v>
      </c>
      <c r="G4844">
        <v>21.11</v>
      </c>
      <c r="H4844" t="s">
        <v>17</v>
      </c>
      <c r="I4844" t="str">
        <f>"060438000394"</f>
        <v>060438000394</v>
      </c>
    </row>
    <row r="4845" spans="1:9" x14ac:dyDescent="0.25">
      <c r="A4845" t="s">
        <v>4262</v>
      </c>
      <c r="B4845" t="s">
        <v>13</v>
      </c>
      <c r="C4845" t="s">
        <v>17</v>
      </c>
      <c r="D4845" t="s">
        <v>17</v>
      </c>
      <c r="E4845" t="s">
        <v>17</v>
      </c>
      <c r="F4845" t="s">
        <v>17</v>
      </c>
      <c r="G4845" t="s">
        <v>17</v>
      </c>
      <c r="H4845" t="s">
        <v>17</v>
      </c>
      <c r="I4845" t="str">
        <f>"061323001505"</f>
        <v>061323001505</v>
      </c>
    </row>
    <row r="4846" spans="1:9" x14ac:dyDescent="0.25">
      <c r="A4846" t="s">
        <v>4263</v>
      </c>
      <c r="B4846" t="s">
        <v>13</v>
      </c>
      <c r="C4846" t="s">
        <v>17</v>
      </c>
      <c r="D4846" t="s">
        <v>14</v>
      </c>
      <c r="E4846" t="s">
        <v>14</v>
      </c>
      <c r="F4846" t="s">
        <v>17</v>
      </c>
      <c r="G4846" t="s">
        <v>14</v>
      </c>
      <c r="H4846" t="s">
        <v>14</v>
      </c>
      <c r="I4846" t="str">
        <f>"061970013511"</f>
        <v>061970013511</v>
      </c>
    </row>
    <row r="4847" spans="1:9" x14ac:dyDescent="0.25">
      <c r="A4847" t="s">
        <v>4264</v>
      </c>
      <c r="B4847" t="s">
        <v>13</v>
      </c>
      <c r="C4847">
        <v>21.04</v>
      </c>
      <c r="D4847">
        <v>21.52</v>
      </c>
      <c r="E4847" t="s">
        <v>17</v>
      </c>
      <c r="F4847">
        <v>17.11</v>
      </c>
      <c r="G4847">
        <v>18.96</v>
      </c>
      <c r="H4847" t="s">
        <v>17</v>
      </c>
      <c r="I4847" t="str">
        <f>"063432011148"</f>
        <v>063432011148</v>
      </c>
    </row>
    <row r="4848" spans="1:9" x14ac:dyDescent="0.25">
      <c r="A4848" t="s">
        <v>4265</v>
      </c>
      <c r="B4848" t="s">
        <v>13</v>
      </c>
      <c r="C4848">
        <v>18.37</v>
      </c>
      <c r="D4848">
        <v>24.66</v>
      </c>
      <c r="E4848" t="s">
        <v>17</v>
      </c>
      <c r="F4848">
        <v>24.12</v>
      </c>
      <c r="G4848">
        <v>18.53</v>
      </c>
      <c r="H4848" t="s">
        <v>17</v>
      </c>
      <c r="I4848" t="str">
        <f>"063432011145"</f>
        <v>063432011145</v>
      </c>
    </row>
    <row r="4849" spans="1:9" x14ac:dyDescent="0.25">
      <c r="A4849" t="s">
        <v>4266</v>
      </c>
      <c r="B4849" t="s">
        <v>13</v>
      </c>
      <c r="C4849">
        <v>18.68</v>
      </c>
      <c r="D4849">
        <v>19.170000000000002</v>
      </c>
      <c r="E4849" t="s">
        <v>17</v>
      </c>
      <c r="F4849">
        <v>23.18</v>
      </c>
      <c r="G4849">
        <v>24.1</v>
      </c>
      <c r="H4849" t="s">
        <v>17</v>
      </c>
      <c r="I4849" t="str">
        <f>"063432011147"</f>
        <v>063432011147</v>
      </c>
    </row>
    <row r="4850" spans="1:9" x14ac:dyDescent="0.25">
      <c r="A4850" t="s">
        <v>4267</v>
      </c>
      <c r="B4850" t="s">
        <v>13</v>
      </c>
      <c r="C4850">
        <v>21.08</v>
      </c>
      <c r="D4850">
        <v>20.09</v>
      </c>
      <c r="E4850" t="s">
        <v>17</v>
      </c>
      <c r="F4850">
        <v>17.739999999999998</v>
      </c>
      <c r="G4850">
        <v>21.06</v>
      </c>
      <c r="H4850" t="s">
        <v>17</v>
      </c>
      <c r="I4850" t="str">
        <f>"063432011146"</f>
        <v>063432011146</v>
      </c>
    </row>
    <row r="4851" spans="1:9" x14ac:dyDescent="0.25">
      <c r="A4851" t="s">
        <v>4268</v>
      </c>
      <c r="B4851" t="s">
        <v>13</v>
      </c>
      <c r="C4851">
        <v>5.2</v>
      </c>
      <c r="D4851">
        <v>4.3</v>
      </c>
      <c r="E4851" t="s">
        <v>17</v>
      </c>
      <c r="F4851">
        <v>15.96</v>
      </c>
      <c r="G4851">
        <v>19.77</v>
      </c>
      <c r="H4851" t="s">
        <v>17</v>
      </c>
      <c r="I4851" t="str">
        <f>"060002812568"</f>
        <v>060002812568</v>
      </c>
    </row>
    <row r="4852" spans="1:9" x14ac:dyDescent="0.25">
      <c r="A4852" t="s">
        <v>4269</v>
      </c>
      <c r="B4852" t="s">
        <v>13</v>
      </c>
      <c r="C4852">
        <v>25.5</v>
      </c>
      <c r="D4852">
        <v>20</v>
      </c>
      <c r="E4852" t="s">
        <v>17</v>
      </c>
      <c r="F4852">
        <v>19.14</v>
      </c>
      <c r="G4852">
        <v>19.899999999999999</v>
      </c>
      <c r="H4852" t="s">
        <v>17</v>
      </c>
      <c r="I4852" t="str">
        <f>"063432005492"</f>
        <v>063432005492</v>
      </c>
    </row>
    <row r="4853" spans="1:9" x14ac:dyDescent="0.25">
      <c r="A4853" t="s">
        <v>4270</v>
      </c>
      <c r="B4853" t="s">
        <v>13</v>
      </c>
      <c r="C4853">
        <v>1</v>
      </c>
      <c r="D4853">
        <v>1</v>
      </c>
      <c r="E4853" t="s">
        <v>17</v>
      </c>
      <c r="F4853">
        <v>8</v>
      </c>
      <c r="G4853">
        <v>6</v>
      </c>
      <c r="H4853" t="s">
        <v>17</v>
      </c>
      <c r="I4853" t="str">
        <f>"060140904490"</f>
        <v>060140904490</v>
      </c>
    </row>
    <row r="4854" spans="1:9" x14ac:dyDescent="0.25">
      <c r="A4854" t="s">
        <v>4271</v>
      </c>
      <c r="B4854" t="s">
        <v>13</v>
      </c>
      <c r="C4854">
        <v>1</v>
      </c>
      <c r="D4854">
        <v>1</v>
      </c>
      <c r="E4854" t="s">
        <v>17</v>
      </c>
      <c r="F4854">
        <v>190</v>
      </c>
      <c r="G4854">
        <v>181</v>
      </c>
      <c r="H4854" t="s">
        <v>17</v>
      </c>
      <c r="I4854" t="str">
        <f>"060002712094"</f>
        <v>060002712094</v>
      </c>
    </row>
    <row r="4855" spans="1:9" x14ac:dyDescent="0.25">
      <c r="A4855" t="s">
        <v>4272</v>
      </c>
      <c r="B4855" t="s">
        <v>13</v>
      </c>
      <c r="C4855" t="s">
        <v>14</v>
      </c>
      <c r="D4855">
        <v>16.5</v>
      </c>
      <c r="E4855" t="s">
        <v>17</v>
      </c>
      <c r="F4855" t="s">
        <v>17</v>
      </c>
      <c r="G4855">
        <v>21.94</v>
      </c>
      <c r="H4855" t="s">
        <v>17</v>
      </c>
      <c r="I4855" t="str">
        <f>"062250002729"</f>
        <v>062250002729</v>
      </c>
    </row>
    <row r="4856" spans="1:9" x14ac:dyDescent="0.25">
      <c r="A4856" t="s">
        <v>4273</v>
      </c>
      <c r="B4856" t="s">
        <v>13</v>
      </c>
      <c r="C4856">
        <v>25.47</v>
      </c>
      <c r="D4856">
        <v>24.25</v>
      </c>
      <c r="E4856" t="s">
        <v>17</v>
      </c>
      <c r="F4856">
        <v>28.66</v>
      </c>
      <c r="G4856">
        <v>29.73</v>
      </c>
      <c r="H4856" t="s">
        <v>17</v>
      </c>
      <c r="I4856" t="str">
        <f>"063237004993"</f>
        <v>063237004993</v>
      </c>
    </row>
    <row r="4857" spans="1:9" x14ac:dyDescent="0.25">
      <c r="A4857" t="s">
        <v>4274</v>
      </c>
      <c r="B4857" t="s">
        <v>13</v>
      </c>
      <c r="C4857">
        <v>19</v>
      </c>
      <c r="D4857">
        <v>18.5</v>
      </c>
      <c r="E4857" t="s">
        <v>17</v>
      </c>
      <c r="F4857">
        <v>17.21</v>
      </c>
      <c r="G4857">
        <v>18.920000000000002</v>
      </c>
      <c r="H4857" t="s">
        <v>17</v>
      </c>
      <c r="I4857" t="str">
        <f>"060861000864"</f>
        <v>060861000864</v>
      </c>
    </row>
    <row r="4858" spans="1:9" x14ac:dyDescent="0.25">
      <c r="A4858" t="s">
        <v>4275</v>
      </c>
      <c r="B4858" t="s">
        <v>13</v>
      </c>
      <c r="C4858">
        <v>18</v>
      </c>
      <c r="D4858">
        <v>17.5</v>
      </c>
      <c r="E4858" t="s">
        <v>17</v>
      </c>
      <c r="F4858">
        <v>20.67</v>
      </c>
      <c r="G4858">
        <v>21.03</v>
      </c>
      <c r="H4858" t="s">
        <v>17</v>
      </c>
      <c r="I4858" t="str">
        <f>"061551001973"</f>
        <v>061551001973</v>
      </c>
    </row>
    <row r="4859" spans="1:9" x14ac:dyDescent="0.25">
      <c r="A4859" t="s">
        <v>4276</v>
      </c>
      <c r="B4859" t="s">
        <v>13</v>
      </c>
      <c r="C4859">
        <v>16.5</v>
      </c>
      <c r="D4859">
        <v>16</v>
      </c>
      <c r="E4859" t="s">
        <v>17</v>
      </c>
      <c r="F4859">
        <v>23.94</v>
      </c>
      <c r="G4859">
        <v>23.56</v>
      </c>
      <c r="H4859" t="s">
        <v>17</v>
      </c>
      <c r="I4859" t="str">
        <f>"063132004847"</f>
        <v>063132004847</v>
      </c>
    </row>
    <row r="4860" spans="1:9" x14ac:dyDescent="0.25">
      <c r="A4860" t="s">
        <v>4277</v>
      </c>
      <c r="B4860" t="s">
        <v>13</v>
      </c>
      <c r="C4860">
        <v>30.5</v>
      </c>
      <c r="D4860">
        <v>30</v>
      </c>
      <c r="E4860" t="s">
        <v>17</v>
      </c>
      <c r="F4860">
        <v>29.44</v>
      </c>
      <c r="G4860">
        <v>28.6</v>
      </c>
      <c r="H4860" t="s">
        <v>17</v>
      </c>
      <c r="I4860" t="str">
        <f>"060962000984"</f>
        <v>060962000984</v>
      </c>
    </row>
    <row r="4861" spans="1:9" x14ac:dyDescent="0.25">
      <c r="A4861" t="s">
        <v>4277</v>
      </c>
      <c r="B4861" t="s">
        <v>13</v>
      </c>
      <c r="C4861">
        <v>15.8</v>
      </c>
      <c r="D4861">
        <v>19</v>
      </c>
      <c r="E4861" t="s">
        <v>17</v>
      </c>
      <c r="F4861">
        <v>26.33</v>
      </c>
      <c r="G4861">
        <v>23.63</v>
      </c>
      <c r="H4861" t="s">
        <v>17</v>
      </c>
      <c r="I4861" t="str">
        <f>"060750000711"</f>
        <v>060750000711</v>
      </c>
    </row>
    <row r="4862" spans="1:9" x14ac:dyDescent="0.25">
      <c r="A4862" t="s">
        <v>4278</v>
      </c>
      <c r="B4862" t="s">
        <v>13</v>
      </c>
      <c r="C4862">
        <v>1</v>
      </c>
      <c r="D4862" t="str">
        <f>"0.25"</f>
        <v>0.25</v>
      </c>
      <c r="E4862" t="s">
        <v>17</v>
      </c>
      <c r="F4862">
        <v>9</v>
      </c>
      <c r="G4862">
        <v>20</v>
      </c>
      <c r="H4862" t="s">
        <v>17</v>
      </c>
      <c r="I4862" t="str">
        <f>"061932010511"</f>
        <v>061932010511</v>
      </c>
    </row>
    <row r="4863" spans="1:9" x14ac:dyDescent="0.25">
      <c r="A4863" t="s">
        <v>4279</v>
      </c>
      <c r="B4863" t="s">
        <v>13</v>
      </c>
      <c r="C4863">
        <v>17.25</v>
      </c>
      <c r="D4863">
        <v>24</v>
      </c>
      <c r="E4863" t="s">
        <v>17</v>
      </c>
      <c r="F4863">
        <v>26.72</v>
      </c>
      <c r="G4863">
        <v>20.13</v>
      </c>
      <c r="H4863" t="s">
        <v>17</v>
      </c>
      <c r="I4863" t="str">
        <f>"061932002324"</f>
        <v>061932002324</v>
      </c>
    </row>
    <row r="4864" spans="1:9" x14ac:dyDescent="0.25">
      <c r="A4864" t="s">
        <v>4280</v>
      </c>
      <c r="B4864" t="s">
        <v>13</v>
      </c>
      <c r="C4864" t="s">
        <v>17</v>
      </c>
      <c r="D4864" t="s">
        <v>17</v>
      </c>
      <c r="E4864" t="s">
        <v>17</v>
      </c>
      <c r="F4864" t="s">
        <v>17</v>
      </c>
      <c r="G4864" t="s">
        <v>17</v>
      </c>
      <c r="H4864" t="s">
        <v>17</v>
      </c>
      <c r="I4864" t="str">
        <f>"061932012505"</f>
        <v>061932012505</v>
      </c>
    </row>
    <row r="4865" spans="1:9" x14ac:dyDescent="0.25">
      <c r="A4865" t="s">
        <v>4281</v>
      </c>
      <c r="B4865" t="s">
        <v>13</v>
      </c>
      <c r="C4865">
        <v>24.5</v>
      </c>
      <c r="D4865">
        <v>24.75</v>
      </c>
      <c r="E4865" t="s">
        <v>17</v>
      </c>
      <c r="F4865">
        <v>22.78</v>
      </c>
      <c r="G4865">
        <v>22.79</v>
      </c>
      <c r="H4865" t="s">
        <v>17</v>
      </c>
      <c r="I4865" t="str">
        <f>"061932002325"</f>
        <v>061932002325</v>
      </c>
    </row>
    <row r="4866" spans="1:9" x14ac:dyDescent="0.25">
      <c r="A4866" t="s">
        <v>4282</v>
      </c>
      <c r="B4866" t="s">
        <v>13</v>
      </c>
      <c r="C4866">
        <v>23.25</v>
      </c>
      <c r="D4866">
        <v>24</v>
      </c>
      <c r="E4866" t="s">
        <v>17</v>
      </c>
      <c r="F4866">
        <v>30.75</v>
      </c>
      <c r="G4866">
        <v>29.67</v>
      </c>
      <c r="H4866" t="s">
        <v>17</v>
      </c>
      <c r="I4866" t="str">
        <f>"061839002255"</f>
        <v>061839002255</v>
      </c>
    </row>
    <row r="4867" spans="1:9" x14ac:dyDescent="0.25">
      <c r="A4867" t="s">
        <v>4283</v>
      </c>
      <c r="B4867" t="s">
        <v>13</v>
      </c>
      <c r="C4867">
        <v>23</v>
      </c>
      <c r="D4867">
        <v>25</v>
      </c>
      <c r="E4867" t="s">
        <v>17</v>
      </c>
      <c r="F4867">
        <v>31.43</v>
      </c>
      <c r="G4867">
        <v>30.08</v>
      </c>
      <c r="H4867" t="s">
        <v>17</v>
      </c>
      <c r="I4867" t="str">
        <f>"062025002430"</f>
        <v>062025002430</v>
      </c>
    </row>
    <row r="4868" spans="1:9" x14ac:dyDescent="0.25">
      <c r="A4868" t="s">
        <v>4284</v>
      </c>
      <c r="B4868" t="s">
        <v>13</v>
      </c>
      <c r="C4868">
        <v>22</v>
      </c>
      <c r="D4868">
        <v>23</v>
      </c>
      <c r="E4868" t="s">
        <v>17</v>
      </c>
      <c r="F4868">
        <v>19.59</v>
      </c>
      <c r="G4868">
        <v>19.57</v>
      </c>
      <c r="H4868" t="s">
        <v>17</v>
      </c>
      <c r="I4868" t="str">
        <f>"063417005363"</f>
        <v>063417005363</v>
      </c>
    </row>
    <row r="4869" spans="1:9" x14ac:dyDescent="0.25">
      <c r="A4869" t="s">
        <v>4285</v>
      </c>
      <c r="B4869" t="s">
        <v>13</v>
      </c>
      <c r="C4869">
        <v>39.549999999999997</v>
      </c>
      <c r="D4869">
        <v>41.9</v>
      </c>
      <c r="E4869" t="s">
        <v>17</v>
      </c>
      <c r="F4869">
        <v>22.71</v>
      </c>
      <c r="G4869">
        <v>22.03</v>
      </c>
      <c r="H4869" t="s">
        <v>17</v>
      </c>
      <c r="I4869" t="str">
        <f>"063025004718"</f>
        <v>063025004718</v>
      </c>
    </row>
    <row r="4870" spans="1:9" x14ac:dyDescent="0.25">
      <c r="A4870" t="s">
        <v>4286</v>
      </c>
      <c r="B4870" t="s">
        <v>13</v>
      </c>
      <c r="C4870">
        <v>25</v>
      </c>
      <c r="D4870">
        <v>28</v>
      </c>
      <c r="E4870" t="s">
        <v>17</v>
      </c>
      <c r="F4870">
        <v>25.12</v>
      </c>
      <c r="G4870">
        <v>22.29</v>
      </c>
      <c r="H4870" t="s">
        <v>17</v>
      </c>
      <c r="I4870" t="str">
        <f>"060369000332"</f>
        <v>060369000332</v>
      </c>
    </row>
    <row r="4871" spans="1:9" x14ac:dyDescent="0.25">
      <c r="A4871" t="s">
        <v>4287</v>
      </c>
      <c r="B4871" t="s">
        <v>13</v>
      </c>
      <c r="C4871">
        <v>20</v>
      </c>
      <c r="D4871">
        <v>18.5</v>
      </c>
      <c r="E4871" t="s">
        <v>17</v>
      </c>
      <c r="F4871">
        <v>22.15</v>
      </c>
      <c r="G4871">
        <v>23.84</v>
      </c>
      <c r="H4871" t="s">
        <v>17</v>
      </c>
      <c r="I4871" t="str">
        <f>"060162000019"</f>
        <v>060162000019</v>
      </c>
    </row>
    <row r="4872" spans="1:9" x14ac:dyDescent="0.25">
      <c r="A4872" t="s">
        <v>4288</v>
      </c>
      <c r="B4872" t="s">
        <v>13</v>
      </c>
      <c r="C4872">
        <v>16.73</v>
      </c>
      <c r="D4872">
        <v>24.17</v>
      </c>
      <c r="E4872" t="s">
        <v>17</v>
      </c>
      <c r="F4872">
        <v>29.71</v>
      </c>
      <c r="G4872">
        <v>23.79</v>
      </c>
      <c r="H4872" t="s">
        <v>17</v>
      </c>
      <c r="I4872" t="str">
        <f>"063801006420"</f>
        <v>063801006420</v>
      </c>
    </row>
    <row r="4873" spans="1:9" x14ac:dyDescent="0.25">
      <c r="A4873" t="s">
        <v>4288</v>
      </c>
      <c r="B4873" t="s">
        <v>13</v>
      </c>
      <c r="C4873">
        <v>18.5</v>
      </c>
      <c r="D4873">
        <v>20</v>
      </c>
      <c r="E4873" t="s">
        <v>14</v>
      </c>
      <c r="F4873">
        <v>25.84</v>
      </c>
      <c r="G4873">
        <v>23.15</v>
      </c>
      <c r="H4873" t="s">
        <v>14</v>
      </c>
      <c r="I4873" t="str">
        <f>"062187012815"</f>
        <v>062187012815</v>
      </c>
    </row>
    <row r="4874" spans="1:9" x14ac:dyDescent="0.25">
      <c r="A4874" t="s">
        <v>4289</v>
      </c>
      <c r="B4874" t="s">
        <v>13</v>
      </c>
      <c r="C4874">
        <v>24</v>
      </c>
      <c r="D4874">
        <v>22.7</v>
      </c>
      <c r="E4874" t="s">
        <v>17</v>
      </c>
      <c r="F4874">
        <v>25.29</v>
      </c>
      <c r="G4874">
        <v>26.34</v>
      </c>
      <c r="H4874" t="s">
        <v>17</v>
      </c>
      <c r="I4874" t="str">
        <f>"060690000638"</f>
        <v>060690000638</v>
      </c>
    </row>
    <row r="4875" spans="1:9" x14ac:dyDescent="0.25">
      <c r="A4875" t="s">
        <v>4290</v>
      </c>
      <c r="B4875" t="s">
        <v>13</v>
      </c>
      <c r="C4875">
        <v>38.299999999999997</v>
      </c>
      <c r="D4875">
        <v>52.66</v>
      </c>
      <c r="E4875" t="s">
        <v>17</v>
      </c>
      <c r="F4875">
        <v>21.33</v>
      </c>
      <c r="G4875">
        <v>16.77</v>
      </c>
      <c r="H4875" t="s">
        <v>17</v>
      </c>
      <c r="I4875" t="str">
        <f>"063255005037"</f>
        <v>063255005037</v>
      </c>
    </row>
    <row r="4876" spans="1:9" x14ac:dyDescent="0.25">
      <c r="A4876" t="s">
        <v>4291</v>
      </c>
      <c r="B4876" t="s">
        <v>13</v>
      </c>
      <c r="C4876">
        <v>18.670000000000002</v>
      </c>
      <c r="D4876">
        <v>18.95</v>
      </c>
      <c r="E4876" t="s">
        <v>17</v>
      </c>
      <c r="F4876">
        <v>20.78</v>
      </c>
      <c r="G4876">
        <v>20.53</v>
      </c>
      <c r="H4876" t="s">
        <v>17</v>
      </c>
      <c r="I4876" t="str">
        <f>"061203001336"</f>
        <v>061203001336</v>
      </c>
    </row>
    <row r="4877" spans="1:9" x14ac:dyDescent="0.25">
      <c r="A4877" t="s">
        <v>4292</v>
      </c>
      <c r="B4877" t="s">
        <v>13</v>
      </c>
      <c r="C4877">
        <v>20</v>
      </c>
      <c r="D4877">
        <v>22</v>
      </c>
      <c r="E4877" t="s">
        <v>17</v>
      </c>
      <c r="F4877">
        <v>28.05</v>
      </c>
      <c r="G4877">
        <v>25.41</v>
      </c>
      <c r="H4877" t="s">
        <v>17</v>
      </c>
      <c r="I4877" t="str">
        <f>"063255005038"</f>
        <v>063255005038</v>
      </c>
    </row>
    <row r="4878" spans="1:9" x14ac:dyDescent="0.25">
      <c r="A4878" t="s">
        <v>4293</v>
      </c>
      <c r="B4878" t="s">
        <v>13</v>
      </c>
      <c r="C4878">
        <v>22</v>
      </c>
      <c r="D4878">
        <v>21.5</v>
      </c>
      <c r="E4878" t="s">
        <v>17</v>
      </c>
      <c r="F4878">
        <v>25.36</v>
      </c>
      <c r="G4878">
        <v>25.53</v>
      </c>
      <c r="H4878" t="s">
        <v>17</v>
      </c>
      <c r="I4878" t="str">
        <f>"062271003113"</f>
        <v>062271003113</v>
      </c>
    </row>
    <row r="4879" spans="1:9" x14ac:dyDescent="0.25">
      <c r="A4879" t="s">
        <v>4294</v>
      </c>
      <c r="B4879" t="s">
        <v>13</v>
      </c>
      <c r="C4879">
        <v>17</v>
      </c>
      <c r="D4879">
        <v>17</v>
      </c>
      <c r="E4879" t="s">
        <v>17</v>
      </c>
      <c r="F4879">
        <v>22.06</v>
      </c>
      <c r="G4879">
        <v>22.29</v>
      </c>
      <c r="H4879" t="s">
        <v>17</v>
      </c>
      <c r="I4879" t="str">
        <f>"062271003114"</f>
        <v>062271003114</v>
      </c>
    </row>
    <row r="4880" spans="1:9" x14ac:dyDescent="0.25">
      <c r="A4880" t="s">
        <v>4295</v>
      </c>
      <c r="B4880" t="s">
        <v>13</v>
      </c>
      <c r="C4880">
        <v>11.9</v>
      </c>
      <c r="D4880">
        <v>11.77</v>
      </c>
      <c r="E4880" t="s">
        <v>17</v>
      </c>
      <c r="F4880">
        <v>13.7</v>
      </c>
      <c r="G4880">
        <v>12.74</v>
      </c>
      <c r="H4880" t="s">
        <v>17</v>
      </c>
      <c r="I4880" t="str">
        <f>"061941002330"</f>
        <v>061941002330</v>
      </c>
    </row>
    <row r="4881" spans="1:9" x14ac:dyDescent="0.25">
      <c r="A4881" t="s">
        <v>4296</v>
      </c>
      <c r="B4881" t="s">
        <v>13</v>
      </c>
      <c r="C4881" t="s">
        <v>17</v>
      </c>
      <c r="D4881" t="s">
        <v>14</v>
      </c>
      <c r="E4881" t="s">
        <v>14</v>
      </c>
      <c r="F4881" t="s">
        <v>17</v>
      </c>
      <c r="G4881" t="s">
        <v>14</v>
      </c>
      <c r="H4881" t="s">
        <v>14</v>
      </c>
      <c r="I4881" t="str">
        <f>"061455013508"</f>
        <v>061455013508</v>
      </c>
    </row>
    <row r="4882" spans="1:9" x14ac:dyDescent="0.25">
      <c r="A4882" t="s">
        <v>4297</v>
      </c>
      <c r="B4882" t="s">
        <v>13</v>
      </c>
      <c r="C4882">
        <v>12</v>
      </c>
      <c r="D4882">
        <v>12</v>
      </c>
      <c r="E4882" t="s">
        <v>17</v>
      </c>
      <c r="F4882">
        <v>29.5</v>
      </c>
      <c r="G4882">
        <v>28.58</v>
      </c>
      <c r="H4882" t="s">
        <v>17</v>
      </c>
      <c r="I4882" t="str">
        <f>"061944002331"</f>
        <v>061944002331</v>
      </c>
    </row>
    <row r="4883" spans="1:9" x14ac:dyDescent="0.25">
      <c r="A4883" t="s">
        <v>4298</v>
      </c>
      <c r="B4883" t="s">
        <v>13</v>
      </c>
      <c r="C4883">
        <v>51.74</v>
      </c>
      <c r="D4883">
        <v>55.12</v>
      </c>
      <c r="E4883" t="s">
        <v>17</v>
      </c>
      <c r="F4883">
        <v>23.83</v>
      </c>
      <c r="G4883">
        <v>22.53</v>
      </c>
      <c r="H4883" t="s">
        <v>17</v>
      </c>
      <c r="I4883" t="str">
        <f>"061949008866"</f>
        <v>061949008866</v>
      </c>
    </row>
    <row r="4884" spans="1:9" x14ac:dyDescent="0.25">
      <c r="A4884" t="s">
        <v>4299</v>
      </c>
      <c r="B4884" t="s">
        <v>13</v>
      </c>
      <c r="C4884">
        <v>29.54</v>
      </c>
      <c r="D4884">
        <v>28.07</v>
      </c>
      <c r="E4884" t="s">
        <v>17</v>
      </c>
      <c r="F4884">
        <v>24.58</v>
      </c>
      <c r="G4884">
        <v>26.29</v>
      </c>
      <c r="H4884" t="s">
        <v>17</v>
      </c>
      <c r="I4884" t="str">
        <f>"061949008868"</f>
        <v>061949008868</v>
      </c>
    </row>
    <row r="4885" spans="1:9" x14ac:dyDescent="0.25">
      <c r="A4885" t="s">
        <v>4300</v>
      </c>
      <c r="B4885" t="s">
        <v>13</v>
      </c>
      <c r="C4885">
        <v>25.01</v>
      </c>
      <c r="D4885">
        <v>24.01</v>
      </c>
      <c r="E4885" t="s">
        <v>17</v>
      </c>
      <c r="F4885">
        <v>26.71</v>
      </c>
      <c r="G4885">
        <v>27.91</v>
      </c>
      <c r="H4885" t="s">
        <v>17</v>
      </c>
      <c r="I4885" t="str">
        <f>"061949008867"</f>
        <v>061949008867</v>
      </c>
    </row>
    <row r="4886" spans="1:9" x14ac:dyDescent="0.25">
      <c r="A4886" t="s">
        <v>4301</v>
      </c>
      <c r="B4886" t="s">
        <v>13</v>
      </c>
      <c r="C4886">
        <v>15.6</v>
      </c>
      <c r="D4886">
        <v>17.41</v>
      </c>
      <c r="E4886" t="s">
        <v>17</v>
      </c>
      <c r="F4886">
        <v>30.19</v>
      </c>
      <c r="G4886">
        <v>28.66</v>
      </c>
      <c r="H4886" t="s">
        <v>17</v>
      </c>
      <c r="I4886" t="str">
        <f>"060004810396"</f>
        <v>060004810396</v>
      </c>
    </row>
    <row r="4887" spans="1:9" x14ac:dyDescent="0.25">
      <c r="A4887" t="s">
        <v>4302</v>
      </c>
      <c r="B4887" t="s">
        <v>13</v>
      </c>
      <c r="C4887">
        <v>17</v>
      </c>
      <c r="D4887">
        <v>17</v>
      </c>
      <c r="E4887" t="s">
        <v>17</v>
      </c>
      <c r="F4887">
        <v>21.18</v>
      </c>
      <c r="G4887">
        <v>21.12</v>
      </c>
      <c r="H4887" t="s">
        <v>17</v>
      </c>
      <c r="I4887" t="str">
        <f>"061626002030"</f>
        <v>061626002030</v>
      </c>
    </row>
    <row r="4888" spans="1:9" x14ac:dyDescent="0.25">
      <c r="A4888" t="s">
        <v>4303</v>
      </c>
      <c r="B4888" t="s">
        <v>13</v>
      </c>
      <c r="C4888">
        <v>51</v>
      </c>
      <c r="D4888">
        <v>52</v>
      </c>
      <c r="E4888" t="s">
        <v>17</v>
      </c>
      <c r="F4888">
        <v>21.57</v>
      </c>
      <c r="G4888">
        <v>21.33</v>
      </c>
      <c r="H4888" t="s">
        <v>17</v>
      </c>
      <c r="I4888" t="str">
        <f>"062423003646"</f>
        <v>062423003646</v>
      </c>
    </row>
    <row r="4889" spans="1:9" x14ac:dyDescent="0.25">
      <c r="A4889" t="s">
        <v>4304</v>
      </c>
      <c r="B4889" t="s">
        <v>13</v>
      </c>
      <c r="C4889">
        <v>73.599999999999994</v>
      </c>
      <c r="D4889">
        <v>87.75</v>
      </c>
      <c r="E4889" t="s">
        <v>17</v>
      </c>
      <c r="F4889">
        <v>19.13</v>
      </c>
      <c r="G4889">
        <v>16.59</v>
      </c>
      <c r="H4889" t="s">
        <v>17</v>
      </c>
      <c r="I4889" t="str">
        <f>"069101207502"</f>
        <v>069101207502</v>
      </c>
    </row>
    <row r="4890" spans="1:9" x14ac:dyDescent="0.25">
      <c r="A4890" t="s">
        <v>4305</v>
      </c>
      <c r="B4890" t="s">
        <v>13</v>
      </c>
      <c r="C4890">
        <v>25</v>
      </c>
      <c r="D4890">
        <v>25.6</v>
      </c>
      <c r="E4890" t="s">
        <v>17</v>
      </c>
      <c r="F4890">
        <v>15.28</v>
      </c>
      <c r="G4890">
        <v>12.58</v>
      </c>
      <c r="H4890" t="s">
        <v>17</v>
      </c>
      <c r="I4890" t="str">
        <f>"069101209226"</f>
        <v>069101209226</v>
      </c>
    </row>
    <row r="4891" spans="1:9" x14ac:dyDescent="0.25">
      <c r="A4891" t="s">
        <v>4306</v>
      </c>
      <c r="B4891" t="s">
        <v>13</v>
      </c>
      <c r="C4891" t="s">
        <v>17</v>
      </c>
      <c r="D4891" t="s">
        <v>17</v>
      </c>
      <c r="E4891" t="s">
        <v>17</v>
      </c>
      <c r="F4891" t="s">
        <v>17</v>
      </c>
      <c r="G4891" t="s">
        <v>17</v>
      </c>
      <c r="H4891" t="s">
        <v>17</v>
      </c>
      <c r="I4891" t="str">
        <f>"060007510813"</f>
        <v>060007510813</v>
      </c>
    </row>
    <row r="4892" spans="1:9" x14ac:dyDescent="0.25">
      <c r="A4892" t="s">
        <v>4307</v>
      </c>
      <c r="B4892" t="s">
        <v>13</v>
      </c>
      <c r="C4892">
        <v>75.2</v>
      </c>
      <c r="D4892">
        <v>84.2</v>
      </c>
      <c r="E4892" t="s">
        <v>17</v>
      </c>
      <c r="F4892">
        <v>7.23</v>
      </c>
      <c r="G4892">
        <v>6.48</v>
      </c>
      <c r="H4892" t="s">
        <v>17</v>
      </c>
      <c r="I4892" t="str">
        <f>"069101207112"</f>
        <v>069101207112</v>
      </c>
    </row>
    <row r="4893" spans="1:9" x14ac:dyDescent="0.25">
      <c r="A4893" t="s">
        <v>4308</v>
      </c>
      <c r="B4893" t="s">
        <v>13</v>
      </c>
      <c r="C4893" t="s">
        <v>17</v>
      </c>
      <c r="D4893" t="s">
        <v>17</v>
      </c>
      <c r="E4893" t="s">
        <v>17</v>
      </c>
      <c r="F4893" t="s">
        <v>17</v>
      </c>
      <c r="G4893" t="s">
        <v>17</v>
      </c>
      <c r="H4893" t="s">
        <v>17</v>
      </c>
      <c r="I4893" t="str">
        <f>"060007610814"</f>
        <v>060007610814</v>
      </c>
    </row>
    <row r="4894" spans="1:9" x14ac:dyDescent="0.25">
      <c r="A4894" t="s">
        <v>4309</v>
      </c>
      <c r="B4894" t="s">
        <v>13</v>
      </c>
      <c r="C4894">
        <v>23.69</v>
      </c>
      <c r="D4894">
        <v>25.52</v>
      </c>
      <c r="E4894" t="s">
        <v>17</v>
      </c>
      <c r="F4894">
        <v>20.09</v>
      </c>
      <c r="G4894">
        <v>20.81</v>
      </c>
      <c r="H4894" t="s">
        <v>17</v>
      </c>
      <c r="I4894" t="str">
        <f>"061954002347"</f>
        <v>061954002347</v>
      </c>
    </row>
    <row r="4895" spans="1:9" x14ac:dyDescent="0.25">
      <c r="A4895" t="s">
        <v>4310</v>
      </c>
      <c r="B4895" t="s">
        <v>13</v>
      </c>
      <c r="C4895">
        <v>15.45</v>
      </c>
      <c r="D4895">
        <v>40.090000000000003</v>
      </c>
      <c r="E4895" t="s">
        <v>17</v>
      </c>
      <c r="F4895">
        <v>22.72</v>
      </c>
      <c r="G4895">
        <v>10.63</v>
      </c>
      <c r="H4895" t="s">
        <v>17</v>
      </c>
      <c r="I4895" t="str">
        <f>"061954004529"</f>
        <v>061954004529</v>
      </c>
    </row>
    <row r="4896" spans="1:9" x14ac:dyDescent="0.25">
      <c r="A4896" t="s">
        <v>4311</v>
      </c>
      <c r="B4896" t="s">
        <v>13</v>
      </c>
      <c r="C4896">
        <v>4</v>
      </c>
      <c r="D4896">
        <v>4</v>
      </c>
      <c r="E4896" t="s">
        <v>17</v>
      </c>
      <c r="F4896">
        <v>22.75</v>
      </c>
      <c r="G4896">
        <v>23.25</v>
      </c>
      <c r="H4896" t="s">
        <v>17</v>
      </c>
      <c r="I4896" t="str">
        <f>"061959002357"</f>
        <v>061959002357</v>
      </c>
    </row>
    <row r="4897" spans="1:9" x14ac:dyDescent="0.25">
      <c r="A4897" t="s">
        <v>4312</v>
      </c>
      <c r="B4897" t="s">
        <v>13</v>
      </c>
      <c r="C4897">
        <v>37</v>
      </c>
      <c r="D4897">
        <v>37.5</v>
      </c>
      <c r="E4897" t="s">
        <v>17</v>
      </c>
      <c r="F4897">
        <v>25.3</v>
      </c>
      <c r="G4897">
        <v>25.52</v>
      </c>
      <c r="H4897" t="s">
        <v>17</v>
      </c>
      <c r="I4897" t="str">
        <f>"062271003115"</f>
        <v>062271003115</v>
      </c>
    </row>
    <row r="4898" spans="1:9" x14ac:dyDescent="0.25">
      <c r="A4898" t="s">
        <v>4313</v>
      </c>
      <c r="B4898" t="s">
        <v>13</v>
      </c>
      <c r="C4898">
        <v>14.5</v>
      </c>
      <c r="D4898">
        <v>15.5</v>
      </c>
      <c r="E4898" t="s">
        <v>17</v>
      </c>
      <c r="F4898">
        <v>24.9</v>
      </c>
      <c r="G4898">
        <v>22.77</v>
      </c>
      <c r="H4898" t="s">
        <v>17</v>
      </c>
      <c r="I4898" t="str">
        <f>"062250002730"</f>
        <v>062250002730</v>
      </c>
    </row>
    <row r="4899" spans="1:9" x14ac:dyDescent="0.25">
      <c r="A4899" t="s">
        <v>4314</v>
      </c>
      <c r="B4899" t="s">
        <v>13</v>
      </c>
      <c r="C4899">
        <v>13.5</v>
      </c>
      <c r="D4899">
        <v>15</v>
      </c>
      <c r="E4899" t="s">
        <v>17</v>
      </c>
      <c r="F4899">
        <v>21.56</v>
      </c>
      <c r="G4899">
        <v>20.6</v>
      </c>
      <c r="H4899" t="s">
        <v>17</v>
      </c>
      <c r="I4899" t="str">
        <f>"063227007336"</f>
        <v>063227007336</v>
      </c>
    </row>
    <row r="4900" spans="1:9" x14ac:dyDescent="0.25">
      <c r="A4900" t="s">
        <v>4315</v>
      </c>
      <c r="B4900" t="s">
        <v>13</v>
      </c>
      <c r="C4900" t="s">
        <v>17</v>
      </c>
      <c r="D4900" t="s">
        <v>14</v>
      </c>
      <c r="E4900" t="s">
        <v>14</v>
      </c>
      <c r="F4900" t="s">
        <v>17</v>
      </c>
      <c r="G4900" t="s">
        <v>14</v>
      </c>
      <c r="H4900" t="s">
        <v>14</v>
      </c>
      <c r="I4900" t="str">
        <f>"060261013347"</f>
        <v>060261013347</v>
      </c>
    </row>
    <row r="4901" spans="1:9" x14ac:dyDescent="0.25">
      <c r="A4901" t="s">
        <v>4316</v>
      </c>
      <c r="B4901" t="s">
        <v>13</v>
      </c>
      <c r="C4901">
        <v>26.9</v>
      </c>
      <c r="D4901">
        <v>29.6</v>
      </c>
      <c r="E4901" t="s">
        <v>17</v>
      </c>
      <c r="F4901">
        <v>20</v>
      </c>
      <c r="G4901">
        <v>18.04</v>
      </c>
      <c r="H4901" t="s">
        <v>17</v>
      </c>
      <c r="I4901" t="str">
        <f>"063441005609"</f>
        <v>063441005609</v>
      </c>
    </row>
    <row r="4902" spans="1:9" x14ac:dyDescent="0.25">
      <c r="A4902" t="s">
        <v>4317</v>
      </c>
      <c r="B4902" t="s">
        <v>13</v>
      </c>
      <c r="C4902">
        <v>20.5</v>
      </c>
      <c r="D4902">
        <v>21</v>
      </c>
      <c r="E4902" t="s">
        <v>17</v>
      </c>
      <c r="F4902">
        <v>27.37</v>
      </c>
      <c r="G4902">
        <v>24.71</v>
      </c>
      <c r="H4902" t="s">
        <v>17</v>
      </c>
      <c r="I4902" t="str">
        <f>"061962002359"</f>
        <v>061962002359</v>
      </c>
    </row>
    <row r="4903" spans="1:9" x14ac:dyDescent="0.25">
      <c r="A4903" t="s">
        <v>4318</v>
      </c>
      <c r="B4903" t="s">
        <v>13</v>
      </c>
      <c r="C4903">
        <v>12.7</v>
      </c>
      <c r="D4903">
        <v>9.84</v>
      </c>
      <c r="E4903" t="s">
        <v>17</v>
      </c>
      <c r="F4903">
        <v>25.83</v>
      </c>
      <c r="G4903">
        <v>35.26</v>
      </c>
      <c r="H4903" t="s">
        <v>17</v>
      </c>
      <c r="I4903" t="str">
        <f>"061962006745"</f>
        <v>061962006745</v>
      </c>
    </row>
    <row r="4904" spans="1:9" x14ac:dyDescent="0.25">
      <c r="A4904" t="s">
        <v>4319</v>
      </c>
      <c r="B4904" t="s">
        <v>13</v>
      </c>
      <c r="C4904">
        <v>3</v>
      </c>
      <c r="D4904">
        <v>3</v>
      </c>
      <c r="E4904" t="s">
        <v>17</v>
      </c>
      <c r="F4904">
        <v>18</v>
      </c>
      <c r="G4904">
        <v>17</v>
      </c>
      <c r="H4904" t="s">
        <v>17</v>
      </c>
      <c r="I4904" t="str">
        <f>"063581008401"</f>
        <v>063581008401</v>
      </c>
    </row>
    <row r="4905" spans="1:9" x14ac:dyDescent="0.25">
      <c r="A4905" t="s">
        <v>4320</v>
      </c>
      <c r="B4905" t="s">
        <v>13</v>
      </c>
      <c r="C4905">
        <v>26.6</v>
      </c>
      <c r="D4905">
        <v>27</v>
      </c>
      <c r="E4905" t="s">
        <v>17</v>
      </c>
      <c r="F4905">
        <v>23.61</v>
      </c>
      <c r="G4905">
        <v>24.41</v>
      </c>
      <c r="H4905" t="s">
        <v>17</v>
      </c>
      <c r="I4905" t="str">
        <f>"063375005205"</f>
        <v>063375005205</v>
      </c>
    </row>
    <row r="4906" spans="1:9" x14ac:dyDescent="0.25">
      <c r="A4906" t="s">
        <v>4321</v>
      </c>
      <c r="B4906" t="s">
        <v>13</v>
      </c>
      <c r="C4906">
        <v>21</v>
      </c>
      <c r="D4906">
        <v>21</v>
      </c>
      <c r="E4906" t="s">
        <v>17</v>
      </c>
      <c r="F4906">
        <v>19.670000000000002</v>
      </c>
      <c r="G4906">
        <v>18.760000000000002</v>
      </c>
      <c r="H4906" t="s">
        <v>17</v>
      </c>
      <c r="I4906" t="str">
        <f>"062724004117"</f>
        <v>062724004117</v>
      </c>
    </row>
    <row r="4907" spans="1:9" x14ac:dyDescent="0.25">
      <c r="A4907" t="s">
        <v>4322</v>
      </c>
      <c r="B4907" t="s">
        <v>13</v>
      </c>
      <c r="C4907">
        <v>8</v>
      </c>
      <c r="D4907">
        <v>8.5</v>
      </c>
      <c r="E4907" t="s">
        <v>17</v>
      </c>
      <c r="F4907">
        <v>13.5</v>
      </c>
      <c r="G4907">
        <v>10</v>
      </c>
      <c r="H4907" t="s">
        <v>17</v>
      </c>
      <c r="I4907" t="str">
        <f>"069107812802"</f>
        <v>069107812802</v>
      </c>
    </row>
    <row r="4908" spans="1:9" x14ac:dyDescent="0.25">
      <c r="A4908" t="s">
        <v>4323</v>
      </c>
      <c r="B4908" t="s">
        <v>13</v>
      </c>
      <c r="C4908">
        <v>20</v>
      </c>
      <c r="D4908">
        <v>20</v>
      </c>
      <c r="E4908" t="s">
        <v>17</v>
      </c>
      <c r="F4908">
        <v>18.850000000000001</v>
      </c>
      <c r="G4908">
        <v>19.45</v>
      </c>
      <c r="H4908" t="s">
        <v>17</v>
      </c>
      <c r="I4908" t="str">
        <f>"062667004045"</f>
        <v>062667004045</v>
      </c>
    </row>
    <row r="4909" spans="1:9" x14ac:dyDescent="0.25">
      <c r="A4909" t="s">
        <v>4324</v>
      </c>
      <c r="B4909" t="s">
        <v>13</v>
      </c>
      <c r="C4909">
        <v>17</v>
      </c>
      <c r="D4909">
        <v>18.3</v>
      </c>
      <c r="E4909" t="s">
        <v>17</v>
      </c>
      <c r="F4909">
        <v>30.18</v>
      </c>
      <c r="G4909">
        <v>28.25</v>
      </c>
      <c r="H4909" t="s">
        <v>17</v>
      </c>
      <c r="I4909" t="str">
        <f>"060285000212"</f>
        <v>060285000212</v>
      </c>
    </row>
    <row r="4910" spans="1:9" x14ac:dyDescent="0.25">
      <c r="A4910" t="s">
        <v>4325</v>
      </c>
      <c r="B4910" t="s">
        <v>13</v>
      </c>
      <c r="C4910">
        <v>17</v>
      </c>
      <c r="D4910">
        <v>18</v>
      </c>
      <c r="E4910" t="s">
        <v>17</v>
      </c>
      <c r="F4910">
        <v>31.18</v>
      </c>
      <c r="G4910">
        <v>27.67</v>
      </c>
      <c r="H4910" t="s">
        <v>17</v>
      </c>
      <c r="I4910" t="str">
        <f>"063417005364"</f>
        <v>063417005364</v>
      </c>
    </row>
    <row r="4911" spans="1:9" x14ac:dyDescent="0.25">
      <c r="A4911" t="s">
        <v>4326</v>
      </c>
      <c r="B4911" t="s">
        <v>13</v>
      </c>
      <c r="C4911">
        <v>23.56</v>
      </c>
      <c r="D4911">
        <v>24.47</v>
      </c>
      <c r="E4911" t="s">
        <v>17</v>
      </c>
      <c r="F4911">
        <v>24.66</v>
      </c>
      <c r="G4911">
        <v>22.35</v>
      </c>
      <c r="H4911" t="s">
        <v>17</v>
      </c>
      <c r="I4911" t="str">
        <f>"063207004937"</f>
        <v>063207004937</v>
      </c>
    </row>
    <row r="4912" spans="1:9" x14ac:dyDescent="0.25">
      <c r="A4912" t="s">
        <v>4327</v>
      </c>
      <c r="B4912" t="s">
        <v>13</v>
      </c>
      <c r="C4912">
        <v>29</v>
      </c>
      <c r="D4912">
        <v>29.66</v>
      </c>
      <c r="E4912" t="s">
        <v>17</v>
      </c>
      <c r="F4912">
        <v>16.41</v>
      </c>
      <c r="G4912">
        <v>17.670000000000002</v>
      </c>
      <c r="H4912" t="s">
        <v>17</v>
      </c>
      <c r="I4912" t="str">
        <f>"063432007317"</f>
        <v>063432007317</v>
      </c>
    </row>
    <row r="4913" spans="1:9" x14ac:dyDescent="0.25">
      <c r="A4913" t="s">
        <v>4328</v>
      </c>
      <c r="B4913" t="s">
        <v>13</v>
      </c>
      <c r="C4913">
        <v>5.8</v>
      </c>
      <c r="D4913">
        <v>5.8</v>
      </c>
      <c r="E4913" t="s">
        <v>17</v>
      </c>
      <c r="F4913">
        <v>9.14</v>
      </c>
      <c r="G4913">
        <v>9.48</v>
      </c>
      <c r="H4913" t="s">
        <v>17</v>
      </c>
      <c r="I4913" t="str">
        <f>"061062001179"</f>
        <v>061062001179</v>
      </c>
    </row>
    <row r="4914" spans="1:9" x14ac:dyDescent="0.25">
      <c r="A4914" t="s">
        <v>4329</v>
      </c>
      <c r="B4914" t="s">
        <v>13</v>
      </c>
      <c r="C4914">
        <v>21.06</v>
      </c>
      <c r="D4914">
        <v>22.25</v>
      </c>
      <c r="E4914" t="s">
        <v>17</v>
      </c>
      <c r="F4914">
        <v>17.05</v>
      </c>
      <c r="G4914">
        <v>16.13</v>
      </c>
      <c r="H4914" t="s">
        <v>17</v>
      </c>
      <c r="I4914" t="str">
        <f>"063441005671"</f>
        <v>063441005671</v>
      </c>
    </row>
    <row r="4915" spans="1:9" x14ac:dyDescent="0.25">
      <c r="A4915" t="s">
        <v>4330</v>
      </c>
      <c r="B4915" t="s">
        <v>13</v>
      </c>
      <c r="C4915">
        <v>17.8</v>
      </c>
      <c r="D4915">
        <v>21.6</v>
      </c>
      <c r="E4915" t="s">
        <v>17</v>
      </c>
      <c r="F4915">
        <v>19.489999999999998</v>
      </c>
      <c r="G4915">
        <v>18.010000000000002</v>
      </c>
      <c r="H4915" t="s">
        <v>17</v>
      </c>
      <c r="I4915" t="str">
        <f>"064347007034"</f>
        <v>064347007034</v>
      </c>
    </row>
    <row r="4916" spans="1:9" x14ac:dyDescent="0.25">
      <c r="A4916" t="s">
        <v>4331</v>
      </c>
      <c r="B4916" t="s">
        <v>13</v>
      </c>
      <c r="C4916">
        <v>15.9</v>
      </c>
      <c r="D4916">
        <v>11</v>
      </c>
      <c r="E4916" t="s">
        <v>17</v>
      </c>
      <c r="F4916">
        <v>18.489999999999998</v>
      </c>
      <c r="G4916">
        <v>23.91</v>
      </c>
      <c r="H4916" t="s">
        <v>17</v>
      </c>
      <c r="I4916" t="str">
        <f>"061968010969"</f>
        <v>061968010969</v>
      </c>
    </row>
    <row r="4917" spans="1:9" x14ac:dyDescent="0.25">
      <c r="A4917" t="s">
        <v>4332</v>
      </c>
      <c r="B4917" t="s">
        <v>13</v>
      </c>
      <c r="C4917">
        <v>34.85</v>
      </c>
      <c r="D4917">
        <v>35.78</v>
      </c>
      <c r="E4917" t="s">
        <v>17</v>
      </c>
      <c r="F4917">
        <v>27.03</v>
      </c>
      <c r="G4917">
        <v>24.85</v>
      </c>
      <c r="H4917" t="s">
        <v>17</v>
      </c>
      <c r="I4917" t="str">
        <f>"061965002360"</f>
        <v>061965002360</v>
      </c>
    </row>
    <row r="4918" spans="1:9" x14ac:dyDescent="0.25">
      <c r="A4918" t="s">
        <v>4333</v>
      </c>
      <c r="B4918" t="s">
        <v>13</v>
      </c>
      <c r="C4918">
        <v>29.95</v>
      </c>
      <c r="D4918">
        <v>37.159999999999997</v>
      </c>
      <c r="E4918" t="s">
        <v>17</v>
      </c>
      <c r="F4918">
        <v>31.39</v>
      </c>
      <c r="G4918">
        <v>26.4</v>
      </c>
      <c r="H4918" t="s">
        <v>17</v>
      </c>
      <c r="I4918" t="str">
        <f>"063801006421"</f>
        <v>063801006421</v>
      </c>
    </row>
    <row r="4919" spans="1:9" x14ac:dyDescent="0.25">
      <c r="A4919" t="s">
        <v>4333</v>
      </c>
      <c r="B4919" t="s">
        <v>13</v>
      </c>
      <c r="C4919">
        <v>20</v>
      </c>
      <c r="D4919">
        <v>21</v>
      </c>
      <c r="E4919" t="s">
        <v>17</v>
      </c>
      <c r="F4919">
        <v>25.25</v>
      </c>
      <c r="G4919">
        <v>22.14</v>
      </c>
      <c r="H4919" t="s">
        <v>17</v>
      </c>
      <c r="I4919" t="str">
        <f>"063255005040"</f>
        <v>063255005040</v>
      </c>
    </row>
    <row r="4920" spans="1:9" x14ac:dyDescent="0.25">
      <c r="A4920" t="s">
        <v>4333</v>
      </c>
      <c r="B4920" t="s">
        <v>13</v>
      </c>
      <c r="C4920">
        <v>23</v>
      </c>
      <c r="D4920">
        <v>21.5</v>
      </c>
      <c r="E4920" t="s">
        <v>17</v>
      </c>
      <c r="F4920">
        <v>19.260000000000002</v>
      </c>
      <c r="G4920">
        <v>20.14</v>
      </c>
      <c r="H4920" t="s">
        <v>17</v>
      </c>
      <c r="I4920" t="str">
        <f>"061455001743"</f>
        <v>061455001743</v>
      </c>
    </row>
    <row r="4921" spans="1:9" x14ac:dyDescent="0.25">
      <c r="A4921" t="s">
        <v>4333</v>
      </c>
      <c r="B4921" t="s">
        <v>13</v>
      </c>
      <c r="C4921">
        <v>27</v>
      </c>
      <c r="D4921">
        <v>29</v>
      </c>
      <c r="E4921" t="s">
        <v>17</v>
      </c>
      <c r="F4921">
        <v>29.96</v>
      </c>
      <c r="G4921">
        <v>28.28</v>
      </c>
      <c r="H4921" t="s">
        <v>17</v>
      </c>
      <c r="I4921" t="str">
        <f>"062250002731"</f>
        <v>062250002731</v>
      </c>
    </row>
    <row r="4922" spans="1:9" x14ac:dyDescent="0.25">
      <c r="A4922" t="s">
        <v>4334</v>
      </c>
      <c r="B4922" t="s">
        <v>13</v>
      </c>
      <c r="C4922">
        <v>25.7</v>
      </c>
      <c r="D4922">
        <v>29.95</v>
      </c>
      <c r="E4922" t="s">
        <v>17</v>
      </c>
      <c r="F4922">
        <v>20.43</v>
      </c>
      <c r="G4922">
        <v>17.260000000000002</v>
      </c>
      <c r="H4922" t="s">
        <v>17</v>
      </c>
      <c r="I4922" t="str">
        <f>"063441005655"</f>
        <v>063441005655</v>
      </c>
    </row>
    <row r="4923" spans="1:9" x14ac:dyDescent="0.25">
      <c r="A4923" t="s">
        <v>4335</v>
      </c>
      <c r="B4923" t="s">
        <v>13</v>
      </c>
      <c r="C4923">
        <v>13.65</v>
      </c>
      <c r="D4923">
        <v>15</v>
      </c>
      <c r="E4923" t="s">
        <v>17</v>
      </c>
      <c r="F4923">
        <v>23</v>
      </c>
      <c r="G4923">
        <v>20.67</v>
      </c>
      <c r="H4923" t="s">
        <v>17</v>
      </c>
      <c r="I4923" t="str">
        <f>"063432010381"</f>
        <v>063432010381</v>
      </c>
    </row>
    <row r="4924" spans="1:9" x14ac:dyDescent="0.25">
      <c r="A4924" t="s">
        <v>4336</v>
      </c>
      <c r="B4924" t="s">
        <v>13</v>
      </c>
      <c r="C4924">
        <v>9</v>
      </c>
      <c r="D4924">
        <v>11</v>
      </c>
      <c r="E4924" t="s">
        <v>17</v>
      </c>
      <c r="F4924">
        <v>19.670000000000002</v>
      </c>
      <c r="G4924">
        <v>15.55</v>
      </c>
      <c r="H4924" t="s">
        <v>17</v>
      </c>
      <c r="I4924" t="str">
        <f>"063432011390"</f>
        <v>063432011390</v>
      </c>
    </row>
    <row r="4925" spans="1:9" x14ac:dyDescent="0.25">
      <c r="A4925" t="s">
        <v>4337</v>
      </c>
      <c r="B4925" t="s">
        <v>13</v>
      </c>
      <c r="C4925">
        <v>7</v>
      </c>
      <c r="D4925">
        <v>10</v>
      </c>
      <c r="E4925" t="s">
        <v>17</v>
      </c>
      <c r="F4925">
        <v>24.71</v>
      </c>
      <c r="G4925">
        <v>16.5</v>
      </c>
      <c r="H4925" t="s">
        <v>17</v>
      </c>
      <c r="I4925" t="str">
        <f>"063432011391"</f>
        <v>063432011391</v>
      </c>
    </row>
    <row r="4926" spans="1:9" x14ac:dyDescent="0.25">
      <c r="A4926" t="s">
        <v>4338</v>
      </c>
      <c r="B4926" t="s">
        <v>13</v>
      </c>
      <c r="C4926">
        <v>28.83</v>
      </c>
      <c r="D4926">
        <v>27.55</v>
      </c>
      <c r="E4926" t="s">
        <v>17</v>
      </c>
      <c r="F4926">
        <v>19.53</v>
      </c>
      <c r="G4926">
        <v>16.91</v>
      </c>
      <c r="H4926" t="s">
        <v>17</v>
      </c>
      <c r="I4926" t="str">
        <f>"063432012195"</f>
        <v>063432012195</v>
      </c>
    </row>
    <row r="4927" spans="1:9" x14ac:dyDescent="0.25">
      <c r="A4927" t="s">
        <v>4339</v>
      </c>
      <c r="B4927" t="s">
        <v>13</v>
      </c>
      <c r="C4927">
        <v>15.01</v>
      </c>
      <c r="D4927">
        <v>14.55</v>
      </c>
      <c r="E4927" t="s">
        <v>17</v>
      </c>
      <c r="F4927">
        <v>23.98</v>
      </c>
      <c r="G4927">
        <v>24.47</v>
      </c>
      <c r="H4927" t="s">
        <v>17</v>
      </c>
      <c r="I4927" t="str">
        <f>"063432011767"</f>
        <v>063432011767</v>
      </c>
    </row>
    <row r="4928" spans="1:9" x14ac:dyDescent="0.25">
      <c r="A4928" t="s">
        <v>4340</v>
      </c>
      <c r="B4928" t="s">
        <v>13</v>
      </c>
      <c r="C4928">
        <v>20</v>
      </c>
      <c r="D4928">
        <v>22</v>
      </c>
      <c r="E4928" t="s">
        <v>17</v>
      </c>
      <c r="F4928">
        <v>17.899999999999999</v>
      </c>
      <c r="G4928">
        <v>16.27</v>
      </c>
      <c r="H4928" t="s">
        <v>17</v>
      </c>
      <c r="I4928" t="str">
        <f>"063432005556"</f>
        <v>063432005556</v>
      </c>
    </row>
    <row r="4929" spans="1:9" x14ac:dyDescent="0.25">
      <c r="A4929" t="s">
        <v>4341</v>
      </c>
      <c r="B4929" t="s">
        <v>13</v>
      </c>
      <c r="C4929">
        <v>61.5</v>
      </c>
      <c r="D4929">
        <v>65.52</v>
      </c>
      <c r="E4929" t="s">
        <v>17</v>
      </c>
      <c r="F4929">
        <v>26.78</v>
      </c>
      <c r="G4929">
        <v>24.92</v>
      </c>
      <c r="H4929" t="s">
        <v>17</v>
      </c>
      <c r="I4929" t="str">
        <f>"062271009150"</f>
        <v>062271009150</v>
      </c>
    </row>
    <row r="4930" spans="1:9" x14ac:dyDescent="0.25">
      <c r="A4930" t="s">
        <v>4342</v>
      </c>
      <c r="B4930" t="s">
        <v>13</v>
      </c>
      <c r="C4930">
        <v>13.5</v>
      </c>
      <c r="D4930">
        <v>11</v>
      </c>
      <c r="E4930" t="s">
        <v>17</v>
      </c>
      <c r="F4930">
        <v>26.3</v>
      </c>
      <c r="G4930">
        <v>24</v>
      </c>
      <c r="H4930" t="s">
        <v>17</v>
      </c>
      <c r="I4930" t="str">
        <f>"063877006513"</f>
        <v>063877006513</v>
      </c>
    </row>
    <row r="4931" spans="1:9" x14ac:dyDescent="0.25">
      <c r="A4931" t="s">
        <v>4343</v>
      </c>
      <c r="B4931" t="s">
        <v>13</v>
      </c>
      <c r="C4931">
        <v>8</v>
      </c>
      <c r="D4931">
        <v>8</v>
      </c>
      <c r="E4931" t="s">
        <v>17</v>
      </c>
      <c r="F4931">
        <v>14.25</v>
      </c>
      <c r="G4931">
        <v>15.13</v>
      </c>
      <c r="H4931" t="s">
        <v>17</v>
      </c>
      <c r="I4931" t="str">
        <f>"061970002369"</f>
        <v>061970002369</v>
      </c>
    </row>
    <row r="4932" spans="1:9" x14ac:dyDescent="0.25">
      <c r="A4932" t="s">
        <v>4344</v>
      </c>
      <c r="B4932" t="s">
        <v>13</v>
      </c>
      <c r="C4932">
        <v>48.72</v>
      </c>
      <c r="D4932">
        <v>48.67</v>
      </c>
      <c r="E4932" t="s">
        <v>17</v>
      </c>
      <c r="F4932">
        <v>18.920000000000002</v>
      </c>
      <c r="G4932">
        <v>18.47</v>
      </c>
      <c r="H4932" t="s">
        <v>17</v>
      </c>
      <c r="I4932" t="str">
        <f>"061455001744"</f>
        <v>061455001744</v>
      </c>
    </row>
    <row r="4933" spans="1:9" x14ac:dyDescent="0.25">
      <c r="A4933" t="s">
        <v>4345</v>
      </c>
      <c r="B4933" t="s">
        <v>13</v>
      </c>
      <c r="C4933" t="s">
        <v>17</v>
      </c>
      <c r="D4933" t="s">
        <v>14</v>
      </c>
      <c r="E4933" t="s">
        <v>14</v>
      </c>
      <c r="F4933" t="s">
        <v>17</v>
      </c>
      <c r="G4933" t="s">
        <v>14</v>
      </c>
      <c r="H4933" t="s">
        <v>14</v>
      </c>
      <c r="I4933" t="str">
        <f>"061970013620"</f>
        <v>061970013620</v>
      </c>
    </row>
    <row r="4934" spans="1:9" x14ac:dyDescent="0.25">
      <c r="A4934" t="s">
        <v>4346</v>
      </c>
      <c r="B4934" t="s">
        <v>13</v>
      </c>
      <c r="C4934">
        <v>7</v>
      </c>
      <c r="D4934">
        <v>7</v>
      </c>
      <c r="E4934" t="s">
        <v>17</v>
      </c>
      <c r="F4934">
        <v>16.57</v>
      </c>
      <c r="G4934">
        <v>16.43</v>
      </c>
      <c r="H4934" t="s">
        <v>17</v>
      </c>
      <c r="I4934" t="str">
        <f>"069101310509"</f>
        <v>069101310509</v>
      </c>
    </row>
    <row r="4935" spans="1:9" x14ac:dyDescent="0.25">
      <c r="A4935" t="s">
        <v>4347</v>
      </c>
      <c r="B4935" t="s">
        <v>13</v>
      </c>
      <c r="C4935" t="s">
        <v>17</v>
      </c>
      <c r="D4935" t="s">
        <v>17</v>
      </c>
      <c r="E4935" t="s">
        <v>17</v>
      </c>
      <c r="F4935" t="s">
        <v>17</v>
      </c>
      <c r="G4935" t="s">
        <v>17</v>
      </c>
      <c r="H4935" t="s">
        <v>17</v>
      </c>
      <c r="I4935" t="str">
        <f>"060007710817"</f>
        <v>060007710817</v>
      </c>
    </row>
    <row r="4936" spans="1:9" x14ac:dyDescent="0.25">
      <c r="A4936" t="s">
        <v>4348</v>
      </c>
      <c r="B4936" t="s">
        <v>13</v>
      </c>
      <c r="C4936" t="s">
        <v>17</v>
      </c>
      <c r="D4936" t="s">
        <v>14</v>
      </c>
      <c r="E4936" t="s">
        <v>14</v>
      </c>
      <c r="F4936" t="s">
        <v>17</v>
      </c>
      <c r="G4936" t="s">
        <v>14</v>
      </c>
      <c r="H4936" t="s">
        <v>14</v>
      </c>
      <c r="I4936" t="str">
        <f>"069101313429"</f>
        <v>069101313429</v>
      </c>
    </row>
    <row r="4937" spans="1:9" x14ac:dyDescent="0.25">
      <c r="A4937" t="s">
        <v>4349</v>
      </c>
      <c r="B4937" t="s">
        <v>13</v>
      </c>
      <c r="C4937">
        <v>30.01</v>
      </c>
      <c r="D4937">
        <v>30.25</v>
      </c>
      <c r="E4937" t="s">
        <v>17</v>
      </c>
      <c r="F4937">
        <v>8.5299999999999994</v>
      </c>
      <c r="G4937">
        <v>6.55</v>
      </c>
      <c r="H4937" t="s">
        <v>17</v>
      </c>
      <c r="I4937" t="str">
        <f>"069101309228"</f>
        <v>069101309228</v>
      </c>
    </row>
    <row r="4938" spans="1:9" x14ac:dyDescent="0.25">
      <c r="A4938" t="s">
        <v>4350</v>
      </c>
      <c r="B4938" t="s">
        <v>13</v>
      </c>
      <c r="C4938">
        <v>1</v>
      </c>
      <c r="D4938">
        <v>1</v>
      </c>
      <c r="E4938" t="s">
        <v>17</v>
      </c>
      <c r="F4938">
        <v>47</v>
      </c>
      <c r="G4938">
        <v>43</v>
      </c>
      <c r="H4938" t="s">
        <v>17</v>
      </c>
      <c r="I4938" t="str">
        <f>"060969011284"</f>
        <v>060969011284</v>
      </c>
    </row>
    <row r="4939" spans="1:9" x14ac:dyDescent="0.25">
      <c r="A4939" t="s">
        <v>4351</v>
      </c>
      <c r="B4939" t="s">
        <v>13</v>
      </c>
      <c r="C4939">
        <v>3</v>
      </c>
      <c r="D4939">
        <v>3</v>
      </c>
      <c r="E4939" t="s">
        <v>17</v>
      </c>
      <c r="F4939">
        <v>25</v>
      </c>
      <c r="G4939">
        <v>26</v>
      </c>
      <c r="H4939" t="s">
        <v>17</v>
      </c>
      <c r="I4939" t="str">
        <f>"060678000600"</f>
        <v>060678000600</v>
      </c>
    </row>
    <row r="4940" spans="1:9" x14ac:dyDescent="0.25">
      <c r="A4940" t="s">
        <v>4352</v>
      </c>
      <c r="B4940" t="s">
        <v>13</v>
      </c>
      <c r="C4940">
        <v>19.600000000000001</v>
      </c>
      <c r="D4940">
        <v>18</v>
      </c>
      <c r="E4940" t="s">
        <v>17</v>
      </c>
      <c r="F4940">
        <v>23.01</v>
      </c>
      <c r="G4940">
        <v>26.44</v>
      </c>
      <c r="H4940" t="s">
        <v>17</v>
      </c>
      <c r="I4940" t="str">
        <f>"061974002378"</f>
        <v>061974002378</v>
      </c>
    </row>
    <row r="4941" spans="1:9" x14ac:dyDescent="0.25">
      <c r="A4941" t="s">
        <v>4353</v>
      </c>
      <c r="B4941" t="s">
        <v>13</v>
      </c>
      <c r="C4941">
        <v>4.4000000000000004</v>
      </c>
      <c r="D4941">
        <v>4.4000000000000004</v>
      </c>
      <c r="E4941" t="s">
        <v>17</v>
      </c>
      <c r="F4941">
        <v>15.45</v>
      </c>
      <c r="G4941">
        <v>15.68</v>
      </c>
      <c r="H4941" t="s">
        <v>17</v>
      </c>
      <c r="I4941" t="str">
        <f>"063525005974"</f>
        <v>063525005974</v>
      </c>
    </row>
    <row r="4942" spans="1:9" x14ac:dyDescent="0.25">
      <c r="A4942" t="s">
        <v>4354</v>
      </c>
      <c r="B4942" t="s">
        <v>13</v>
      </c>
      <c r="C4942">
        <v>33</v>
      </c>
      <c r="D4942">
        <v>33</v>
      </c>
      <c r="E4942" t="s">
        <v>17</v>
      </c>
      <c r="F4942">
        <v>22.55</v>
      </c>
      <c r="G4942">
        <v>21.76</v>
      </c>
      <c r="H4942" t="s">
        <v>17</v>
      </c>
      <c r="I4942" t="str">
        <f>"061977002379"</f>
        <v>061977002379</v>
      </c>
    </row>
    <row r="4943" spans="1:9" x14ac:dyDescent="0.25">
      <c r="A4943" t="s">
        <v>4355</v>
      </c>
      <c r="B4943" t="s">
        <v>13</v>
      </c>
      <c r="C4943">
        <v>6</v>
      </c>
      <c r="D4943">
        <v>6</v>
      </c>
      <c r="E4943" t="s">
        <v>17</v>
      </c>
      <c r="F4943">
        <v>28.17</v>
      </c>
      <c r="G4943">
        <v>28.17</v>
      </c>
      <c r="H4943" t="s">
        <v>17</v>
      </c>
      <c r="I4943" t="str">
        <f>"061980007085"</f>
        <v>061980007085</v>
      </c>
    </row>
    <row r="4944" spans="1:9" x14ac:dyDescent="0.25">
      <c r="A4944" t="s">
        <v>4356</v>
      </c>
      <c r="B4944" t="s">
        <v>13</v>
      </c>
      <c r="C4944">
        <v>45.16</v>
      </c>
      <c r="D4944">
        <v>45.32</v>
      </c>
      <c r="E4944" t="s">
        <v>17</v>
      </c>
      <c r="F4944">
        <v>24.31</v>
      </c>
      <c r="G4944">
        <v>23.65</v>
      </c>
      <c r="H4944" t="s">
        <v>17</v>
      </c>
      <c r="I4944" t="str">
        <f>"061983002383"</f>
        <v>061983002383</v>
      </c>
    </row>
    <row r="4945" spans="1:9" x14ac:dyDescent="0.25">
      <c r="A4945" t="s">
        <v>4357</v>
      </c>
      <c r="B4945" t="s">
        <v>13</v>
      </c>
      <c r="C4945">
        <v>1.5</v>
      </c>
      <c r="D4945">
        <v>2.2000000000000002</v>
      </c>
      <c r="E4945" t="s">
        <v>14</v>
      </c>
      <c r="F4945">
        <v>31.33</v>
      </c>
      <c r="G4945">
        <v>17.27</v>
      </c>
      <c r="H4945" t="s">
        <v>14</v>
      </c>
      <c r="I4945" t="str">
        <f>"061983012859"</f>
        <v>061983012859</v>
      </c>
    </row>
    <row r="4946" spans="1:9" x14ac:dyDescent="0.25">
      <c r="A4946" t="s">
        <v>4358</v>
      </c>
      <c r="B4946" t="s">
        <v>13</v>
      </c>
      <c r="C4946">
        <v>18.559999999999999</v>
      </c>
      <c r="D4946">
        <v>20.56</v>
      </c>
      <c r="E4946" t="s">
        <v>17</v>
      </c>
      <c r="F4946">
        <v>23.55</v>
      </c>
      <c r="G4946">
        <v>23.98</v>
      </c>
      <c r="H4946" t="s">
        <v>17</v>
      </c>
      <c r="I4946" t="str">
        <f>"063207004938"</f>
        <v>063207004938</v>
      </c>
    </row>
    <row r="4947" spans="1:9" x14ac:dyDescent="0.25">
      <c r="A4947" t="s">
        <v>4359</v>
      </c>
      <c r="B4947" t="s">
        <v>13</v>
      </c>
      <c r="C4947">
        <v>34.1</v>
      </c>
      <c r="D4947">
        <v>30</v>
      </c>
      <c r="E4947" t="s">
        <v>17</v>
      </c>
      <c r="F4947">
        <v>24.31</v>
      </c>
      <c r="G4947">
        <v>26.97</v>
      </c>
      <c r="H4947" t="s">
        <v>17</v>
      </c>
      <c r="I4947" t="str">
        <f>"062847004401"</f>
        <v>062847004401</v>
      </c>
    </row>
    <row r="4948" spans="1:9" x14ac:dyDescent="0.25">
      <c r="A4948" t="s">
        <v>4359</v>
      </c>
      <c r="B4948" t="s">
        <v>13</v>
      </c>
      <c r="C4948">
        <v>22</v>
      </c>
      <c r="D4948">
        <v>22.5</v>
      </c>
      <c r="E4948" t="s">
        <v>17</v>
      </c>
      <c r="F4948">
        <v>23.32</v>
      </c>
      <c r="G4948">
        <v>24.53</v>
      </c>
      <c r="H4948" t="s">
        <v>17</v>
      </c>
      <c r="I4948" t="str">
        <f>"062271010885"</f>
        <v>062271010885</v>
      </c>
    </row>
    <row r="4949" spans="1:9" x14ac:dyDescent="0.25">
      <c r="A4949" t="s">
        <v>4359</v>
      </c>
      <c r="B4949" t="s">
        <v>13</v>
      </c>
      <c r="C4949">
        <v>28.5</v>
      </c>
      <c r="D4949">
        <v>28</v>
      </c>
      <c r="E4949" t="s">
        <v>17</v>
      </c>
      <c r="F4949">
        <v>24.21</v>
      </c>
      <c r="G4949">
        <v>21.89</v>
      </c>
      <c r="H4949" t="s">
        <v>17</v>
      </c>
      <c r="I4949" t="str">
        <f>"063132004848"</f>
        <v>063132004848</v>
      </c>
    </row>
    <row r="4950" spans="1:9" x14ac:dyDescent="0.25">
      <c r="A4950" t="s">
        <v>4360</v>
      </c>
      <c r="B4950" t="s">
        <v>13</v>
      </c>
      <c r="C4950">
        <v>23</v>
      </c>
      <c r="D4950">
        <v>24</v>
      </c>
      <c r="E4950" t="s">
        <v>17</v>
      </c>
      <c r="F4950">
        <v>29.04</v>
      </c>
      <c r="G4950">
        <v>29.88</v>
      </c>
      <c r="H4950" t="s">
        <v>17</v>
      </c>
      <c r="I4950" t="str">
        <f>"060001409079"</f>
        <v>060001409079</v>
      </c>
    </row>
    <row r="4951" spans="1:9" x14ac:dyDescent="0.25">
      <c r="A4951" t="s">
        <v>4361</v>
      </c>
      <c r="B4951" t="s">
        <v>13</v>
      </c>
      <c r="C4951">
        <v>21.33</v>
      </c>
      <c r="D4951">
        <v>25.5</v>
      </c>
      <c r="E4951" t="s">
        <v>17</v>
      </c>
      <c r="F4951">
        <v>29.54</v>
      </c>
      <c r="G4951">
        <v>24.63</v>
      </c>
      <c r="H4951" t="s">
        <v>17</v>
      </c>
      <c r="I4951" t="str">
        <f>"063462005788"</f>
        <v>063462005788</v>
      </c>
    </row>
    <row r="4952" spans="1:9" x14ac:dyDescent="0.25">
      <c r="A4952" t="s">
        <v>4362</v>
      </c>
      <c r="B4952" t="s">
        <v>13</v>
      </c>
      <c r="C4952">
        <v>9.4</v>
      </c>
      <c r="D4952">
        <v>9.8000000000000007</v>
      </c>
      <c r="E4952" t="s">
        <v>17</v>
      </c>
      <c r="F4952">
        <v>18.510000000000002</v>
      </c>
      <c r="G4952">
        <v>17.96</v>
      </c>
      <c r="H4952" t="s">
        <v>17</v>
      </c>
      <c r="I4952" t="str">
        <f>"061389001573"</f>
        <v>061389001573</v>
      </c>
    </row>
    <row r="4953" spans="1:9" x14ac:dyDescent="0.25">
      <c r="A4953" t="s">
        <v>4363</v>
      </c>
      <c r="B4953" t="s">
        <v>13</v>
      </c>
      <c r="C4953">
        <v>25.57</v>
      </c>
      <c r="D4953">
        <v>27.9</v>
      </c>
      <c r="E4953" t="s">
        <v>17</v>
      </c>
      <c r="F4953">
        <v>26.2</v>
      </c>
      <c r="G4953">
        <v>23.12</v>
      </c>
      <c r="H4953" t="s">
        <v>17</v>
      </c>
      <c r="I4953" t="str">
        <f>"060744008540"</f>
        <v>060744008540</v>
      </c>
    </row>
    <row r="4954" spans="1:9" x14ac:dyDescent="0.25">
      <c r="A4954" t="s">
        <v>4364</v>
      </c>
      <c r="B4954" t="s">
        <v>13</v>
      </c>
      <c r="C4954">
        <v>16.7</v>
      </c>
      <c r="D4954">
        <v>7.5</v>
      </c>
      <c r="E4954" t="s">
        <v>17</v>
      </c>
      <c r="F4954">
        <v>23.05</v>
      </c>
      <c r="G4954" t="s">
        <v>17</v>
      </c>
      <c r="H4954" t="s">
        <v>17</v>
      </c>
      <c r="I4954" t="str">
        <f>"062271011308"</f>
        <v>062271011308</v>
      </c>
    </row>
    <row r="4955" spans="1:9" x14ac:dyDescent="0.25">
      <c r="A4955" t="s">
        <v>4365</v>
      </c>
      <c r="B4955" t="s">
        <v>13</v>
      </c>
      <c r="C4955">
        <v>13</v>
      </c>
      <c r="D4955">
        <v>16</v>
      </c>
      <c r="E4955" t="s">
        <v>17</v>
      </c>
      <c r="F4955">
        <v>27.46</v>
      </c>
      <c r="G4955">
        <v>22.69</v>
      </c>
      <c r="H4955" t="s">
        <v>17</v>
      </c>
      <c r="I4955" t="str">
        <f>"063432011263"</f>
        <v>063432011263</v>
      </c>
    </row>
    <row r="4956" spans="1:9" x14ac:dyDescent="0.25">
      <c r="A4956" t="s">
        <v>4366</v>
      </c>
      <c r="B4956" t="s">
        <v>13</v>
      </c>
      <c r="C4956">
        <v>15</v>
      </c>
      <c r="D4956">
        <v>15</v>
      </c>
      <c r="E4956" t="s">
        <v>17</v>
      </c>
      <c r="F4956">
        <v>17.27</v>
      </c>
      <c r="G4956">
        <v>17.07</v>
      </c>
      <c r="H4956" t="s">
        <v>17</v>
      </c>
      <c r="I4956" t="str">
        <f>"063441011256"</f>
        <v>063441011256</v>
      </c>
    </row>
    <row r="4957" spans="1:9" x14ac:dyDescent="0.25">
      <c r="A4957" t="s">
        <v>4367</v>
      </c>
      <c r="B4957" t="s">
        <v>13</v>
      </c>
      <c r="C4957">
        <v>12</v>
      </c>
      <c r="D4957">
        <v>13.15</v>
      </c>
      <c r="E4957" t="s">
        <v>17</v>
      </c>
      <c r="F4957">
        <v>27.25</v>
      </c>
      <c r="G4957">
        <v>19.850000000000001</v>
      </c>
      <c r="H4957" t="s">
        <v>17</v>
      </c>
      <c r="I4957" t="str">
        <f>"062805011935"</f>
        <v>062805011935</v>
      </c>
    </row>
    <row r="4958" spans="1:9" x14ac:dyDescent="0.25">
      <c r="A4958" t="s">
        <v>4368</v>
      </c>
      <c r="B4958" t="s">
        <v>13</v>
      </c>
      <c r="C4958">
        <v>13.5</v>
      </c>
      <c r="D4958" t="s">
        <v>17</v>
      </c>
      <c r="E4958" t="s">
        <v>17</v>
      </c>
      <c r="F4958">
        <v>23.85</v>
      </c>
      <c r="G4958" t="s">
        <v>17</v>
      </c>
      <c r="H4958" t="s">
        <v>17</v>
      </c>
      <c r="I4958" t="str">
        <f>"062271012705"</f>
        <v>062271012705</v>
      </c>
    </row>
    <row r="4959" spans="1:9" x14ac:dyDescent="0.25">
      <c r="A4959" t="s">
        <v>4369</v>
      </c>
      <c r="B4959" t="s">
        <v>13</v>
      </c>
      <c r="C4959">
        <v>9</v>
      </c>
      <c r="D4959">
        <v>6</v>
      </c>
      <c r="E4959" t="s">
        <v>17</v>
      </c>
      <c r="F4959">
        <v>36.67</v>
      </c>
      <c r="G4959">
        <v>38.83</v>
      </c>
      <c r="H4959" t="s">
        <v>17</v>
      </c>
      <c r="I4959" t="str">
        <f>"062271012717"</f>
        <v>062271012717</v>
      </c>
    </row>
    <row r="4960" spans="1:9" x14ac:dyDescent="0.25">
      <c r="A4960" t="s">
        <v>4370</v>
      </c>
      <c r="B4960" t="s">
        <v>13</v>
      </c>
      <c r="C4960">
        <v>13</v>
      </c>
      <c r="D4960">
        <v>13</v>
      </c>
      <c r="E4960" t="s">
        <v>17</v>
      </c>
      <c r="F4960">
        <v>31.15</v>
      </c>
      <c r="G4960">
        <v>30.77</v>
      </c>
      <c r="H4960" t="s">
        <v>17</v>
      </c>
      <c r="I4960" t="str">
        <f>"060231011444"</f>
        <v>060231011444</v>
      </c>
    </row>
    <row r="4961" spans="1:9" x14ac:dyDescent="0.25">
      <c r="A4961" t="s">
        <v>4371</v>
      </c>
      <c r="B4961" t="s">
        <v>13</v>
      </c>
      <c r="C4961" t="s">
        <v>17</v>
      </c>
      <c r="D4961" t="s">
        <v>14</v>
      </c>
      <c r="E4961" t="s">
        <v>14</v>
      </c>
      <c r="F4961" t="s">
        <v>17</v>
      </c>
      <c r="G4961" t="s">
        <v>14</v>
      </c>
      <c r="H4961" t="s">
        <v>14</v>
      </c>
      <c r="I4961" t="str">
        <f>"062271013657"</f>
        <v>062271013657</v>
      </c>
    </row>
    <row r="4962" spans="1:9" x14ac:dyDescent="0.25">
      <c r="A4962" t="s">
        <v>4372</v>
      </c>
      <c r="B4962" t="s">
        <v>13</v>
      </c>
      <c r="C4962">
        <v>19.3</v>
      </c>
      <c r="D4962">
        <v>22.05</v>
      </c>
      <c r="E4962" t="s">
        <v>17</v>
      </c>
      <c r="F4962">
        <v>24.51</v>
      </c>
      <c r="G4962">
        <v>20.45</v>
      </c>
      <c r="H4962" t="s">
        <v>17</v>
      </c>
      <c r="I4962" t="str">
        <f>"063471011893"</f>
        <v>063471011893</v>
      </c>
    </row>
    <row r="4963" spans="1:9" x14ac:dyDescent="0.25">
      <c r="A4963" t="s">
        <v>4373</v>
      </c>
      <c r="B4963" t="s">
        <v>13</v>
      </c>
      <c r="C4963">
        <v>19.5</v>
      </c>
      <c r="D4963">
        <v>15.5</v>
      </c>
      <c r="E4963" t="s">
        <v>17</v>
      </c>
      <c r="F4963">
        <v>23.85</v>
      </c>
      <c r="G4963">
        <v>28.52</v>
      </c>
      <c r="H4963" t="s">
        <v>17</v>
      </c>
      <c r="I4963" t="str">
        <f>"062271011324"</f>
        <v>062271011324</v>
      </c>
    </row>
    <row r="4964" spans="1:9" x14ac:dyDescent="0.25">
      <c r="A4964" t="s">
        <v>4374</v>
      </c>
      <c r="B4964" t="s">
        <v>13</v>
      </c>
      <c r="C4964">
        <v>2</v>
      </c>
      <c r="D4964" t="s">
        <v>14</v>
      </c>
      <c r="E4964" t="s">
        <v>14</v>
      </c>
      <c r="F4964">
        <v>43</v>
      </c>
      <c r="G4964" t="s">
        <v>14</v>
      </c>
      <c r="H4964" t="s">
        <v>14</v>
      </c>
      <c r="I4964" t="str">
        <f>"062271013002"</f>
        <v>062271013002</v>
      </c>
    </row>
    <row r="4965" spans="1:9" x14ac:dyDescent="0.25">
      <c r="A4965" t="s">
        <v>4375</v>
      </c>
      <c r="B4965" t="s">
        <v>13</v>
      </c>
      <c r="C4965">
        <v>25</v>
      </c>
      <c r="D4965">
        <v>19</v>
      </c>
      <c r="E4965" t="s">
        <v>17</v>
      </c>
      <c r="F4965">
        <v>20.6</v>
      </c>
      <c r="G4965">
        <v>22.47</v>
      </c>
      <c r="H4965" t="s">
        <v>17</v>
      </c>
      <c r="I4965" t="str">
        <f>"062271012292"</f>
        <v>062271012292</v>
      </c>
    </row>
    <row r="4966" spans="1:9" x14ac:dyDescent="0.25">
      <c r="A4966" t="s">
        <v>4376</v>
      </c>
      <c r="B4966" t="s">
        <v>13</v>
      </c>
      <c r="C4966">
        <v>16.75</v>
      </c>
      <c r="D4966">
        <v>17</v>
      </c>
      <c r="E4966" t="s">
        <v>17</v>
      </c>
      <c r="F4966">
        <v>20.78</v>
      </c>
      <c r="G4966">
        <v>20.47</v>
      </c>
      <c r="H4966" t="s">
        <v>17</v>
      </c>
      <c r="I4966" t="str">
        <f>"063441011255"</f>
        <v>063441011255</v>
      </c>
    </row>
    <row r="4967" spans="1:9" x14ac:dyDescent="0.25">
      <c r="A4967" t="s">
        <v>4377</v>
      </c>
      <c r="B4967" t="s">
        <v>13</v>
      </c>
      <c r="C4967" t="s">
        <v>17</v>
      </c>
      <c r="D4967" t="s">
        <v>14</v>
      </c>
      <c r="E4967" t="s">
        <v>14</v>
      </c>
      <c r="F4967" t="s">
        <v>17</v>
      </c>
      <c r="G4967" t="s">
        <v>14</v>
      </c>
      <c r="H4967" t="s">
        <v>14</v>
      </c>
      <c r="I4967" t="str">
        <f>"063441013410"</f>
        <v>063441013410</v>
      </c>
    </row>
    <row r="4968" spans="1:9" x14ac:dyDescent="0.25">
      <c r="A4968" t="s">
        <v>4378</v>
      </c>
      <c r="B4968" t="s">
        <v>13</v>
      </c>
      <c r="C4968">
        <v>20.61</v>
      </c>
      <c r="D4968">
        <v>21</v>
      </c>
      <c r="E4968" t="s">
        <v>17</v>
      </c>
      <c r="F4968">
        <v>19.84</v>
      </c>
      <c r="G4968">
        <v>16.899999999999999</v>
      </c>
      <c r="H4968" t="s">
        <v>17</v>
      </c>
      <c r="I4968" t="str">
        <f>"061182012236"</f>
        <v>061182012236</v>
      </c>
    </row>
    <row r="4969" spans="1:9" x14ac:dyDescent="0.25">
      <c r="A4969" t="s">
        <v>4379</v>
      </c>
      <c r="B4969" t="s">
        <v>13</v>
      </c>
      <c r="C4969">
        <v>5</v>
      </c>
      <c r="D4969" t="s">
        <v>14</v>
      </c>
      <c r="E4969" t="s">
        <v>14</v>
      </c>
      <c r="F4969">
        <v>18.2</v>
      </c>
      <c r="G4969" t="s">
        <v>14</v>
      </c>
      <c r="H4969" t="s">
        <v>14</v>
      </c>
      <c r="I4969" t="str">
        <f>"062271013004"</f>
        <v>062271013004</v>
      </c>
    </row>
    <row r="4970" spans="1:9" x14ac:dyDescent="0.25">
      <c r="A4970" t="s">
        <v>4380</v>
      </c>
      <c r="B4970" t="s">
        <v>13</v>
      </c>
      <c r="C4970" t="s">
        <v>17</v>
      </c>
      <c r="D4970" t="s">
        <v>14</v>
      </c>
      <c r="E4970" t="s">
        <v>14</v>
      </c>
      <c r="F4970" t="s">
        <v>17</v>
      </c>
      <c r="G4970" t="s">
        <v>14</v>
      </c>
      <c r="H4970" t="s">
        <v>14</v>
      </c>
      <c r="I4970" t="str">
        <f>"062271013005"</f>
        <v>062271013005</v>
      </c>
    </row>
    <row r="4971" spans="1:9" x14ac:dyDescent="0.25">
      <c r="A4971" t="s">
        <v>4381</v>
      </c>
      <c r="B4971" t="s">
        <v>13</v>
      </c>
      <c r="C4971">
        <v>18.36</v>
      </c>
      <c r="D4971">
        <v>19.72</v>
      </c>
      <c r="E4971" t="s">
        <v>17</v>
      </c>
      <c r="F4971">
        <v>21.51</v>
      </c>
      <c r="G4971">
        <v>20.13</v>
      </c>
      <c r="H4971" t="s">
        <v>17</v>
      </c>
      <c r="I4971" t="str">
        <f>"063471011159"</f>
        <v>063471011159</v>
      </c>
    </row>
    <row r="4972" spans="1:9" x14ac:dyDescent="0.25">
      <c r="A4972" t="s">
        <v>4382</v>
      </c>
      <c r="B4972" t="s">
        <v>13</v>
      </c>
      <c r="C4972">
        <v>9</v>
      </c>
      <c r="D4972">
        <v>10.5</v>
      </c>
      <c r="E4972" t="s">
        <v>17</v>
      </c>
      <c r="F4972">
        <v>6.78</v>
      </c>
      <c r="G4972">
        <v>4.4800000000000004</v>
      </c>
      <c r="H4972" t="s">
        <v>17</v>
      </c>
      <c r="I4972" t="str">
        <f>"069107812777"</f>
        <v>069107812777</v>
      </c>
    </row>
    <row r="4973" spans="1:9" x14ac:dyDescent="0.25">
      <c r="A4973" t="s">
        <v>4383</v>
      </c>
      <c r="B4973" t="s">
        <v>13</v>
      </c>
      <c r="C4973">
        <v>10</v>
      </c>
      <c r="D4973">
        <v>11</v>
      </c>
      <c r="E4973" t="s">
        <v>17</v>
      </c>
      <c r="F4973">
        <v>29.7</v>
      </c>
      <c r="G4973">
        <v>26.64</v>
      </c>
      <c r="H4973" t="s">
        <v>17</v>
      </c>
      <c r="I4973" t="str">
        <f>"061455001745"</f>
        <v>061455001745</v>
      </c>
    </row>
    <row r="4974" spans="1:9" x14ac:dyDescent="0.25">
      <c r="A4974" t="s">
        <v>4384</v>
      </c>
      <c r="B4974" t="s">
        <v>13</v>
      </c>
      <c r="C4974">
        <v>5</v>
      </c>
      <c r="D4974">
        <v>4</v>
      </c>
      <c r="E4974" t="s">
        <v>17</v>
      </c>
      <c r="F4974">
        <v>19.399999999999999</v>
      </c>
      <c r="G4974">
        <v>21.75</v>
      </c>
      <c r="H4974" t="s">
        <v>17</v>
      </c>
      <c r="I4974" t="str">
        <f>"061986002385"</f>
        <v>061986002385</v>
      </c>
    </row>
    <row r="4975" spans="1:9" x14ac:dyDescent="0.25">
      <c r="A4975" t="s">
        <v>4385</v>
      </c>
      <c r="B4975" t="s">
        <v>13</v>
      </c>
      <c r="C4975">
        <v>18</v>
      </c>
      <c r="D4975">
        <v>20.5</v>
      </c>
      <c r="E4975" t="s">
        <v>17</v>
      </c>
      <c r="F4975">
        <v>22.5</v>
      </c>
      <c r="G4975">
        <v>19.71</v>
      </c>
      <c r="H4975" t="s">
        <v>17</v>
      </c>
      <c r="I4975" t="str">
        <f>"061989002386"</f>
        <v>061989002386</v>
      </c>
    </row>
    <row r="4976" spans="1:9" x14ac:dyDescent="0.25">
      <c r="A4976" t="s">
        <v>4385</v>
      </c>
      <c r="B4976" t="s">
        <v>13</v>
      </c>
      <c r="C4976">
        <v>15.5</v>
      </c>
      <c r="D4976">
        <v>16</v>
      </c>
      <c r="E4976" t="s">
        <v>17</v>
      </c>
      <c r="F4976">
        <v>23.35</v>
      </c>
      <c r="G4976">
        <v>23</v>
      </c>
      <c r="H4976" t="s">
        <v>17</v>
      </c>
      <c r="I4976" t="str">
        <f>"062121012490"</f>
        <v>062121012490</v>
      </c>
    </row>
    <row r="4977" spans="1:9" x14ac:dyDescent="0.25">
      <c r="A4977" t="s">
        <v>4386</v>
      </c>
      <c r="B4977" t="s">
        <v>13</v>
      </c>
      <c r="C4977">
        <v>17</v>
      </c>
      <c r="D4977">
        <v>12.1</v>
      </c>
      <c r="E4977" t="s">
        <v>17</v>
      </c>
      <c r="F4977">
        <v>20.71</v>
      </c>
      <c r="G4977">
        <v>30.33</v>
      </c>
      <c r="H4977" t="s">
        <v>17</v>
      </c>
      <c r="I4977" t="str">
        <f>"063384005262"</f>
        <v>063384005262</v>
      </c>
    </row>
    <row r="4978" spans="1:9" x14ac:dyDescent="0.25">
      <c r="A4978" t="s">
        <v>4387</v>
      </c>
      <c r="B4978" t="s">
        <v>13</v>
      </c>
      <c r="C4978">
        <v>33</v>
      </c>
      <c r="D4978">
        <v>34</v>
      </c>
      <c r="E4978" t="s">
        <v>17</v>
      </c>
      <c r="F4978">
        <v>23.73</v>
      </c>
      <c r="G4978">
        <v>23.5</v>
      </c>
      <c r="H4978" t="s">
        <v>17</v>
      </c>
      <c r="I4978" t="str">
        <f>"062271003118"</f>
        <v>062271003118</v>
      </c>
    </row>
    <row r="4979" spans="1:9" x14ac:dyDescent="0.25">
      <c r="A4979" t="s">
        <v>4388</v>
      </c>
      <c r="B4979" t="s">
        <v>13</v>
      </c>
      <c r="C4979">
        <v>3.2</v>
      </c>
      <c r="D4979">
        <v>2.2000000000000002</v>
      </c>
      <c r="E4979" t="s">
        <v>17</v>
      </c>
      <c r="F4979">
        <v>5.63</v>
      </c>
      <c r="G4979">
        <v>6.36</v>
      </c>
      <c r="H4979" t="s">
        <v>17</v>
      </c>
      <c r="I4979" t="str">
        <f>"061389008574"</f>
        <v>061389008574</v>
      </c>
    </row>
    <row r="4980" spans="1:9" x14ac:dyDescent="0.25">
      <c r="A4980" t="s">
        <v>4389</v>
      </c>
      <c r="B4980" t="s">
        <v>13</v>
      </c>
      <c r="C4980">
        <v>5</v>
      </c>
      <c r="D4980">
        <v>2.5</v>
      </c>
      <c r="E4980" t="s">
        <v>17</v>
      </c>
      <c r="F4980">
        <v>23.2</v>
      </c>
      <c r="G4980">
        <v>11.6</v>
      </c>
      <c r="H4980" t="s">
        <v>17</v>
      </c>
      <c r="I4980" t="str">
        <f>"069106311577"</f>
        <v>069106311577</v>
      </c>
    </row>
    <row r="4981" spans="1:9" x14ac:dyDescent="0.25">
      <c r="A4981" t="s">
        <v>4390</v>
      </c>
      <c r="B4981" t="s">
        <v>13</v>
      </c>
      <c r="C4981">
        <v>1</v>
      </c>
      <c r="D4981">
        <v>1</v>
      </c>
      <c r="E4981" t="s">
        <v>17</v>
      </c>
      <c r="F4981">
        <v>16</v>
      </c>
      <c r="G4981">
        <v>13</v>
      </c>
      <c r="H4981" t="s">
        <v>17</v>
      </c>
      <c r="I4981" t="str">
        <f>"061992002387"</f>
        <v>061992002387</v>
      </c>
    </row>
    <row r="4982" spans="1:9" x14ac:dyDescent="0.25">
      <c r="A4982" t="s">
        <v>4391</v>
      </c>
      <c r="B4982" t="s">
        <v>13</v>
      </c>
      <c r="C4982">
        <v>2.48</v>
      </c>
      <c r="D4982">
        <v>3.18</v>
      </c>
      <c r="E4982" t="s">
        <v>17</v>
      </c>
      <c r="F4982">
        <v>12.9</v>
      </c>
      <c r="G4982">
        <v>9.43</v>
      </c>
      <c r="H4982" t="s">
        <v>17</v>
      </c>
      <c r="I4982" t="str">
        <f>"061998002395"</f>
        <v>061998002395</v>
      </c>
    </row>
    <row r="4983" spans="1:9" x14ac:dyDescent="0.25">
      <c r="A4983" t="s">
        <v>4392</v>
      </c>
      <c r="B4983" t="s">
        <v>13</v>
      </c>
      <c r="C4983">
        <v>5</v>
      </c>
      <c r="D4983">
        <v>6</v>
      </c>
      <c r="E4983" t="s">
        <v>17</v>
      </c>
      <c r="F4983">
        <v>17.8</v>
      </c>
      <c r="G4983">
        <v>19.5</v>
      </c>
      <c r="H4983" t="s">
        <v>17</v>
      </c>
      <c r="I4983" t="str">
        <f>"062001002396"</f>
        <v>062001002396</v>
      </c>
    </row>
    <row r="4984" spans="1:9" x14ac:dyDescent="0.25">
      <c r="A4984" t="s">
        <v>4393</v>
      </c>
      <c r="B4984" t="s">
        <v>13</v>
      </c>
      <c r="C4984">
        <v>20.65</v>
      </c>
      <c r="D4984">
        <v>20.5</v>
      </c>
      <c r="E4984" t="s">
        <v>17</v>
      </c>
      <c r="F4984">
        <v>22.86</v>
      </c>
      <c r="G4984">
        <v>23.07</v>
      </c>
      <c r="H4984" t="s">
        <v>17</v>
      </c>
      <c r="I4984" t="str">
        <f>"062004002397"</f>
        <v>062004002397</v>
      </c>
    </row>
    <row r="4985" spans="1:9" x14ac:dyDescent="0.25">
      <c r="A4985" t="s">
        <v>4394</v>
      </c>
      <c r="B4985" t="s">
        <v>13</v>
      </c>
      <c r="C4985">
        <v>29</v>
      </c>
      <c r="D4985">
        <v>30</v>
      </c>
      <c r="E4985" t="s">
        <v>17</v>
      </c>
      <c r="F4985">
        <v>29.21</v>
      </c>
      <c r="G4985">
        <v>27.97</v>
      </c>
      <c r="H4985" t="s">
        <v>17</v>
      </c>
      <c r="I4985" t="str">
        <f>"063488009439"</f>
        <v>063488009439</v>
      </c>
    </row>
    <row r="4986" spans="1:9" x14ac:dyDescent="0.25">
      <c r="A4986" t="s">
        <v>4395</v>
      </c>
      <c r="B4986" t="s">
        <v>13</v>
      </c>
      <c r="C4986">
        <v>15</v>
      </c>
      <c r="D4986">
        <v>16</v>
      </c>
      <c r="E4986" t="s">
        <v>17</v>
      </c>
      <c r="F4986">
        <v>25.73</v>
      </c>
      <c r="G4986">
        <v>26.88</v>
      </c>
      <c r="H4986" t="s">
        <v>17</v>
      </c>
      <c r="I4986" t="str">
        <f>"063684006259"</f>
        <v>063684006259</v>
      </c>
    </row>
    <row r="4987" spans="1:9" x14ac:dyDescent="0.25">
      <c r="A4987" t="s">
        <v>4396</v>
      </c>
      <c r="B4987" t="s">
        <v>13</v>
      </c>
      <c r="C4987">
        <v>20</v>
      </c>
      <c r="D4987">
        <v>15</v>
      </c>
      <c r="E4987" t="s">
        <v>17</v>
      </c>
      <c r="F4987">
        <v>21.25</v>
      </c>
      <c r="G4987">
        <v>26</v>
      </c>
      <c r="H4987" t="s">
        <v>17</v>
      </c>
      <c r="I4987" t="str">
        <f>"062271003119"</f>
        <v>062271003119</v>
      </c>
    </row>
    <row r="4988" spans="1:9" x14ac:dyDescent="0.25">
      <c r="A4988" t="s">
        <v>4397</v>
      </c>
      <c r="B4988" t="s">
        <v>13</v>
      </c>
      <c r="C4988" t="s">
        <v>17</v>
      </c>
      <c r="D4988" t="s">
        <v>14</v>
      </c>
      <c r="E4988" t="s">
        <v>14</v>
      </c>
      <c r="F4988" t="s">
        <v>17</v>
      </c>
      <c r="G4988" t="s">
        <v>14</v>
      </c>
      <c r="H4988" t="s">
        <v>14</v>
      </c>
      <c r="I4988" t="str">
        <f>"061674013351"</f>
        <v>061674013351</v>
      </c>
    </row>
    <row r="4989" spans="1:9" x14ac:dyDescent="0.25">
      <c r="A4989" t="s">
        <v>4398</v>
      </c>
      <c r="B4989" t="s">
        <v>13</v>
      </c>
      <c r="C4989" t="s">
        <v>14</v>
      </c>
      <c r="D4989" t="s">
        <v>14</v>
      </c>
      <c r="E4989" t="s">
        <v>17</v>
      </c>
      <c r="F4989" t="s">
        <v>14</v>
      </c>
      <c r="G4989" t="s">
        <v>14</v>
      </c>
      <c r="H4989" t="s">
        <v>17</v>
      </c>
      <c r="I4989" t="str">
        <f>"063432005494"</f>
        <v>063432005494</v>
      </c>
    </row>
    <row r="4990" spans="1:9" x14ac:dyDescent="0.25">
      <c r="A4990" t="s">
        <v>4399</v>
      </c>
      <c r="B4990" t="s">
        <v>13</v>
      </c>
      <c r="C4990">
        <v>27</v>
      </c>
      <c r="D4990">
        <v>22</v>
      </c>
      <c r="E4990" t="s">
        <v>14</v>
      </c>
      <c r="F4990">
        <v>18.37</v>
      </c>
      <c r="G4990">
        <v>18</v>
      </c>
      <c r="H4990" t="s">
        <v>14</v>
      </c>
      <c r="I4990" t="str">
        <f>"063432012892"</f>
        <v>063432012892</v>
      </c>
    </row>
    <row r="4991" spans="1:9" x14ac:dyDescent="0.25">
      <c r="A4991" t="s">
        <v>4400</v>
      </c>
      <c r="B4991" t="s">
        <v>13</v>
      </c>
      <c r="C4991">
        <v>9.1999999999999993</v>
      </c>
      <c r="D4991">
        <v>9.33</v>
      </c>
      <c r="E4991" t="s">
        <v>17</v>
      </c>
      <c r="F4991">
        <v>25.43</v>
      </c>
      <c r="G4991">
        <v>23.26</v>
      </c>
      <c r="H4991" t="s">
        <v>17</v>
      </c>
      <c r="I4991" t="str">
        <f>"063801006417"</f>
        <v>063801006417</v>
      </c>
    </row>
    <row r="4992" spans="1:9" x14ac:dyDescent="0.25">
      <c r="A4992" t="s">
        <v>4401</v>
      </c>
      <c r="B4992" t="s">
        <v>13</v>
      </c>
      <c r="C4992">
        <v>17</v>
      </c>
      <c r="D4992">
        <v>18.600000000000001</v>
      </c>
      <c r="E4992" t="s">
        <v>17</v>
      </c>
      <c r="F4992">
        <v>28.82</v>
      </c>
      <c r="G4992">
        <v>25.75</v>
      </c>
      <c r="H4992" t="s">
        <v>17</v>
      </c>
      <c r="I4992" t="str">
        <f>"060133205100"</f>
        <v>060133205100</v>
      </c>
    </row>
    <row r="4993" spans="1:9" x14ac:dyDescent="0.25">
      <c r="A4993" t="s">
        <v>4402</v>
      </c>
      <c r="B4993" t="s">
        <v>13</v>
      </c>
      <c r="C4993">
        <v>48.52</v>
      </c>
      <c r="D4993">
        <v>55.9</v>
      </c>
      <c r="E4993" t="s">
        <v>17</v>
      </c>
      <c r="F4993">
        <v>20.47</v>
      </c>
      <c r="G4993">
        <v>18.14</v>
      </c>
      <c r="H4993" t="s">
        <v>17</v>
      </c>
      <c r="I4993" t="str">
        <f>"063237004994"</f>
        <v>063237004994</v>
      </c>
    </row>
    <row r="4994" spans="1:9" x14ac:dyDescent="0.25">
      <c r="A4994" t="s">
        <v>4403</v>
      </c>
      <c r="B4994" t="s">
        <v>13</v>
      </c>
      <c r="C4994" t="s">
        <v>17</v>
      </c>
      <c r="D4994" t="s">
        <v>14</v>
      </c>
      <c r="E4994" t="s">
        <v>14</v>
      </c>
      <c r="F4994" t="s">
        <v>17</v>
      </c>
      <c r="G4994" t="s">
        <v>14</v>
      </c>
      <c r="H4994" t="s">
        <v>14</v>
      </c>
      <c r="I4994" t="str">
        <f>"062007013500"</f>
        <v>062007013500</v>
      </c>
    </row>
    <row r="4995" spans="1:9" x14ac:dyDescent="0.25">
      <c r="A4995" t="s">
        <v>4404</v>
      </c>
      <c r="B4995" t="s">
        <v>13</v>
      </c>
      <c r="C4995">
        <v>26.5</v>
      </c>
      <c r="D4995">
        <v>32.5</v>
      </c>
      <c r="E4995" t="s">
        <v>17</v>
      </c>
      <c r="F4995">
        <v>26.64</v>
      </c>
      <c r="G4995">
        <v>22.77</v>
      </c>
      <c r="H4995" t="s">
        <v>17</v>
      </c>
      <c r="I4995" t="str">
        <f>"061668008503"</f>
        <v>061668008503</v>
      </c>
    </row>
    <row r="4996" spans="1:9" x14ac:dyDescent="0.25">
      <c r="A4996" t="s">
        <v>4405</v>
      </c>
      <c r="B4996" t="s">
        <v>13</v>
      </c>
      <c r="C4996">
        <v>34.630000000000003</v>
      </c>
      <c r="D4996">
        <v>35.51</v>
      </c>
      <c r="E4996" t="s">
        <v>17</v>
      </c>
      <c r="F4996">
        <v>26.91</v>
      </c>
      <c r="G4996">
        <v>25.6</v>
      </c>
      <c r="H4996" t="s">
        <v>17</v>
      </c>
      <c r="I4996" t="str">
        <f>"063066004765"</f>
        <v>063066004765</v>
      </c>
    </row>
    <row r="4997" spans="1:9" x14ac:dyDescent="0.25">
      <c r="A4997" t="s">
        <v>4406</v>
      </c>
      <c r="B4997" t="s">
        <v>13</v>
      </c>
      <c r="C4997">
        <v>20</v>
      </c>
      <c r="D4997">
        <v>19</v>
      </c>
      <c r="E4997" t="s">
        <v>17</v>
      </c>
      <c r="F4997">
        <v>26.6</v>
      </c>
      <c r="G4997">
        <v>27.53</v>
      </c>
      <c r="H4997" t="s">
        <v>17</v>
      </c>
      <c r="I4997" t="str">
        <f>"061455001746"</f>
        <v>061455001746</v>
      </c>
    </row>
    <row r="4998" spans="1:9" x14ac:dyDescent="0.25">
      <c r="A4998" t="s">
        <v>4407</v>
      </c>
      <c r="B4998" t="s">
        <v>13</v>
      </c>
      <c r="C4998">
        <v>26.5</v>
      </c>
      <c r="D4998">
        <v>22.5</v>
      </c>
      <c r="E4998" t="s">
        <v>17</v>
      </c>
      <c r="F4998">
        <v>30.68</v>
      </c>
      <c r="G4998">
        <v>32.31</v>
      </c>
      <c r="H4998" t="s">
        <v>17</v>
      </c>
      <c r="I4998" t="str">
        <f>"060001412415"</f>
        <v>060001412415</v>
      </c>
    </row>
    <row r="4999" spans="1:9" x14ac:dyDescent="0.25">
      <c r="A4999" t="s">
        <v>4408</v>
      </c>
      <c r="B4999" t="s">
        <v>13</v>
      </c>
      <c r="C4999">
        <v>24.6</v>
      </c>
      <c r="D4999">
        <v>23.4</v>
      </c>
      <c r="E4999" t="s">
        <v>17</v>
      </c>
      <c r="F4999">
        <v>21.95</v>
      </c>
      <c r="G4999">
        <v>21.03</v>
      </c>
      <c r="H4999" t="s">
        <v>17</v>
      </c>
      <c r="I4999" t="str">
        <f>"063432003952"</f>
        <v>063432003952</v>
      </c>
    </row>
    <row r="5000" spans="1:9" x14ac:dyDescent="0.25">
      <c r="A5000" t="s">
        <v>4409</v>
      </c>
      <c r="B5000" t="s">
        <v>13</v>
      </c>
      <c r="C5000">
        <v>38.950000000000003</v>
      </c>
      <c r="D5000">
        <v>36.75</v>
      </c>
      <c r="E5000" t="s">
        <v>17</v>
      </c>
      <c r="F5000">
        <v>21.26</v>
      </c>
      <c r="G5000">
        <v>22.72</v>
      </c>
      <c r="H5000" t="s">
        <v>17</v>
      </c>
      <c r="I5000" t="str">
        <f>"060558011436"</f>
        <v>060558011436</v>
      </c>
    </row>
    <row r="5001" spans="1:9" x14ac:dyDescent="0.25">
      <c r="A5001" t="s">
        <v>4410</v>
      </c>
      <c r="B5001" t="s">
        <v>13</v>
      </c>
      <c r="C5001">
        <v>16</v>
      </c>
      <c r="D5001">
        <v>15.6</v>
      </c>
      <c r="E5001" t="s">
        <v>17</v>
      </c>
      <c r="F5001">
        <v>21.63</v>
      </c>
      <c r="G5001">
        <v>22.44</v>
      </c>
      <c r="H5001" t="s">
        <v>17</v>
      </c>
      <c r="I5001" t="str">
        <f>"061632502048"</f>
        <v>061632502048</v>
      </c>
    </row>
    <row r="5002" spans="1:9" x14ac:dyDescent="0.25">
      <c r="A5002" t="s">
        <v>4411</v>
      </c>
      <c r="B5002" t="s">
        <v>13</v>
      </c>
      <c r="C5002">
        <v>26.6</v>
      </c>
      <c r="D5002">
        <v>27.6</v>
      </c>
      <c r="E5002" t="s">
        <v>17</v>
      </c>
      <c r="F5002">
        <v>23.91</v>
      </c>
      <c r="G5002">
        <v>23.44</v>
      </c>
      <c r="H5002" t="s">
        <v>17</v>
      </c>
      <c r="I5002" t="str">
        <f>"062409003637"</f>
        <v>062409003637</v>
      </c>
    </row>
    <row r="5003" spans="1:9" x14ac:dyDescent="0.25">
      <c r="A5003" t="s">
        <v>4412</v>
      </c>
      <c r="B5003" t="s">
        <v>13</v>
      </c>
      <c r="C5003">
        <v>28.75</v>
      </c>
      <c r="D5003">
        <v>28.38</v>
      </c>
      <c r="E5003" t="s">
        <v>17</v>
      </c>
      <c r="F5003">
        <v>25.81</v>
      </c>
      <c r="G5003">
        <v>26.29</v>
      </c>
      <c r="H5003" t="s">
        <v>17</v>
      </c>
      <c r="I5003" t="str">
        <f>"061029008815"</f>
        <v>061029008815</v>
      </c>
    </row>
    <row r="5004" spans="1:9" x14ac:dyDescent="0.25">
      <c r="A5004" t="s">
        <v>4413</v>
      </c>
      <c r="B5004" t="s">
        <v>13</v>
      </c>
      <c r="C5004">
        <v>29.8</v>
      </c>
      <c r="D5004">
        <v>30.81</v>
      </c>
      <c r="E5004" t="s">
        <v>17</v>
      </c>
      <c r="F5004">
        <v>22.18</v>
      </c>
      <c r="G5004">
        <v>23.04</v>
      </c>
      <c r="H5004" t="s">
        <v>17</v>
      </c>
      <c r="I5004" t="str">
        <f>"061288009538"</f>
        <v>061288009538</v>
      </c>
    </row>
    <row r="5005" spans="1:9" x14ac:dyDescent="0.25">
      <c r="A5005" t="s">
        <v>4414</v>
      </c>
      <c r="B5005" t="s">
        <v>13</v>
      </c>
      <c r="C5005">
        <v>96.8</v>
      </c>
      <c r="D5005">
        <v>89.9</v>
      </c>
      <c r="E5005" t="s">
        <v>17</v>
      </c>
      <c r="F5005">
        <v>6.52</v>
      </c>
      <c r="G5005">
        <v>6.84</v>
      </c>
      <c r="H5005" t="s">
        <v>17</v>
      </c>
      <c r="I5005" t="str">
        <f>"069107809663"</f>
        <v>069107809663</v>
      </c>
    </row>
    <row r="5006" spans="1:9" x14ac:dyDescent="0.25">
      <c r="A5006" t="s">
        <v>4415</v>
      </c>
      <c r="B5006" t="s">
        <v>13</v>
      </c>
      <c r="C5006">
        <v>24</v>
      </c>
      <c r="D5006">
        <v>23</v>
      </c>
      <c r="E5006" t="s">
        <v>17</v>
      </c>
      <c r="F5006">
        <v>23.17</v>
      </c>
      <c r="G5006">
        <v>23.22</v>
      </c>
      <c r="H5006" t="s">
        <v>17</v>
      </c>
      <c r="I5006" t="str">
        <f>"061026001121"</f>
        <v>061026001121</v>
      </c>
    </row>
    <row r="5007" spans="1:9" x14ac:dyDescent="0.25">
      <c r="A5007" t="s">
        <v>4416</v>
      </c>
      <c r="B5007" t="s">
        <v>13</v>
      </c>
      <c r="C5007">
        <v>26.01</v>
      </c>
      <c r="D5007">
        <v>26.01</v>
      </c>
      <c r="E5007" t="s">
        <v>17</v>
      </c>
      <c r="F5007">
        <v>24.34</v>
      </c>
      <c r="G5007">
        <v>23.34</v>
      </c>
      <c r="H5007" t="s">
        <v>17</v>
      </c>
      <c r="I5007" t="str">
        <f>"062013002407"</f>
        <v>062013002407</v>
      </c>
    </row>
    <row r="5008" spans="1:9" x14ac:dyDescent="0.25">
      <c r="A5008" t="s">
        <v>4416</v>
      </c>
      <c r="B5008" t="s">
        <v>13</v>
      </c>
      <c r="C5008">
        <v>32.22</v>
      </c>
      <c r="D5008">
        <v>32.4</v>
      </c>
      <c r="E5008" t="s">
        <v>17</v>
      </c>
      <c r="F5008">
        <v>21.1</v>
      </c>
      <c r="G5008">
        <v>20.59</v>
      </c>
      <c r="H5008" t="s">
        <v>17</v>
      </c>
      <c r="I5008" t="str">
        <f>"062241002682"</f>
        <v>062241002682</v>
      </c>
    </row>
    <row r="5009" spans="1:9" x14ac:dyDescent="0.25">
      <c r="A5009" t="s">
        <v>4417</v>
      </c>
      <c r="B5009" t="s">
        <v>13</v>
      </c>
      <c r="C5009">
        <v>89.36</v>
      </c>
      <c r="D5009">
        <v>85.93</v>
      </c>
      <c r="E5009" t="s">
        <v>17</v>
      </c>
      <c r="F5009">
        <v>24.02</v>
      </c>
      <c r="G5009">
        <v>24.64</v>
      </c>
      <c r="H5009" t="s">
        <v>17</v>
      </c>
      <c r="I5009" t="str">
        <f>"062013002408"</f>
        <v>062013002408</v>
      </c>
    </row>
    <row r="5010" spans="1:9" x14ac:dyDescent="0.25">
      <c r="A5010" t="s">
        <v>4418</v>
      </c>
      <c r="B5010" t="s">
        <v>13</v>
      </c>
      <c r="C5010">
        <v>25.07</v>
      </c>
      <c r="D5010">
        <v>27</v>
      </c>
      <c r="E5010" t="s">
        <v>17</v>
      </c>
      <c r="F5010">
        <v>22.46</v>
      </c>
      <c r="G5010">
        <v>21.33</v>
      </c>
      <c r="H5010" t="s">
        <v>17</v>
      </c>
      <c r="I5010" t="str">
        <f>"061185001316"</f>
        <v>061185001316</v>
      </c>
    </row>
    <row r="5011" spans="1:9" x14ac:dyDescent="0.25">
      <c r="A5011" t="s">
        <v>4419</v>
      </c>
      <c r="B5011" t="s">
        <v>13</v>
      </c>
      <c r="C5011" t="s">
        <v>14</v>
      </c>
      <c r="D5011" t="s">
        <v>14</v>
      </c>
      <c r="E5011" t="s">
        <v>17</v>
      </c>
      <c r="F5011" t="s">
        <v>14</v>
      </c>
      <c r="G5011" t="s">
        <v>14</v>
      </c>
      <c r="H5011" t="s">
        <v>17</v>
      </c>
      <c r="I5011" t="str">
        <f>"063537006022"</f>
        <v>063537006022</v>
      </c>
    </row>
    <row r="5012" spans="1:9" x14ac:dyDescent="0.25">
      <c r="A5012" t="s">
        <v>4419</v>
      </c>
      <c r="B5012" t="s">
        <v>13</v>
      </c>
      <c r="C5012">
        <v>36.15</v>
      </c>
      <c r="D5012">
        <v>35.799999999999997</v>
      </c>
      <c r="E5012" t="s">
        <v>14</v>
      </c>
      <c r="F5012">
        <v>23.4</v>
      </c>
      <c r="G5012">
        <v>23.13</v>
      </c>
      <c r="H5012" t="s">
        <v>14</v>
      </c>
      <c r="I5012" t="str">
        <f>"060141406022"</f>
        <v>060141406022</v>
      </c>
    </row>
    <row r="5013" spans="1:9" x14ac:dyDescent="0.25">
      <c r="A5013" t="s">
        <v>4420</v>
      </c>
      <c r="B5013" t="s">
        <v>13</v>
      </c>
      <c r="C5013">
        <v>32.549999999999997</v>
      </c>
      <c r="D5013">
        <v>37.130000000000003</v>
      </c>
      <c r="E5013" t="s">
        <v>17</v>
      </c>
      <c r="F5013">
        <v>23.63</v>
      </c>
      <c r="G5013">
        <v>20.170000000000002</v>
      </c>
      <c r="H5013" t="s">
        <v>17</v>
      </c>
      <c r="I5013" t="str">
        <f>"062586009163"</f>
        <v>062586009163</v>
      </c>
    </row>
    <row r="5014" spans="1:9" x14ac:dyDescent="0.25">
      <c r="A5014" t="s">
        <v>4421</v>
      </c>
      <c r="B5014" t="s">
        <v>13</v>
      </c>
      <c r="C5014">
        <v>79.95</v>
      </c>
      <c r="D5014">
        <v>84.6</v>
      </c>
      <c r="E5014" t="s">
        <v>17</v>
      </c>
      <c r="F5014">
        <v>26.68</v>
      </c>
      <c r="G5014">
        <v>27.13</v>
      </c>
      <c r="H5014" t="s">
        <v>17</v>
      </c>
      <c r="I5014" t="str">
        <f>"063438006516"</f>
        <v>063438006516</v>
      </c>
    </row>
    <row r="5015" spans="1:9" x14ac:dyDescent="0.25">
      <c r="A5015" t="s">
        <v>4422</v>
      </c>
      <c r="B5015" t="s">
        <v>13</v>
      </c>
      <c r="C5015">
        <v>28.1</v>
      </c>
      <c r="D5015">
        <v>31.2</v>
      </c>
      <c r="E5015" t="s">
        <v>17</v>
      </c>
      <c r="F5015">
        <v>23.77</v>
      </c>
      <c r="G5015">
        <v>21.54</v>
      </c>
      <c r="H5015" t="s">
        <v>17</v>
      </c>
      <c r="I5015" t="str">
        <f>"061275008830"</f>
        <v>061275008830</v>
      </c>
    </row>
    <row r="5016" spans="1:9" x14ac:dyDescent="0.25">
      <c r="A5016" t="s">
        <v>4423</v>
      </c>
      <c r="B5016" t="s">
        <v>13</v>
      </c>
      <c r="C5016">
        <v>34</v>
      </c>
      <c r="D5016">
        <v>35.5</v>
      </c>
      <c r="E5016" t="s">
        <v>17</v>
      </c>
      <c r="F5016">
        <v>27.97</v>
      </c>
      <c r="G5016">
        <v>25.07</v>
      </c>
      <c r="H5016" t="s">
        <v>17</v>
      </c>
      <c r="I5016" t="str">
        <f>"063488008974"</f>
        <v>063488008974</v>
      </c>
    </row>
    <row r="5017" spans="1:9" x14ac:dyDescent="0.25">
      <c r="A5017" t="s">
        <v>4424</v>
      </c>
      <c r="B5017" t="s">
        <v>13</v>
      </c>
      <c r="C5017">
        <v>19.75</v>
      </c>
      <c r="D5017">
        <v>19</v>
      </c>
      <c r="E5017" t="s">
        <v>17</v>
      </c>
      <c r="F5017">
        <v>26.78</v>
      </c>
      <c r="G5017">
        <v>25.63</v>
      </c>
      <c r="H5017" t="s">
        <v>17</v>
      </c>
      <c r="I5017" t="str">
        <f>"061524001936"</f>
        <v>061524001936</v>
      </c>
    </row>
    <row r="5018" spans="1:9" x14ac:dyDescent="0.25">
      <c r="A5018" t="s">
        <v>4425</v>
      </c>
      <c r="B5018" t="s">
        <v>13</v>
      </c>
      <c r="C5018" t="s">
        <v>14</v>
      </c>
      <c r="D5018" t="s">
        <v>14</v>
      </c>
      <c r="E5018" t="s">
        <v>17</v>
      </c>
      <c r="F5018" t="s">
        <v>14</v>
      </c>
      <c r="G5018" t="s">
        <v>14</v>
      </c>
      <c r="H5018" t="s">
        <v>17</v>
      </c>
      <c r="I5018" t="str">
        <f>"063537006023"</f>
        <v>063537006023</v>
      </c>
    </row>
    <row r="5019" spans="1:9" x14ac:dyDescent="0.25">
      <c r="A5019" t="s">
        <v>4425</v>
      </c>
      <c r="B5019" t="s">
        <v>13</v>
      </c>
      <c r="C5019">
        <v>7.02</v>
      </c>
      <c r="D5019">
        <v>6.62</v>
      </c>
      <c r="E5019" t="s">
        <v>14</v>
      </c>
      <c r="F5019">
        <v>18.8</v>
      </c>
      <c r="G5019">
        <v>18.88</v>
      </c>
      <c r="H5019" t="s">
        <v>14</v>
      </c>
      <c r="I5019" t="str">
        <f>"060141406023"</f>
        <v>060141406023</v>
      </c>
    </row>
    <row r="5020" spans="1:9" x14ac:dyDescent="0.25">
      <c r="A5020" t="s">
        <v>4426</v>
      </c>
      <c r="B5020" t="s">
        <v>13</v>
      </c>
      <c r="C5020">
        <v>24.4</v>
      </c>
      <c r="D5020">
        <v>25.4</v>
      </c>
      <c r="E5020" t="s">
        <v>14</v>
      </c>
      <c r="F5020">
        <v>21.8</v>
      </c>
      <c r="G5020">
        <v>21.81</v>
      </c>
      <c r="H5020" t="s">
        <v>14</v>
      </c>
      <c r="I5020" t="str">
        <f>"060141406024"</f>
        <v>060141406024</v>
      </c>
    </row>
    <row r="5021" spans="1:9" x14ac:dyDescent="0.25">
      <c r="A5021" t="s">
        <v>4426</v>
      </c>
      <c r="B5021" t="s">
        <v>13</v>
      </c>
      <c r="C5021" t="s">
        <v>14</v>
      </c>
      <c r="D5021" t="s">
        <v>14</v>
      </c>
      <c r="E5021" t="s">
        <v>17</v>
      </c>
      <c r="F5021" t="s">
        <v>14</v>
      </c>
      <c r="G5021" t="s">
        <v>14</v>
      </c>
      <c r="H5021" t="s">
        <v>17</v>
      </c>
      <c r="I5021" t="str">
        <f>"063537006024"</f>
        <v>063537006024</v>
      </c>
    </row>
    <row r="5022" spans="1:9" x14ac:dyDescent="0.25">
      <c r="A5022" t="s">
        <v>4427</v>
      </c>
      <c r="B5022" t="s">
        <v>13</v>
      </c>
      <c r="C5022">
        <v>1</v>
      </c>
      <c r="D5022">
        <v>7.01</v>
      </c>
      <c r="E5022" t="s">
        <v>17</v>
      </c>
      <c r="F5022">
        <v>65</v>
      </c>
      <c r="G5022">
        <v>16.260000000000002</v>
      </c>
      <c r="H5022" t="s">
        <v>17</v>
      </c>
      <c r="I5022" t="str">
        <f>"063462005789"</f>
        <v>063462005789</v>
      </c>
    </row>
    <row r="5023" spans="1:9" x14ac:dyDescent="0.25">
      <c r="A5023" t="s">
        <v>4428</v>
      </c>
      <c r="B5023" t="s">
        <v>13</v>
      </c>
      <c r="C5023">
        <v>3</v>
      </c>
      <c r="D5023">
        <v>4</v>
      </c>
      <c r="E5023" t="s">
        <v>17</v>
      </c>
      <c r="F5023">
        <v>27.33</v>
      </c>
      <c r="G5023">
        <v>21.25</v>
      </c>
      <c r="H5023" t="s">
        <v>17</v>
      </c>
      <c r="I5023" t="str">
        <f>"063066006103"</f>
        <v>063066006103</v>
      </c>
    </row>
    <row r="5024" spans="1:9" x14ac:dyDescent="0.25">
      <c r="A5024" t="s">
        <v>4429</v>
      </c>
      <c r="B5024" t="s">
        <v>13</v>
      </c>
      <c r="C5024">
        <v>38.74</v>
      </c>
      <c r="D5024">
        <v>40.1</v>
      </c>
      <c r="E5024" t="s">
        <v>17</v>
      </c>
      <c r="F5024">
        <v>19.23</v>
      </c>
      <c r="G5024">
        <v>17.16</v>
      </c>
      <c r="H5024" t="s">
        <v>17</v>
      </c>
      <c r="I5024" t="str">
        <f>"062238002674"</f>
        <v>062238002674</v>
      </c>
    </row>
    <row r="5025" spans="1:9" x14ac:dyDescent="0.25">
      <c r="A5025" t="s">
        <v>4430</v>
      </c>
      <c r="B5025" t="s">
        <v>13</v>
      </c>
      <c r="C5025">
        <v>14</v>
      </c>
      <c r="D5025">
        <v>11</v>
      </c>
      <c r="E5025" t="s">
        <v>17</v>
      </c>
      <c r="F5025">
        <v>19.93</v>
      </c>
      <c r="G5025">
        <v>23</v>
      </c>
      <c r="H5025" t="s">
        <v>17</v>
      </c>
      <c r="I5025" t="str">
        <f>"062805004284"</f>
        <v>062805004284</v>
      </c>
    </row>
    <row r="5026" spans="1:9" x14ac:dyDescent="0.25">
      <c r="A5026" t="s">
        <v>4431</v>
      </c>
      <c r="B5026" t="s">
        <v>13</v>
      </c>
      <c r="C5026">
        <v>10.5</v>
      </c>
      <c r="D5026">
        <v>10.8</v>
      </c>
      <c r="E5026" t="s">
        <v>17</v>
      </c>
      <c r="F5026">
        <v>12.29</v>
      </c>
      <c r="G5026">
        <v>13.06</v>
      </c>
      <c r="H5026" t="s">
        <v>17</v>
      </c>
      <c r="I5026" t="str">
        <f>"060907000923"</f>
        <v>060907000923</v>
      </c>
    </row>
    <row r="5027" spans="1:9" x14ac:dyDescent="0.25">
      <c r="A5027" t="s">
        <v>4432</v>
      </c>
      <c r="B5027" t="s">
        <v>13</v>
      </c>
      <c r="C5027">
        <v>29.1</v>
      </c>
      <c r="D5027">
        <v>28.8</v>
      </c>
      <c r="E5027" t="s">
        <v>17</v>
      </c>
      <c r="F5027">
        <v>26.49</v>
      </c>
      <c r="G5027">
        <v>25.42</v>
      </c>
      <c r="H5027" t="s">
        <v>17</v>
      </c>
      <c r="I5027" t="str">
        <f>"061527001955"</f>
        <v>061527001955</v>
      </c>
    </row>
    <row r="5028" spans="1:9" x14ac:dyDescent="0.25">
      <c r="A5028" t="s">
        <v>4433</v>
      </c>
      <c r="B5028" t="s">
        <v>13</v>
      </c>
      <c r="C5028">
        <v>39.5</v>
      </c>
      <c r="D5028">
        <v>40.130000000000003</v>
      </c>
      <c r="E5028" t="s">
        <v>17</v>
      </c>
      <c r="F5028">
        <v>24.61</v>
      </c>
      <c r="G5028">
        <v>22.85</v>
      </c>
      <c r="H5028" t="s">
        <v>17</v>
      </c>
      <c r="I5028" t="str">
        <f>"060004607185"</f>
        <v>060004607185</v>
      </c>
    </row>
    <row r="5029" spans="1:9" x14ac:dyDescent="0.25">
      <c r="A5029" t="s">
        <v>4434</v>
      </c>
      <c r="B5029" t="s">
        <v>13</v>
      </c>
      <c r="C5029">
        <v>25</v>
      </c>
      <c r="D5029">
        <v>24</v>
      </c>
      <c r="E5029" t="s">
        <v>17</v>
      </c>
      <c r="F5029">
        <v>27.32</v>
      </c>
      <c r="G5029">
        <v>28.33</v>
      </c>
      <c r="H5029" t="s">
        <v>17</v>
      </c>
      <c r="I5029" t="str">
        <f>"060243000133"</f>
        <v>060243000133</v>
      </c>
    </row>
    <row r="5030" spans="1:9" x14ac:dyDescent="0.25">
      <c r="A5030" t="s">
        <v>4435</v>
      </c>
      <c r="B5030" t="s">
        <v>13</v>
      </c>
      <c r="C5030" t="s">
        <v>14</v>
      </c>
      <c r="D5030">
        <v>1</v>
      </c>
      <c r="E5030" t="s">
        <v>17</v>
      </c>
      <c r="F5030" t="s">
        <v>14</v>
      </c>
      <c r="G5030">
        <v>10</v>
      </c>
      <c r="H5030" t="s">
        <v>17</v>
      </c>
      <c r="I5030" t="str">
        <f>"062016002410"</f>
        <v>062016002410</v>
      </c>
    </row>
    <row r="5031" spans="1:9" x14ac:dyDescent="0.25">
      <c r="A5031" t="s">
        <v>4435</v>
      </c>
      <c r="B5031" t="s">
        <v>13</v>
      </c>
      <c r="C5031" t="s">
        <v>17</v>
      </c>
      <c r="D5031" t="s">
        <v>14</v>
      </c>
      <c r="E5031" t="s">
        <v>14</v>
      </c>
      <c r="F5031" t="s">
        <v>17</v>
      </c>
      <c r="G5031" t="s">
        <v>14</v>
      </c>
      <c r="H5031" t="s">
        <v>14</v>
      </c>
      <c r="I5031" t="str">
        <f>"063321002410"</f>
        <v>063321002410</v>
      </c>
    </row>
    <row r="5032" spans="1:9" x14ac:dyDescent="0.25">
      <c r="A5032" t="s">
        <v>4436</v>
      </c>
      <c r="B5032" t="s">
        <v>13</v>
      </c>
      <c r="C5032">
        <v>76.3</v>
      </c>
      <c r="D5032">
        <v>79.400000000000006</v>
      </c>
      <c r="E5032" t="s">
        <v>17</v>
      </c>
      <c r="F5032">
        <v>28.79</v>
      </c>
      <c r="G5032">
        <v>28.41</v>
      </c>
      <c r="H5032" t="s">
        <v>17</v>
      </c>
      <c r="I5032" t="str">
        <f>"061476001811"</f>
        <v>061476001811</v>
      </c>
    </row>
    <row r="5033" spans="1:9" x14ac:dyDescent="0.25">
      <c r="A5033" t="s">
        <v>4437</v>
      </c>
      <c r="B5033" t="s">
        <v>13</v>
      </c>
      <c r="C5033">
        <v>3.5</v>
      </c>
      <c r="D5033">
        <v>5</v>
      </c>
      <c r="E5033" t="s">
        <v>17</v>
      </c>
      <c r="F5033">
        <v>20.57</v>
      </c>
      <c r="G5033">
        <v>20</v>
      </c>
      <c r="H5033" t="s">
        <v>17</v>
      </c>
      <c r="I5033" t="str">
        <f>"062022002421"</f>
        <v>062022002421</v>
      </c>
    </row>
    <row r="5034" spans="1:9" x14ac:dyDescent="0.25">
      <c r="A5034" t="s">
        <v>4437</v>
      </c>
      <c r="B5034" t="s">
        <v>13</v>
      </c>
      <c r="C5034">
        <v>22.14</v>
      </c>
      <c r="D5034">
        <v>22.32</v>
      </c>
      <c r="E5034" t="s">
        <v>17</v>
      </c>
      <c r="F5034">
        <v>19.87</v>
      </c>
      <c r="G5034">
        <v>20.16</v>
      </c>
      <c r="H5034" t="s">
        <v>17</v>
      </c>
      <c r="I5034" t="str">
        <f>"062241007298"</f>
        <v>062241007298</v>
      </c>
    </row>
    <row r="5035" spans="1:9" x14ac:dyDescent="0.25">
      <c r="A5035" t="s">
        <v>4438</v>
      </c>
      <c r="B5035" t="s">
        <v>13</v>
      </c>
      <c r="C5035">
        <v>28.5</v>
      </c>
      <c r="D5035">
        <v>28</v>
      </c>
      <c r="E5035" t="s">
        <v>17</v>
      </c>
      <c r="F5035">
        <v>22.32</v>
      </c>
      <c r="G5035">
        <v>22.75</v>
      </c>
      <c r="H5035" t="s">
        <v>17</v>
      </c>
      <c r="I5035" t="str">
        <f>"063432005495"</f>
        <v>063432005495</v>
      </c>
    </row>
    <row r="5036" spans="1:9" x14ac:dyDescent="0.25">
      <c r="A5036" t="s">
        <v>4438</v>
      </c>
      <c r="B5036" t="s">
        <v>13</v>
      </c>
      <c r="C5036">
        <v>27</v>
      </c>
      <c r="D5036">
        <v>25.75</v>
      </c>
      <c r="E5036" t="s">
        <v>17</v>
      </c>
      <c r="F5036">
        <v>29.15</v>
      </c>
      <c r="G5036">
        <v>29.17</v>
      </c>
      <c r="H5036" t="s">
        <v>17</v>
      </c>
      <c r="I5036" t="str">
        <f>"062580011026"</f>
        <v>062580011026</v>
      </c>
    </row>
    <row r="5037" spans="1:9" x14ac:dyDescent="0.25">
      <c r="A5037" t="s">
        <v>4439</v>
      </c>
      <c r="B5037" t="s">
        <v>13</v>
      </c>
      <c r="C5037">
        <v>60.06</v>
      </c>
      <c r="D5037">
        <v>63.97</v>
      </c>
      <c r="E5037" t="s">
        <v>17</v>
      </c>
      <c r="F5037">
        <v>25.67</v>
      </c>
      <c r="G5037">
        <v>24.96</v>
      </c>
      <c r="H5037" t="s">
        <v>17</v>
      </c>
      <c r="I5037" t="str">
        <f>"063432005496"</f>
        <v>063432005496</v>
      </c>
    </row>
    <row r="5038" spans="1:9" x14ac:dyDescent="0.25">
      <c r="A5038" t="s">
        <v>4440</v>
      </c>
      <c r="B5038" t="s">
        <v>13</v>
      </c>
      <c r="C5038">
        <v>16</v>
      </c>
      <c r="D5038">
        <v>15</v>
      </c>
      <c r="E5038" t="s">
        <v>17</v>
      </c>
      <c r="F5038">
        <v>31.63</v>
      </c>
      <c r="G5038">
        <v>32.93</v>
      </c>
      <c r="H5038" t="s">
        <v>17</v>
      </c>
      <c r="I5038" t="str">
        <f>"063579006115"</f>
        <v>063579006115</v>
      </c>
    </row>
    <row r="5039" spans="1:9" x14ac:dyDescent="0.25">
      <c r="A5039" t="s">
        <v>4441</v>
      </c>
      <c r="B5039" t="s">
        <v>13</v>
      </c>
      <c r="C5039">
        <v>38.950000000000003</v>
      </c>
      <c r="D5039">
        <v>38.700000000000003</v>
      </c>
      <c r="E5039" t="s">
        <v>17</v>
      </c>
      <c r="F5039">
        <v>26.16</v>
      </c>
      <c r="G5039">
        <v>25.97</v>
      </c>
      <c r="H5039" t="s">
        <v>17</v>
      </c>
      <c r="I5039" t="str">
        <f>"064116004211"</f>
        <v>064116004211</v>
      </c>
    </row>
    <row r="5040" spans="1:9" x14ac:dyDescent="0.25">
      <c r="A5040" t="s">
        <v>4442</v>
      </c>
      <c r="B5040" t="s">
        <v>13</v>
      </c>
      <c r="C5040">
        <v>29.23</v>
      </c>
      <c r="D5040">
        <v>27.04</v>
      </c>
      <c r="E5040" t="s">
        <v>17</v>
      </c>
      <c r="F5040">
        <v>24.5</v>
      </c>
      <c r="G5040">
        <v>25.78</v>
      </c>
      <c r="H5040" t="s">
        <v>17</v>
      </c>
      <c r="I5040" t="str">
        <f>"062513003740"</f>
        <v>062513003740</v>
      </c>
    </row>
    <row r="5041" spans="1:9" x14ac:dyDescent="0.25">
      <c r="A5041" t="s">
        <v>4443</v>
      </c>
      <c r="B5041" t="s">
        <v>13</v>
      </c>
      <c r="C5041">
        <v>21</v>
      </c>
      <c r="D5041">
        <v>21.1</v>
      </c>
      <c r="E5041" t="s">
        <v>17</v>
      </c>
      <c r="F5041">
        <v>29.29</v>
      </c>
      <c r="G5041">
        <v>28.2</v>
      </c>
      <c r="H5041" t="s">
        <v>17</v>
      </c>
      <c r="I5041" t="str">
        <f>"063386005300"</f>
        <v>063386005300</v>
      </c>
    </row>
    <row r="5042" spans="1:9" x14ac:dyDescent="0.25">
      <c r="A5042" t="s">
        <v>4444</v>
      </c>
      <c r="B5042" t="s">
        <v>13</v>
      </c>
      <c r="C5042">
        <v>30.25</v>
      </c>
      <c r="D5042">
        <v>29.83</v>
      </c>
      <c r="E5042" t="s">
        <v>17</v>
      </c>
      <c r="F5042">
        <v>22.12</v>
      </c>
      <c r="G5042">
        <v>23.27</v>
      </c>
      <c r="H5042" t="s">
        <v>17</v>
      </c>
      <c r="I5042" t="str">
        <f>"063099010710"</f>
        <v>063099010710</v>
      </c>
    </row>
    <row r="5043" spans="1:9" x14ac:dyDescent="0.25">
      <c r="A5043" t="s">
        <v>4445</v>
      </c>
      <c r="B5043" t="s">
        <v>13</v>
      </c>
      <c r="C5043">
        <v>26.5</v>
      </c>
      <c r="D5043">
        <v>27.5</v>
      </c>
      <c r="E5043" t="s">
        <v>17</v>
      </c>
      <c r="F5043">
        <v>29.21</v>
      </c>
      <c r="G5043">
        <v>31.45</v>
      </c>
      <c r="H5043" t="s">
        <v>17</v>
      </c>
      <c r="I5043" t="str">
        <f>"062547003799"</f>
        <v>062547003799</v>
      </c>
    </row>
    <row r="5044" spans="1:9" x14ac:dyDescent="0.25">
      <c r="A5044" t="s">
        <v>4446</v>
      </c>
      <c r="B5044" t="s">
        <v>13</v>
      </c>
      <c r="C5044">
        <v>52.35</v>
      </c>
      <c r="D5044">
        <v>57.47</v>
      </c>
      <c r="E5044" t="s">
        <v>17</v>
      </c>
      <c r="F5044">
        <v>24.07</v>
      </c>
      <c r="G5044">
        <v>23.16</v>
      </c>
      <c r="H5044" t="s">
        <v>17</v>
      </c>
      <c r="I5044" t="str">
        <f>"062547003800"</f>
        <v>062547003800</v>
      </c>
    </row>
    <row r="5045" spans="1:9" x14ac:dyDescent="0.25">
      <c r="A5045" t="s">
        <v>4447</v>
      </c>
      <c r="B5045" t="s">
        <v>13</v>
      </c>
      <c r="C5045">
        <v>17.2</v>
      </c>
      <c r="D5045">
        <v>17</v>
      </c>
      <c r="E5045" t="s">
        <v>17</v>
      </c>
      <c r="F5045">
        <v>29.77</v>
      </c>
      <c r="G5045">
        <v>30.35</v>
      </c>
      <c r="H5045" t="s">
        <v>17</v>
      </c>
      <c r="I5045" t="str">
        <f>"062025002431"</f>
        <v>062025002431</v>
      </c>
    </row>
    <row r="5046" spans="1:9" x14ac:dyDescent="0.25">
      <c r="A5046" t="s">
        <v>4448</v>
      </c>
      <c r="B5046" t="s">
        <v>13</v>
      </c>
      <c r="C5046">
        <v>20</v>
      </c>
      <c r="D5046">
        <v>17</v>
      </c>
      <c r="E5046" t="s">
        <v>17</v>
      </c>
      <c r="F5046">
        <v>21.1</v>
      </c>
      <c r="G5046">
        <v>23.06</v>
      </c>
      <c r="H5046" t="s">
        <v>17</v>
      </c>
      <c r="I5046" t="str">
        <f>"062553003830"</f>
        <v>062553003830</v>
      </c>
    </row>
    <row r="5047" spans="1:9" x14ac:dyDescent="0.25">
      <c r="A5047" t="s">
        <v>4449</v>
      </c>
      <c r="B5047" t="s">
        <v>13</v>
      </c>
      <c r="C5047">
        <v>47.8</v>
      </c>
      <c r="D5047">
        <v>51.1</v>
      </c>
      <c r="E5047" t="s">
        <v>17</v>
      </c>
      <c r="F5047">
        <v>23.22</v>
      </c>
      <c r="G5047">
        <v>22.56</v>
      </c>
      <c r="H5047" t="s">
        <v>17</v>
      </c>
      <c r="I5047" t="str">
        <f>"064251003268"</f>
        <v>064251003268</v>
      </c>
    </row>
    <row r="5048" spans="1:9" x14ac:dyDescent="0.25">
      <c r="A5048" t="s">
        <v>4450</v>
      </c>
      <c r="B5048" t="s">
        <v>13</v>
      </c>
      <c r="C5048">
        <v>27.25</v>
      </c>
      <c r="D5048">
        <v>25.75</v>
      </c>
      <c r="E5048" t="s">
        <v>17</v>
      </c>
      <c r="F5048">
        <v>23.05</v>
      </c>
      <c r="G5048">
        <v>27.07</v>
      </c>
      <c r="H5048" t="s">
        <v>17</v>
      </c>
      <c r="I5048" t="str">
        <f>"062025002432"</f>
        <v>062025002432</v>
      </c>
    </row>
    <row r="5049" spans="1:9" x14ac:dyDescent="0.25">
      <c r="A5049" t="s">
        <v>4451</v>
      </c>
      <c r="B5049" t="s">
        <v>13</v>
      </c>
      <c r="C5049">
        <v>21.33</v>
      </c>
      <c r="D5049">
        <v>18</v>
      </c>
      <c r="E5049" t="s">
        <v>17</v>
      </c>
      <c r="F5049">
        <v>27.75</v>
      </c>
      <c r="G5049">
        <v>25.94</v>
      </c>
      <c r="H5049" t="s">
        <v>17</v>
      </c>
      <c r="I5049" t="str">
        <f>"063522005963"</f>
        <v>063522005963</v>
      </c>
    </row>
    <row r="5050" spans="1:9" x14ac:dyDescent="0.25">
      <c r="A5050" t="s">
        <v>4452</v>
      </c>
      <c r="B5050" t="s">
        <v>13</v>
      </c>
      <c r="C5050">
        <v>90.6</v>
      </c>
      <c r="D5050">
        <v>89.55</v>
      </c>
      <c r="E5050" t="s">
        <v>17</v>
      </c>
      <c r="F5050">
        <v>25.02</v>
      </c>
      <c r="G5050">
        <v>24.89</v>
      </c>
      <c r="H5050" t="s">
        <v>17</v>
      </c>
      <c r="I5050" t="str">
        <f>"062769004172"</f>
        <v>062769004172</v>
      </c>
    </row>
    <row r="5051" spans="1:9" x14ac:dyDescent="0.25">
      <c r="A5051" t="s">
        <v>4453</v>
      </c>
      <c r="B5051" t="s">
        <v>13</v>
      </c>
      <c r="C5051">
        <v>27.2</v>
      </c>
      <c r="D5051">
        <v>26.83</v>
      </c>
      <c r="E5051" t="s">
        <v>17</v>
      </c>
      <c r="F5051">
        <v>25.18</v>
      </c>
      <c r="G5051">
        <v>27.77</v>
      </c>
      <c r="H5051" t="s">
        <v>17</v>
      </c>
      <c r="I5051" t="str">
        <f>"061350001541"</f>
        <v>061350001541</v>
      </c>
    </row>
    <row r="5052" spans="1:9" x14ac:dyDescent="0.25">
      <c r="A5052" t="s">
        <v>4454</v>
      </c>
      <c r="B5052" t="s">
        <v>13</v>
      </c>
      <c r="C5052">
        <v>13</v>
      </c>
      <c r="D5052">
        <v>13</v>
      </c>
      <c r="E5052" t="s">
        <v>17</v>
      </c>
      <c r="F5052">
        <v>15.23</v>
      </c>
      <c r="G5052">
        <v>17.62</v>
      </c>
      <c r="H5052" t="s">
        <v>17</v>
      </c>
      <c r="I5052" t="str">
        <f>"062160002572"</f>
        <v>062160002572</v>
      </c>
    </row>
    <row r="5053" spans="1:9" x14ac:dyDescent="0.25">
      <c r="A5053" t="s">
        <v>4455</v>
      </c>
      <c r="B5053" t="s">
        <v>13</v>
      </c>
      <c r="C5053">
        <v>19</v>
      </c>
      <c r="D5053">
        <v>21</v>
      </c>
      <c r="E5053" t="s">
        <v>17</v>
      </c>
      <c r="F5053">
        <v>22.21</v>
      </c>
      <c r="G5053">
        <v>20.57</v>
      </c>
      <c r="H5053" t="s">
        <v>17</v>
      </c>
      <c r="I5053" t="str">
        <f>"061551001974"</f>
        <v>061551001974</v>
      </c>
    </row>
    <row r="5054" spans="1:9" x14ac:dyDescent="0.25">
      <c r="A5054" t="s">
        <v>4456</v>
      </c>
      <c r="B5054" t="s">
        <v>13</v>
      </c>
      <c r="C5054">
        <v>37.01</v>
      </c>
      <c r="D5054">
        <v>37.799999999999997</v>
      </c>
      <c r="E5054" t="s">
        <v>17</v>
      </c>
      <c r="F5054">
        <v>27.32</v>
      </c>
      <c r="G5054">
        <v>26.32</v>
      </c>
      <c r="H5054" t="s">
        <v>17</v>
      </c>
      <c r="I5054" t="str">
        <f>"063386005301"</f>
        <v>063386005301</v>
      </c>
    </row>
    <row r="5055" spans="1:9" x14ac:dyDescent="0.25">
      <c r="A5055" t="s">
        <v>4457</v>
      </c>
      <c r="B5055" t="s">
        <v>13</v>
      </c>
      <c r="C5055">
        <v>45.59</v>
      </c>
      <c r="D5055">
        <v>45.7</v>
      </c>
      <c r="E5055" t="s">
        <v>17</v>
      </c>
      <c r="F5055">
        <v>19.57</v>
      </c>
      <c r="G5055">
        <v>19.04</v>
      </c>
      <c r="H5055" t="s">
        <v>17</v>
      </c>
      <c r="I5055" t="str">
        <f>"063398008745"</f>
        <v>063398008745</v>
      </c>
    </row>
    <row r="5056" spans="1:9" x14ac:dyDescent="0.25">
      <c r="A5056" t="s">
        <v>4458</v>
      </c>
      <c r="B5056" t="s">
        <v>13</v>
      </c>
      <c r="C5056">
        <v>21.17</v>
      </c>
      <c r="D5056">
        <v>20</v>
      </c>
      <c r="E5056" t="s">
        <v>17</v>
      </c>
      <c r="F5056">
        <v>22.58</v>
      </c>
      <c r="G5056">
        <v>25.6</v>
      </c>
      <c r="H5056" t="s">
        <v>17</v>
      </c>
      <c r="I5056" t="str">
        <f>"062769004173"</f>
        <v>062769004173</v>
      </c>
    </row>
    <row r="5057" spans="1:9" x14ac:dyDescent="0.25">
      <c r="A5057" t="s">
        <v>4459</v>
      </c>
      <c r="B5057" t="s">
        <v>13</v>
      </c>
      <c r="C5057">
        <v>13.2</v>
      </c>
      <c r="D5057">
        <v>13.25</v>
      </c>
      <c r="E5057" t="s">
        <v>17</v>
      </c>
      <c r="F5057">
        <v>31.14</v>
      </c>
      <c r="G5057">
        <v>29.89</v>
      </c>
      <c r="H5057" t="s">
        <v>17</v>
      </c>
      <c r="I5057" t="str">
        <f>"062025002433"</f>
        <v>062025002433</v>
      </c>
    </row>
    <row r="5058" spans="1:9" x14ac:dyDescent="0.25">
      <c r="A5058" t="s">
        <v>4460</v>
      </c>
      <c r="B5058" t="s">
        <v>13</v>
      </c>
      <c r="C5058">
        <v>23</v>
      </c>
      <c r="D5058">
        <v>23.6</v>
      </c>
      <c r="E5058" t="s">
        <v>17</v>
      </c>
      <c r="F5058">
        <v>22.87</v>
      </c>
      <c r="G5058">
        <v>22.16</v>
      </c>
      <c r="H5058" t="s">
        <v>17</v>
      </c>
      <c r="I5058" t="str">
        <f>"062025002434"</f>
        <v>062025002434</v>
      </c>
    </row>
    <row r="5059" spans="1:9" x14ac:dyDescent="0.25">
      <c r="A5059" t="s">
        <v>4461</v>
      </c>
      <c r="B5059" t="s">
        <v>13</v>
      </c>
      <c r="C5059">
        <v>12</v>
      </c>
      <c r="D5059">
        <v>12</v>
      </c>
      <c r="E5059" t="s">
        <v>17</v>
      </c>
      <c r="F5059">
        <v>29.25</v>
      </c>
      <c r="G5059">
        <v>29.25</v>
      </c>
      <c r="H5059" t="s">
        <v>17</v>
      </c>
      <c r="I5059" t="str">
        <f>"062619003914"</f>
        <v>062619003914</v>
      </c>
    </row>
    <row r="5060" spans="1:9" x14ac:dyDescent="0.25">
      <c r="A5060" t="s">
        <v>4462</v>
      </c>
      <c r="B5060" t="s">
        <v>13</v>
      </c>
      <c r="C5060">
        <v>59</v>
      </c>
      <c r="D5060">
        <v>60.2</v>
      </c>
      <c r="E5060" t="s">
        <v>17</v>
      </c>
      <c r="F5060">
        <v>27.02</v>
      </c>
      <c r="G5060">
        <v>26.5</v>
      </c>
      <c r="H5060" t="s">
        <v>17</v>
      </c>
      <c r="I5060" t="str">
        <f>"061632502049"</f>
        <v>061632502049</v>
      </c>
    </row>
    <row r="5061" spans="1:9" x14ac:dyDescent="0.25">
      <c r="A5061" t="s">
        <v>4463</v>
      </c>
      <c r="B5061" t="s">
        <v>13</v>
      </c>
      <c r="C5061" t="s">
        <v>17</v>
      </c>
      <c r="D5061" t="s">
        <v>17</v>
      </c>
      <c r="E5061" t="s">
        <v>17</v>
      </c>
      <c r="F5061" t="s">
        <v>17</v>
      </c>
      <c r="G5061" t="s">
        <v>17</v>
      </c>
      <c r="H5061" t="s">
        <v>17</v>
      </c>
      <c r="I5061" t="str">
        <f>"060010310916"</f>
        <v>060010310916</v>
      </c>
    </row>
    <row r="5062" spans="1:9" x14ac:dyDescent="0.25">
      <c r="A5062" t="s">
        <v>4464</v>
      </c>
      <c r="B5062" t="s">
        <v>13</v>
      </c>
      <c r="C5062">
        <v>73.5</v>
      </c>
      <c r="D5062">
        <v>73.28</v>
      </c>
      <c r="E5062" t="s">
        <v>17</v>
      </c>
      <c r="F5062">
        <v>29.24</v>
      </c>
      <c r="G5062">
        <v>30.05</v>
      </c>
      <c r="H5062" t="s">
        <v>17</v>
      </c>
      <c r="I5062" t="str">
        <f>"061488001854"</f>
        <v>061488001854</v>
      </c>
    </row>
    <row r="5063" spans="1:9" x14ac:dyDescent="0.25">
      <c r="A5063" t="s">
        <v>4464</v>
      </c>
      <c r="B5063" t="s">
        <v>13</v>
      </c>
      <c r="C5063">
        <v>101.24</v>
      </c>
      <c r="D5063">
        <v>102.57</v>
      </c>
      <c r="E5063" t="s">
        <v>17</v>
      </c>
      <c r="F5063">
        <v>28.86</v>
      </c>
      <c r="G5063">
        <v>29.24</v>
      </c>
      <c r="H5063" t="s">
        <v>17</v>
      </c>
      <c r="I5063" t="str">
        <f>"061111003582"</f>
        <v>061111003582</v>
      </c>
    </row>
    <row r="5064" spans="1:9" x14ac:dyDescent="0.25">
      <c r="A5064" t="s">
        <v>4465</v>
      </c>
      <c r="B5064" t="s">
        <v>13</v>
      </c>
      <c r="C5064">
        <v>21.8</v>
      </c>
      <c r="D5064">
        <v>22.7</v>
      </c>
      <c r="E5064" t="s">
        <v>17</v>
      </c>
      <c r="F5064">
        <v>26.61</v>
      </c>
      <c r="G5064">
        <v>27.05</v>
      </c>
      <c r="H5064" t="s">
        <v>17</v>
      </c>
      <c r="I5064" t="str">
        <f>"061111009358"</f>
        <v>061111009358</v>
      </c>
    </row>
    <row r="5065" spans="1:9" x14ac:dyDescent="0.25">
      <c r="A5065" t="s">
        <v>4466</v>
      </c>
      <c r="B5065" t="s">
        <v>13</v>
      </c>
      <c r="C5065">
        <v>21.9</v>
      </c>
      <c r="D5065">
        <v>24.25</v>
      </c>
      <c r="E5065" t="s">
        <v>17</v>
      </c>
      <c r="F5065">
        <v>26.53</v>
      </c>
      <c r="G5065">
        <v>23.18</v>
      </c>
      <c r="H5065" t="s">
        <v>17</v>
      </c>
      <c r="I5065" t="str">
        <f>"063898006536"</f>
        <v>063898006536</v>
      </c>
    </row>
    <row r="5066" spans="1:9" x14ac:dyDescent="0.25">
      <c r="A5066" t="s">
        <v>4466</v>
      </c>
      <c r="B5066" t="s">
        <v>13</v>
      </c>
      <c r="C5066">
        <v>24</v>
      </c>
      <c r="D5066">
        <v>23</v>
      </c>
      <c r="E5066" t="s">
        <v>17</v>
      </c>
      <c r="F5066">
        <v>24.38</v>
      </c>
      <c r="G5066">
        <v>23.43</v>
      </c>
      <c r="H5066" t="s">
        <v>17</v>
      </c>
      <c r="I5066" t="str">
        <f>"060813011808"</f>
        <v>060813011808</v>
      </c>
    </row>
    <row r="5067" spans="1:9" x14ac:dyDescent="0.25">
      <c r="A5067" t="s">
        <v>4467</v>
      </c>
      <c r="B5067" t="s">
        <v>13</v>
      </c>
      <c r="C5067">
        <v>22</v>
      </c>
      <c r="D5067">
        <v>23</v>
      </c>
      <c r="E5067" t="s">
        <v>17</v>
      </c>
      <c r="F5067">
        <v>21.27</v>
      </c>
      <c r="G5067">
        <v>24.57</v>
      </c>
      <c r="H5067" t="s">
        <v>17</v>
      </c>
      <c r="I5067" t="str">
        <f>"062271003120"</f>
        <v>062271003120</v>
      </c>
    </row>
    <row r="5068" spans="1:9" x14ac:dyDescent="0.25">
      <c r="A5068" t="s">
        <v>4468</v>
      </c>
      <c r="B5068" t="s">
        <v>13</v>
      </c>
      <c r="C5068">
        <v>92.91</v>
      </c>
      <c r="D5068">
        <v>91.4</v>
      </c>
      <c r="E5068" t="s">
        <v>17</v>
      </c>
      <c r="F5068">
        <v>30.31</v>
      </c>
      <c r="G5068">
        <v>29.14</v>
      </c>
      <c r="H5068" t="s">
        <v>17</v>
      </c>
      <c r="I5068" t="str">
        <f>"064248006952"</f>
        <v>064248006952</v>
      </c>
    </row>
    <row r="5069" spans="1:9" x14ac:dyDescent="0.25">
      <c r="A5069" t="s">
        <v>4469</v>
      </c>
      <c r="B5069" t="s">
        <v>13</v>
      </c>
      <c r="C5069">
        <v>112.3</v>
      </c>
      <c r="D5069">
        <v>123.3</v>
      </c>
      <c r="E5069" t="s">
        <v>17</v>
      </c>
      <c r="F5069">
        <v>26.03</v>
      </c>
      <c r="G5069">
        <v>26.76</v>
      </c>
      <c r="H5069" t="s">
        <v>17</v>
      </c>
      <c r="I5069" t="str">
        <f>"060243000134"</f>
        <v>060243000134</v>
      </c>
    </row>
    <row r="5070" spans="1:9" x14ac:dyDescent="0.25">
      <c r="A5070" t="s">
        <v>4469</v>
      </c>
      <c r="B5070" t="s">
        <v>13</v>
      </c>
      <c r="C5070">
        <v>10.5</v>
      </c>
      <c r="D5070">
        <v>10.5</v>
      </c>
      <c r="E5070" t="s">
        <v>17</v>
      </c>
      <c r="F5070">
        <v>17.71</v>
      </c>
      <c r="G5070">
        <v>17.14</v>
      </c>
      <c r="H5070" t="s">
        <v>17</v>
      </c>
      <c r="I5070" t="str">
        <f>"069104508660"</f>
        <v>069104508660</v>
      </c>
    </row>
    <row r="5071" spans="1:9" x14ac:dyDescent="0.25">
      <c r="A5071" t="s">
        <v>4470</v>
      </c>
      <c r="B5071" t="s">
        <v>13</v>
      </c>
      <c r="C5071">
        <v>25.2</v>
      </c>
      <c r="D5071">
        <v>26</v>
      </c>
      <c r="E5071" t="s">
        <v>17</v>
      </c>
      <c r="F5071">
        <v>28.49</v>
      </c>
      <c r="G5071">
        <v>27.35</v>
      </c>
      <c r="H5071" t="s">
        <v>17</v>
      </c>
      <c r="I5071" t="str">
        <f>"061476007723"</f>
        <v>061476007723</v>
      </c>
    </row>
    <row r="5072" spans="1:9" x14ac:dyDescent="0.25">
      <c r="A5072" t="s">
        <v>4471</v>
      </c>
      <c r="B5072" t="s">
        <v>13</v>
      </c>
      <c r="C5072">
        <v>16.7</v>
      </c>
      <c r="D5072">
        <v>17.7</v>
      </c>
      <c r="E5072" t="s">
        <v>17</v>
      </c>
      <c r="F5072">
        <v>24.19</v>
      </c>
      <c r="G5072">
        <v>26.84</v>
      </c>
      <c r="H5072" t="s">
        <v>17</v>
      </c>
      <c r="I5072" t="str">
        <f>"062832004384"</f>
        <v>062832004384</v>
      </c>
    </row>
    <row r="5073" spans="1:9" x14ac:dyDescent="0.25">
      <c r="A5073" t="s">
        <v>4472</v>
      </c>
      <c r="B5073" t="s">
        <v>13</v>
      </c>
      <c r="C5073" t="s">
        <v>17</v>
      </c>
      <c r="D5073" t="s">
        <v>14</v>
      </c>
      <c r="E5073" t="s">
        <v>14</v>
      </c>
      <c r="F5073" t="s">
        <v>17</v>
      </c>
      <c r="G5073" t="s">
        <v>14</v>
      </c>
      <c r="H5073" t="s">
        <v>14</v>
      </c>
      <c r="I5073" t="str">
        <f>"063386013659"</f>
        <v>063386013659</v>
      </c>
    </row>
    <row r="5074" spans="1:9" x14ac:dyDescent="0.25">
      <c r="A5074" t="s">
        <v>4473</v>
      </c>
      <c r="B5074" t="s">
        <v>13</v>
      </c>
      <c r="C5074">
        <v>19.5</v>
      </c>
      <c r="D5074">
        <v>14</v>
      </c>
      <c r="E5074" t="s">
        <v>17</v>
      </c>
      <c r="F5074">
        <v>35.44</v>
      </c>
      <c r="G5074">
        <v>28.14</v>
      </c>
      <c r="H5074" t="s">
        <v>17</v>
      </c>
      <c r="I5074" t="str">
        <f>"061839002257"</f>
        <v>061839002257</v>
      </c>
    </row>
    <row r="5075" spans="1:9" x14ac:dyDescent="0.25">
      <c r="A5075" t="s">
        <v>4474</v>
      </c>
      <c r="B5075" t="s">
        <v>13</v>
      </c>
      <c r="C5075">
        <v>18.8</v>
      </c>
      <c r="D5075">
        <v>18.95</v>
      </c>
      <c r="E5075" t="s">
        <v>17</v>
      </c>
      <c r="F5075">
        <v>26.76</v>
      </c>
      <c r="G5075">
        <v>25.86</v>
      </c>
      <c r="H5075" t="s">
        <v>17</v>
      </c>
      <c r="I5075" t="str">
        <f>"060561000511"</f>
        <v>060561000511</v>
      </c>
    </row>
    <row r="5076" spans="1:9" x14ac:dyDescent="0.25">
      <c r="A5076" t="s">
        <v>4475</v>
      </c>
      <c r="B5076" t="s">
        <v>13</v>
      </c>
      <c r="C5076">
        <v>11.5</v>
      </c>
      <c r="D5076">
        <v>13</v>
      </c>
      <c r="E5076" t="s">
        <v>17</v>
      </c>
      <c r="F5076">
        <v>19.04</v>
      </c>
      <c r="G5076">
        <v>18.690000000000001</v>
      </c>
      <c r="H5076" t="s">
        <v>17</v>
      </c>
      <c r="I5076" t="str">
        <f>"063132004864"</f>
        <v>063132004864</v>
      </c>
    </row>
    <row r="5077" spans="1:9" x14ac:dyDescent="0.25">
      <c r="A5077" t="s">
        <v>4476</v>
      </c>
      <c r="B5077" t="s">
        <v>13</v>
      </c>
      <c r="C5077">
        <v>30</v>
      </c>
      <c r="D5077">
        <v>30</v>
      </c>
      <c r="E5077" t="s">
        <v>17</v>
      </c>
      <c r="F5077">
        <v>28.83</v>
      </c>
      <c r="G5077">
        <v>28.03</v>
      </c>
      <c r="H5077" t="s">
        <v>17</v>
      </c>
      <c r="I5077" t="str">
        <f>"062865004436"</f>
        <v>062865004436</v>
      </c>
    </row>
    <row r="5078" spans="1:9" x14ac:dyDescent="0.25">
      <c r="A5078" t="s">
        <v>4477</v>
      </c>
      <c r="B5078" t="s">
        <v>13</v>
      </c>
      <c r="C5078">
        <v>7.5</v>
      </c>
      <c r="D5078">
        <v>7.6</v>
      </c>
      <c r="E5078" t="s">
        <v>17</v>
      </c>
      <c r="F5078">
        <v>12.8</v>
      </c>
      <c r="G5078">
        <v>10.79</v>
      </c>
      <c r="H5078" t="s">
        <v>17</v>
      </c>
      <c r="I5078" t="str">
        <f>"064256011686"</f>
        <v>064256011686</v>
      </c>
    </row>
    <row r="5079" spans="1:9" x14ac:dyDescent="0.25">
      <c r="A5079" t="s">
        <v>4478</v>
      </c>
      <c r="B5079" t="s">
        <v>13</v>
      </c>
      <c r="C5079">
        <v>15</v>
      </c>
      <c r="D5079">
        <v>16</v>
      </c>
      <c r="E5079" t="s">
        <v>17</v>
      </c>
      <c r="F5079">
        <v>22.8</v>
      </c>
      <c r="G5079">
        <v>22.75</v>
      </c>
      <c r="H5079" t="s">
        <v>17</v>
      </c>
      <c r="I5079" t="str">
        <f>"062334003547"</f>
        <v>062334003547</v>
      </c>
    </row>
    <row r="5080" spans="1:9" x14ac:dyDescent="0.25">
      <c r="A5080" t="s">
        <v>4479</v>
      </c>
      <c r="B5080" t="s">
        <v>13</v>
      </c>
      <c r="C5080">
        <v>31</v>
      </c>
      <c r="D5080">
        <v>30</v>
      </c>
      <c r="E5080" t="s">
        <v>17</v>
      </c>
      <c r="F5080">
        <v>23.26</v>
      </c>
      <c r="G5080">
        <v>20.73</v>
      </c>
      <c r="H5080" t="s">
        <v>17</v>
      </c>
      <c r="I5080" t="str">
        <f>"061089011598"</f>
        <v>061089011598</v>
      </c>
    </row>
    <row r="5081" spans="1:9" x14ac:dyDescent="0.25">
      <c r="A5081" t="s">
        <v>4480</v>
      </c>
      <c r="B5081" t="s">
        <v>13</v>
      </c>
      <c r="C5081">
        <v>11.7</v>
      </c>
      <c r="D5081">
        <v>10</v>
      </c>
      <c r="E5081" t="s">
        <v>17</v>
      </c>
      <c r="F5081">
        <v>9.4</v>
      </c>
      <c r="G5081">
        <v>7.7</v>
      </c>
      <c r="H5081" t="s">
        <v>17</v>
      </c>
      <c r="I5081" t="str">
        <f>"063462008193"</f>
        <v>063462008193</v>
      </c>
    </row>
    <row r="5082" spans="1:9" x14ac:dyDescent="0.25">
      <c r="A5082" t="s">
        <v>4481</v>
      </c>
      <c r="B5082" t="s">
        <v>13</v>
      </c>
      <c r="C5082">
        <v>21.6</v>
      </c>
      <c r="D5082">
        <v>23.7</v>
      </c>
      <c r="E5082" t="s">
        <v>17</v>
      </c>
      <c r="F5082">
        <v>25.74</v>
      </c>
      <c r="G5082">
        <v>22.57</v>
      </c>
      <c r="H5082" t="s">
        <v>17</v>
      </c>
      <c r="I5082" t="str">
        <f>"061476001812"</f>
        <v>061476001812</v>
      </c>
    </row>
    <row r="5083" spans="1:9" x14ac:dyDescent="0.25">
      <c r="A5083" t="s">
        <v>4482</v>
      </c>
      <c r="B5083" t="s">
        <v>13</v>
      </c>
      <c r="C5083">
        <v>29.05</v>
      </c>
      <c r="D5083">
        <v>26.11</v>
      </c>
      <c r="E5083" t="s">
        <v>17</v>
      </c>
      <c r="F5083">
        <v>27.02</v>
      </c>
      <c r="G5083">
        <v>29.61</v>
      </c>
      <c r="H5083" t="s">
        <v>17</v>
      </c>
      <c r="I5083" t="str">
        <f>"061734002179"</f>
        <v>061734002179</v>
      </c>
    </row>
    <row r="5084" spans="1:9" x14ac:dyDescent="0.25">
      <c r="A5084" t="s">
        <v>4483</v>
      </c>
      <c r="B5084" t="s">
        <v>13</v>
      </c>
      <c r="C5084">
        <v>12</v>
      </c>
      <c r="D5084">
        <v>12</v>
      </c>
      <c r="E5084" t="s">
        <v>17</v>
      </c>
      <c r="F5084">
        <v>33.5</v>
      </c>
      <c r="G5084">
        <v>31.75</v>
      </c>
      <c r="H5084" t="s">
        <v>17</v>
      </c>
      <c r="I5084" t="str">
        <f>"064015008757"</f>
        <v>064015008757</v>
      </c>
    </row>
    <row r="5085" spans="1:9" x14ac:dyDescent="0.25">
      <c r="A5085" t="s">
        <v>4483</v>
      </c>
      <c r="B5085" t="s">
        <v>13</v>
      </c>
      <c r="C5085">
        <v>17</v>
      </c>
      <c r="D5085">
        <v>18</v>
      </c>
      <c r="E5085" t="s">
        <v>17</v>
      </c>
      <c r="F5085">
        <v>21.35</v>
      </c>
      <c r="G5085">
        <v>21.89</v>
      </c>
      <c r="H5085" t="s">
        <v>17</v>
      </c>
      <c r="I5085" t="str">
        <f>"060964001014"</f>
        <v>060964001014</v>
      </c>
    </row>
    <row r="5086" spans="1:9" x14ac:dyDescent="0.25">
      <c r="A5086" t="s">
        <v>4484</v>
      </c>
      <c r="B5086" t="s">
        <v>13</v>
      </c>
      <c r="C5086">
        <v>16</v>
      </c>
      <c r="D5086">
        <v>17.5</v>
      </c>
      <c r="E5086" t="s">
        <v>17</v>
      </c>
      <c r="F5086">
        <v>29.81</v>
      </c>
      <c r="G5086">
        <v>26.4</v>
      </c>
      <c r="H5086" t="s">
        <v>17</v>
      </c>
      <c r="I5086" t="str">
        <f>"062019002413"</f>
        <v>062019002413</v>
      </c>
    </row>
    <row r="5087" spans="1:9" x14ac:dyDescent="0.25">
      <c r="A5087" t="s">
        <v>4485</v>
      </c>
      <c r="B5087" t="s">
        <v>13</v>
      </c>
      <c r="C5087">
        <v>28.17</v>
      </c>
      <c r="D5087">
        <v>28.75</v>
      </c>
      <c r="E5087" t="s">
        <v>17</v>
      </c>
      <c r="F5087">
        <v>31.27</v>
      </c>
      <c r="G5087">
        <v>30.96</v>
      </c>
      <c r="H5087" t="s">
        <v>17</v>
      </c>
      <c r="I5087" t="str">
        <f>"060744011248"</f>
        <v>060744011248</v>
      </c>
    </row>
    <row r="5088" spans="1:9" x14ac:dyDescent="0.25">
      <c r="A5088" t="s">
        <v>4486</v>
      </c>
      <c r="B5088" t="s">
        <v>13</v>
      </c>
      <c r="C5088">
        <v>46.69</v>
      </c>
      <c r="D5088">
        <v>47.05</v>
      </c>
      <c r="E5088" t="s">
        <v>17</v>
      </c>
      <c r="F5088">
        <v>28.14</v>
      </c>
      <c r="G5088">
        <v>26.21</v>
      </c>
      <c r="H5088" t="s">
        <v>17</v>
      </c>
      <c r="I5088" t="str">
        <f>"060744011233"</f>
        <v>060744011233</v>
      </c>
    </row>
    <row r="5089" spans="1:9" x14ac:dyDescent="0.25">
      <c r="A5089" t="s">
        <v>4487</v>
      </c>
      <c r="B5089" t="s">
        <v>13</v>
      </c>
      <c r="C5089">
        <v>34.01</v>
      </c>
      <c r="D5089">
        <v>38.25</v>
      </c>
      <c r="E5089" t="s">
        <v>17</v>
      </c>
      <c r="F5089">
        <v>27.14</v>
      </c>
      <c r="G5089">
        <v>23.92</v>
      </c>
      <c r="H5089" t="s">
        <v>17</v>
      </c>
      <c r="I5089" t="str">
        <f>"061473001795"</f>
        <v>061473001795</v>
      </c>
    </row>
    <row r="5090" spans="1:9" x14ac:dyDescent="0.25">
      <c r="A5090" t="s">
        <v>4488</v>
      </c>
      <c r="B5090" t="s">
        <v>13</v>
      </c>
      <c r="C5090">
        <v>34</v>
      </c>
      <c r="D5090">
        <v>32</v>
      </c>
      <c r="E5090" t="s">
        <v>17</v>
      </c>
      <c r="F5090">
        <v>28.47</v>
      </c>
      <c r="G5090">
        <v>29.84</v>
      </c>
      <c r="H5090" t="s">
        <v>17</v>
      </c>
      <c r="I5090" t="str">
        <f>"062250002732"</f>
        <v>062250002732</v>
      </c>
    </row>
    <row r="5091" spans="1:9" x14ac:dyDescent="0.25">
      <c r="A5091" t="s">
        <v>4488</v>
      </c>
      <c r="B5091" t="s">
        <v>13</v>
      </c>
      <c r="C5091">
        <v>19.5</v>
      </c>
      <c r="D5091">
        <v>20</v>
      </c>
      <c r="E5091" t="s">
        <v>17</v>
      </c>
      <c r="F5091">
        <v>22.26</v>
      </c>
      <c r="G5091">
        <v>21.95</v>
      </c>
      <c r="H5091" t="s">
        <v>17</v>
      </c>
      <c r="I5091" t="str">
        <f>"060005201481"</f>
        <v>060005201481</v>
      </c>
    </row>
    <row r="5092" spans="1:9" x14ac:dyDescent="0.25">
      <c r="A5092" t="s">
        <v>4488</v>
      </c>
      <c r="B5092" t="s">
        <v>13</v>
      </c>
      <c r="C5092">
        <v>23.84</v>
      </c>
      <c r="D5092">
        <v>24.6</v>
      </c>
      <c r="E5092" t="s">
        <v>17</v>
      </c>
      <c r="F5092">
        <v>23.07</v>
      </c>
      <c r="G5092">
        <v>21.67</v>
      </c>
      <c r="H5092" t="s">
        <v>17</v>
      </c>
      <c r="I5092" t="str">
        <f>"063441005637"</f>
        <v>063441005637</v>
      </c>
    </row>
    <row r="5093" spans="1:9" x14ac:dyDescent="0.25">
      <c r="A5093" t="s">
        <v>4488</v>
      </c>
      <c r="B5093" t="s">
        <v>13</v>
      </c>
      <c r="C5093">
        <v>18.399999999999999</v>
      </c>
      <c r="D5093">
        <v>21</v>
      </c>
      <c r="E5093" t="s">
        <v>17</v>
      </c>
      <c r="F5093">
        <v>15.49</v>
      </c>
      <c r="G5093">
        <v>14.05</v>
      </c>
      <c r="H5093" t="s">
        <v>17</v>
      </c>
      <c r="I5093" t="str">
        <f>"063432005497"</f>
        <v>063432005497</v>
      </c>
    </row>
    <row r="5094" spans="1:9" x14ac:dyDescent="0.25">
      <c r="A5094" t="s">
        <v>4488</v>
      </c>
      <c r="B5094" t="s">
        <v>13</v>
      </c>
      <c r="C5094">
        <v>23.89</v>
      </c>
      <c r="D5094">
        <v>23.79</v>
      </c>
      <c r="E5094" t="s">
        <v>17</v>
      </c>
      <c r="F5094">
        <v>22.94</v>
      </c>
      <c r="G5094">
        <v>22.49</v>
      </c>
      <c r="H5094" t="s">
        <v>17</v>
      </c>
      <c r="I5094" t="str">
        <f>"062031002448"</f>
        <v>062031002448</v>
      </c>
    </row>
    <row r="5095" spans="1:9" x14ac:dyDescent="0.25">
      <c r="A5095" t="s">
        <v>4488</v>
      </c>
      <c r="B5095" t="s">
        <v>13</v>
      </c>
      <c r="C5095">
        <v>14</v>
      </c>
      <c r="D5095">
        <v>17</v>
      </c>
      <c r="E5095" t="s">
        <v>17</v>
      </c>
      <c r="F5095">
        <v>21.36</v>
      </c>
      <c r="G5095">
        <v>17.940000000000001</v>
      </c>
      <c r="H5095" t="s">
        <v>17</v>
      </c>
      <c r="I5095" t="str">
        <f>"062805004285"</f>
        <v>062805004285</v>
      </c>
    </row>
    <row r="5096" spans="1:9" x14ac:dyDescent="0.25">
      <c r="A5096" t="s">
        <v>4489</v>
      </c>
      <c r="B5096" t="s">
        <v>13</v>
      </c>
      <c r="C5096">
        <v>6</v>
      </c>
      <c r="D5096">
        <v>6</v>
      </c>
      <c r="E5096" t="s">
        <v>17</v>
      </c>
      <c r="F5096">
        <v>22.17</v>
      </c>
      <c r="G5096">
        <v>22.33</v>
      </c>
      <c r="H5096" t="s">
        <v>17</v>
      </c>
      <c r="I5096" t="str">
        <f>"062271008722"</f>
        <v>062271008722</v>
      </c>
    </row>
    <row r="5097" spans="1:9" x14ac:dyDescent="0.25">
      <c r="A5097" t="s">
        <v>4490</v>
      </c>
      <c r="B5097" t="s">
        <v>13</v>
      </c>
      <c r="C5097">
        <v>46.6</v>
      </c>
      <c r="D5097">
        <v>47</v>
      </c>
      <c r="E5097" t="s">
        <v>17</v>
      </c>
      <c r="F5097">
        <v>21.2</v>
      </c>
      <c r="G5097">
        <v>21.21</v>
      </c>
      <c r="H5097" t="s">
        <v>17</v>
      </c>
      <c r="I5097" t="str">
        <f>"062037002454"</f>
        <v>062037002454</v>
      </c>
    </row>
    <row r="5098" spans="1:9" x14ac:dyDescent="0.25">
      <c r="A5098" t="s">
        <v>4491</v>
      </c>
      <c r="B5098" t="s">
        <v>13</v>
      </c>
      <c r="C5098">
        <v>79.09</v>
      </c>
      <c r="D5098">
        <v>77.67</v>
      </c>
      <c r="E5098" t="s">
        <v>17</v>
      </c>
      <c r="F5098">
        <v>21.08</v>
      </c>
      <c r="G5098">
        <v>21.13</v>
      </c>
      <c r="H5098" t="s">
        <v>17</v>
      </c>
      <c r="I5098" t="str">
        <f>"061233003662"</f>
        <v>061233003662</v>
      </c>
    </row>
    <row r="5099" spans="1:9" x14ac:dyDescent="0.25">
      <c r="A5099" t="s">
        <v>4492</v>
      </c>
      <c r="B5099" t="s">
        <v>13</v>
      </c>
      <c r="C5099">
        <v>2</v>
      </c>
      <c r="D5099">
        <v>1.5</v>
      </c>
      <c r="E5099" t="s">
        <v>17</v>
      </c>
      <c r="F5099">
        <v>7.5</v>
      </c>
      <c r="G5099">
        <v>12</v>
      </c>
      <c r="H5099" t="s">
        <v>17</v>
      </c>
      <c r="I5099" t="str">
        <f>"062043002457"</f>
        <v>062043002457</v>
      </c>
    </row>
    <row r="5100" spans="1:9" x14ac:dyDescent="0.25">
      <c r="A5100" t="s">
        <v>4493</v>
      </c>
      <c r="B5100" t="s">
        <v>13</v>
      </c>
      <c r="C5100">
        <v>6.11</v>
      </c>
      <c r="D5100">
        <v>6.68</v>
      </c>
      <c r="E5100" t="s">
        <v>17</v>
      </c>
      <c r="F5100">
        <v>15.55</v>
      </c>
      <c r="G5100">
        <v>13.47</v>
      </c>
      <c r="H5100" t="s">
        <v>17</v>
      </c>
      <c r="I5100" t="str">
        <f>"060267000195"</f>
        <v>060267000195</v>
      </c>
    </row>
    <row r="5101" spans="1:9" x14ac:dyDescent="0.25">
      <c r="A5101" t="s">
        <v>4494</v>
      </c>
      <c r="B5101" t="s">
        <v>13</v>
      </c>
      <c r="C5101">
        <v>63.2</v>
      </c>
      <c r="D5101">
        <v>64.95</v>
      </c>
      <c r="E5101" t="s">
        <v>17</v>
      </c>
      <c r="F5101">
        <v>27.72</v>
      </c>
      <c r="G5101">
        <v>27.02</v>
      </c>
      <c r="H5101" t="s">
        <v>17</v>
      </c>
      <c r="I5101" t="str">
        <f>"063386005303"</f>
        <v>063386005303</v>
      </c>
    </row>
    <row r="5102" spans="1:9" x14ac:dyDescent="0.25">
      <c r="A5102" t="s">
        <v>4495</v>
      </c>
      <c r="B5102" t="s">
        <v>13</v>
      </c>
      <c r="C5102">
        <v>33.15</v>
      </c>
      <c r="D5102">
        <v>33.6</v>
      </c>
      <c r="E5102" t="s">
        <v>17</v>
      </c>
      <c r="F5102">
        <v>21.33</v>
      </c>
      <c r="G5102">
        <v>20.18</v>
      </c>
      <c r="H5102" t="s">
        <v>17</v>
      </c>
      <c r="I5102" t="str">
        <f>"063480005872"</f>
        <v>063480005872</v>
      </c>
    </row>
    <row r="5103" spans="1:9" x14ac:dyDescent="0.25">
      <c r="A5103" t="s">
        <v>4496</v>
      </c>
      <c r="B5103" t="s">
        <v>13</v>
      </c>
      <c r="C5103">
        <v>19.57</v>
      </c>
      <c r="D5103">
        <v>19.850000000000001</v>
      </c>
      <c r="E5103" t="s">
        <v>17</v>
      </c>
      <c r="F5103">
        <v>30.2</v>
      </c>
      <c r="G5103">
        <v>30.68</v>
      </c>
      <c r="H5103" t="s">
        <v>17</v>
      </c>
      <c r="I5103" t="str">
        <f>"060744010569"</f>
        <v>060744010569</v>
      </c>
    </row>
    <row r="5104" spans="1:9" x14ac:dyDescent="0.25">
      <c r="A5104" t="s">
        <v>4497</v>
      </c>
      <c r="B5104" t="s">
        <v>13</v>
      </c>
      <c r="C5104" t="s">
        <v>17</v>
      </c>
      <c r="D5104">
        <v>13.5</v>
      </c>
      <c r="E5104" t="s">
        <v>17</v>
      </c>
      <c r="F5104" t="s">
        <v>17</v>
      </c>
      <c r="G5104">
        <v>31.7</v>
      </c>
      <c r="H5104" t="s">
        <v>17</v>
      </c>
      <c r="I5104" t="str">
        <f>"062547005903"</f>
        <v>062547005903</v>
      </c>
    </row>
    <row r="5105" spans="1:9" x14ac:dyDescent="0.25">
      <c r="A5105" t="s">
        <v>4498</v>
      </c>
      <c r="B5105" t="s">
        <v>13</v>
      </c>
      <c r="C5105">
        <v>21.6</v>
      </c>
      <c r="D5105">
        <v>20.6</v>
      </c>
      <c r="E5105" t="s">
        <v>17</v>
      </c>
      <c r="F5105">
        <v>31.57</v>
      </c>
      <c r="G5105">
        <v>31.12</v>
      </c>
      <c r="H5105" t="s">
        <v>17</v>
      </c>
      <c r="I5105" t="str">
        <f>"061473001796"</f>
        <v>061473001796</v>
      </c>
    </row>
    <row r="5106" spans="1:9" x14ac:dyDescent="0.25">
      <c r="A5106" t="s">
        <v>4499</v>
      </c>
      <c r="B5106" t="s">
        <v>13</v>
      </c>
      <c r="C5106">
        <v>23</v>
      </c>
      <c r="D5106">
        <v>24</v>
      </c>
      <c r="E5106" t="s">
        <v>17</v>
      </c>
      <c r="F5106">
        <v>19.7</v>
      </c>
      <c r="G5106">
        <v>20.79</v>
      </c>
      <c r="H5106" t="s">
        <v>17</v>
      </c>
      <c r="I5106" t="str">
        <f>"062817004352"</f>
        <v>062817004352</v>
      </c>
    </row>
    <row r="5107" spans="1:9" x14ac:dyDescent="0.25">
      <c r="A5107" t="s">
        <v>4500</v>
      </c>
      <c r="B5107" t="s">
        <v>13</v>
      </c>
      <c r="C5107">
        <v>4.5999999999999996</v>
      </c>
      <c r="D5107">
        <v>3.8</v>
      </c>
      <c r="E5107" t="s">
        <v>17</v>
      </c>
      <c r="F5107">
        <v>21.74</v>
      </c>
      <c r="G5107">
        <v>20.260000000000002</v>
      </c>
      <c r="H5107" t="s">
        <v>17</v>
      </c>
      <c r="I5107" t="str">
        <f>"062049002472"</f>
        <v>062049002472</v>
      </c>
    </row>
    <row r="5108" spans="1:9" x14ac:dyDescent="0.25">
      <c r="A5108" t="s">
        <v>4501</v>
      </c>
      <c r="B5108" t="s">
        <v>13</v>
      </c>
      <c r="C5108">
        <v>6.5</v>
      </c>
      <c r="D5108">
        <v>7</v>
      </c>
      <c r="E5108" t="s">
        <v>17</v>
      </c>
      <c r="F5108">
        <v>22.92</v>
      </c>
      <c r="G5108">
        <v>20.43</v>
      </c>
      <c r="H5108" t="s">
        <v>17</v>
      </c>
      <c r="I5108" t="str">
        <f>"062052002473"</f>
        <v>062052002473</v>
      </c>
    </row>
    <row r="5109" spans="1:9" x14ac:dyDescent="0.25">
      <c r="A5109" t="s">
        <v>4502</v>
      </c>
      <c r="B5109" t="s">
        <v>13</v>
      </c>
      <c r="C5109">
        <v>22</v>
      </c>
      <c r="D5109">
        <v>23</v>
      </c>
      <c r="E5109" t="s">
        <v>17</v>
      </c>
      <c r="F5109">
        <v>24.73</v>
      </c>
      <c r="G5109">
        <v>26.26</v>
      </c>
      <c r="H5109" t="s">
        <v>17</v>
      </c>
      <c r="I5109" t="str">
        <f>"061437001651"</f>
        <v>061437001651</v>
      </c>
    </row>
    <row r="5110" spans="1:9" x14ac:dyDescent="0.25">
      <c r="A5110" t="s">
        <v>4503</v>
      </c>
      <c r="B5110" t="s">
        <v>13</v>
      </c>
      <c r="C5110">
        <v>16.399999999999999</v>
      </c>
      <c r="D5110">
        <v>17.45</v>
      </c>
      <c r="E5110" t="s">
        <v>17</v>
      </c>
      <c r="F5110">
        <v>25.18</v>
      </c>
      <c r="G5110">
        <v>23.38</v>
      </c>
      <c r="H5110" t="s">
        <v>17</v>
      </c>
      <c r="I5110" t="str">
        <f>"063261005070"</f>
        <v>063261005070</v>
      </c>
    </row>
    <row r="5111" spans="1:9" x14ac:dyDescent="0.25">
      <c r="A5111" t="s">
        <v>4504</v>
      </c>
      <c r="B5111" t="s">
        <v>13</v>
      </c>
      <c r="C5111">
        <v>26.58</v>
      </c>
      <c r="D5111">
        <v>27.36</v>
      </c>
      <c r="E5111" t="s">
        <v>17</v>
      </c>
      <c r="F5111">
        <v>20.65</v>
      </c>
      <c r="G5111">
        <v>20.69</v>
      </c>
      <c r="H5111" t="s">
        <v>17</v>
      </c>
      <c r="I5111" t="str">
        <f>"061479011069"</f>
        <v>061479011069</v>
      </c>
    </row>
    <row r="5112" spans="1:9" x14ac:dyDescent="0.25">
      <c r="A5112" t="s">
        <v>4505</v>
      </c>
      <c r="B5112" t="s">
        <v>13</v>
      </c>
      <c r="C5112">
        <v>40.01</v>
      </c>
      <c r="D5112">
        <v>41.31</v>
      </c>
      <c r="E5112" t="s">
        <v>17</v>
      </c>
      <c r="F5112">
        <v>23.87</v>
      </c>
      <c r="G5112">
        <v>23.26</v>
      </c>
      <c r="H5112" t="s">
        <v>17</v>
      </c>
      <c r="I5112" t="str">
        <f>"062193002602"</f>
        <v>062193002602</v>
      </c>
    </row>
    <row r="5113" spans="1:9" x14ac:dyDescent="0.25">
      <c r="A5113" t="s">
        <v>4506</v>
      </c>
      <c r="B5113" t="s">
        <v>13</v>
      </c>
      <c r="C5113" t="s">
        <v>14</v>
      </c>
      <c r="D5113" t="s">
        <v>17</v>
      </c>
      <c r="E5113" t="s">
        <v>17</v>
      </c>
      <c r="F5113" t="s">
        <v>17</v>
      </c>
      <c r="G5113" t="s">
        <v>17</v>
      </c>
      <c r="H5113" t="s">
        <v>17</v>
      </c>
      <c r="I5113" t="str">
        <f>"069101412362"</f>
        <v>069101412362</v>
      </c>
    </row>
    <row r="5114" spans="1:9" x14ac:dyDescent="0.25">
      <c r="A5114" t="s">
        <v>4507</v>
      </c>
      <c r="B5114" t="s">
        <v>13</v>
      </c>
      <c r="C5114">
        <v>3</v>
      </c>
      <c r="D5114">
        <v>3</v>
      </c>
      <c r="E5114" t="s">
        <v>17</v>
      </c>
      <c r="F5114">
        <v>19.329999999999998</v>
      </c>
      <c r="G5114">
        <v>18.670000000000002</v>
      </c>
      <c r="H5114" t="s">
        <v>17</v>
      </c>
      <c r="I5114" t="str">
        <f>"062475010819"</f>
        <v>062475010819</v>
      </c>
    </row>
    <row r="5115" spans="1:9" x14ac:dyDescent="0.25">
      <c r="A5115" t="s">
        <v>4508</v>
      </c>
      <c r="B5115" t="s">
        <v>13</v>
      </c>
      <c r="C5115" t="s">
        <v>14</v>
      </c>
      <c r="D5115" t="s">
        <v>17</v>
      </c>
      <c r="E5115" t="s">
        <v>17</v>
      </c>
      <c r="F5115" t="s">
        <v>17</v>
      </c>
      <c r="G5115" t="s">
        <v>17</v>
      </c>
      <c r="H5115" t="s">
        <v>17</v>
      </c>
      <c r="I5115" t="str">
        <f>"069101411858"</f>
        <v>069101411858</v>
      </c>
    </row>
    <row r="5116" spans="1:9" x14ac:dyDescent="0.25">
      <c r="A5116" t="s">
        <v>4509</v>
      </c>
      <c r="B5116" t="s">
        <v>13</v>
      </c>
      <c r="C5116" t="s">
        <v>17</v>
      </c>
      <c r="D5116" t="s">
        <v>17</v>
      </c>
      <c r="E5116" t="s">
        <v>17</v>
      </c>
      <c r="F5116" t="s">
        <v>17</v>
      </c>
      <c r="G5116" t="s">
        <v>17</v>
      </c>
      <c r="H5116" t="s">
        <v>17</v>
      </c>
      <c r="I5116" t="str">
        <f>"060007810820"</f>
        <v>060007810820</v>
      </c>
    </row>
    <row r="5117" spans="1:9" x14ac:dyDescent="0.25">
      <c r="A5117" t="s">
        <v>4510</v>
      </c>
      <c r="B5117" t="s">
        <v>13</v>
      </c>
      <c r="C5117">
        <v>8.5</v>
      </c>
      <c r="D5117">
        <v>12.21</v>
      </c>
      <c r="E5117" t="s">
        <v>17</v>
      </c>
      <c r="F5117">
        <v>19.88</v>
      </c>
      <c r="G5117">
        <v>16.63</v>
      </c>
      <c r="H5117" t="s">
        <v>17</v>
      </c>
      <c r="I5117" t="str">
        <f>"062394008897"</f>
        <v>062394008897</v>
      </c>
    </row>
    <row r="5118" spans="1:9" x14ac:dyDescent="0.25">
      <c r="A5118" t="s">
        <v>4511</v>
      </c>
      <c r="B5118" t="s">
        <v>13</v>
      </c>
      <c r="C5118">
        <v>7</v>
      </c>
      <c r="D5118">
        <v>7</v>
      </c>
      <c r="E5118" t="s">
        <v>17</v>
      </c>
      <c r="F5118">
        <v>22.43</v>
      </c>
      <c r="G5118">
        <v>22.43</v>
      </c>
      <c r="H5118" t="s">
        <v>17</v>
      </c>
      <c r="I5118" t="str">
        <f>"062061002475"</f>
        <v>062061002475</v>
      </c>
    </row>
    <row r="5119" spans="1:9" x14ac:dyDescent="0.25">
      <c r="A5119" t="s">
        <v>4511</v>
      </c>
      <c r="B5119" t="s">
        <v>13</v>
      </c>
      <c r="C5119">
        <v>15</v>
      </c>
      <c r="D5119">
        <v>16</v>
      </c>
      <c r="E5119" t="s">
        <v>17</v>
      </c>
      <c r="F5119">
        <v>26.6</v>
      </c>
      <c r="G5119">
        <v>25.25</v>
      </c>
      <c r="H5119" t="s">
        <v>17</v>
      </c>
      <c r="I5119" t="str">
        <f>"063255005041"</f>
        <v>063255005041</v>
      </c>
    </row>
    <row r="5120" spans="1:9" x14ac:dyDescent="0.25">
      <c r="A5120" t="s">
        <v>4511</v>
      </c>
      <c r="B5120" t="s">
        <v>13</v>
      </c>
      <c r="C5120">
        <v>33.01</v>
      </c>
      <c r="D5120">
        <v>31.01</v>
      </c>
      <c r="E5120" t="s">
        <v>17</v>
      </c>
      <c r="F5120">
        <v>25.45</v>
      </c>
      <c r="G5120">
        <v>27.06</v>
      </c>
      <c r="H5120" t="s">
        <v>17</v>
      </c>
      <c r="I5120" t="str">
        <f>"064119009460"</f>
        <v>064119009460</v>
      </c>
    </row>
    <row r="5121" spans="1:9" x14ac:dyDescent="0.25">
      <c r="A5121" t="s">
        <v>4512</v>
      </c>
      <c r="B5121" t="s">
        <v>13</v>
      </c>
      <c r="C5121">
        <v>16.62</v>
      </c>
      <c r="D5121">
        <v>18.920000000000002</v>
      </c>
      <c r="E5121" t="s">
        <v>17</v>
      </c>
      <c r="F5121">
        <v>26.65</v>
      </c>
      <c r="G5121">
        <v>26.16</v>
      </c>
      <c r="H5121" t="s">
        <v>17</v>
      </c>
      <c r="I5121" t="str">
        <f>"063231010017"</f>
        <v>063231010017</v>
      </c>
    </row>
    <row r="5122" spans="1:9" x14ac:dyDescent="0.25">
      <c r="A5122" t="s">
        <v>4512</v>
      </c>
      <c r="B5122" t="s">
        <v>13</v>
      </c>
      <c r="C5122">
        <v>32.299999999999997</v>
      </c>
      <c r="D5122">
        <v>31.1</v>
      </c>
      <c r="E5122" t="s">
        <v>17</v>
      </c>
      <c r="F5122">
        <v>29.32</v>
      </c>
      <c r="G5122">
        <v>30.16</v>
      </c>
      <c r="H5122" t="s">
        <v>17</v>
      </c>
      <c r="I5122" t="str">
        <f>"063386000769"</f>
        <v>063386000769</v>
      </c>
    </row>
    <row r="5123" spans="1:9" x14ac:dyDescent="0.25">
      <c r="A5123" t="s">
        <v>4513</v>
      </c>
      <c r="B5123" t="s">
        <v>13</v>
      </c>
      <c r="C5123">
        <v>28.33</v>
      </c>
      <c r="D5123">
        <v>26</v>
      </c>
      <c r="E5123" t="s">
        <v>17</v>
      </c>
      <c r="F5123">
        <v>27</v>
      </c>
      <c r="G5123">
        <v>28.81</v>
      </c>
      <c r="H5123" t="s">
        <v>17</v>
      </c>
      <c r="I5123" t="str">
        <f>"060243012032"</f>
        <v>060243012032</v>
      </c>
    </row>
    <row r="5124" spans="1:9" x14ac:dyDescent="0.25">
      <c r="A5124" t="s">
        <v>4514</v>
      </c>
      <c r="B5124" t="s">
        <v>13</v>
      </c>
      <c r="C5124">
        <v>19</v>
      </c>
      <c r="D5124">
        <v>17.100000000000001</v>
      </c>
      <c r="E5124" t="s">
        <v>17</v>
      </c>
      <c r="F5124">
        <v>25.68</v>
      </c>
      <c r="G5124">
        <v>27.37</v>
      </c>
      <c r="H5124" t="s">
        <v>17</v>
      </c>
      <c r="I5124" t="str">
        <f>"061944008861"</f>
        <v>061944008861</v>
      </c>
    </row>
    <row r="5125" spans="1:9" x14ac:dyDescent="0.25">
      <c r="A5125" t="s">
        <v>4515</v>
      </c>
      <c r="B5125" t="s">
        <v>13</v>
      </c>
      <c r="C5125">
        <v>8.4</v>
      </c>
      <c r="D5125">
        <v>10</v>
      </c>
      <c r="E5125" t="s">
        <v>17</v>
      </c>
      <c r="F5125">
        <v>28.33</v>
      </c>
      <c r="G5125">
        <v>26.2</v>
      </c>
      <c r="H5125" t="s">
        <v>17</v>
      </c>
      <c r="I5125" t="str">
        <f>"063756006358"</f>
        <v>063756006358</v>
      </c>
    </row>
    <row r="5126" spans="1:9" x14ac:dyDescent="0.25">
      <c r="A5126" t="s">
        <v>4516</v>
      </c>
      <c r="B5126" t="s">
        <v>13</v>
      </c>
      <c r="C5126">
        <v>28.15</v>
      </c>
      <c r="D5126">
        <v>29.14</v>
      </c>
      <c r="E5126" t="s">
        <v>17</v>
      </c>
      <c r="F5126">
        <v>29.24</v>
      </c>
      <c r="G5126">
        <v>27.49</v>
      </c>
      <c r="H5126" t="s">
        <v>17</v>
      </c>
      <c r="I5126" t="str">
        <f>"063315011183"</f>
        <v>063315011183</v>
      </c>
    </row>
    <row r="5127" spans="1:9" x14ac:dyDescent="0.25">
      <c r="A5127" t="s">
        <v>4517</v>
      </c>
      <c r="B5127" t="s">
        <v>13</v>
      </c>
      <c r="C5127">
        <v>11</v>
      </c>
      <c r="D5127">
        <v>9</v>
      </c>
      <c r="E5127" t="s">
        <v>17</v>
      </c>
      <c r="F5127">
        <v>21.36</v>
      </c>
      <c r="G5127">
        <v>23.22</v>
      </c>
      <c r="H5127" t="s">
        <v>17</v>
      </c>
      <c r="I5127" t="str">
        <f>"062271011617"</f>
        <v>062271011617</v>
      </c>
    </row>
    <row r="5128" spans="1:9" x14ac:dyDescent="0.25">
      <c r="A5128" t="s">
        <v>4518</v>
      </c>
      <c r="B5128" t="s">
        <v>13</v>
      </c>
      <c r="C5128">
        <v>18.350000000000001</v>
      </c>
      <c r="D5128">
        <v>18.25</v>
      </c>
      <c r="E5128" t="s">
        <v>17</v>
      </c>
      <c r="F5128">
        <v>20.38</v>
      </c>
      <c r="G5128">
        <v>20.71</v>
      </c>
      <c r="H5128" t="s">
        <v>17</v>
      </c>
      <c r="I5128" t="str">
        <f>"062064011581"</f>
        <v>062064011581</v>
      </c>
    </row>
    <row r="5129" spans="1:9" x14ac:dyDescent="0.25">
      <c r="A5129" t="s">
        <v>4519</v>
      </c>
      <c r="B5129" t="s">
        <v>13</v>
      </c>
      <c r="C5129">
        <v>17.79</v>
      </c>
      <c r="D5129">
        <v>18.600000000000001</v>
      </c>
      <c r="E5129" t="s">
        <v>17</v>
      </c>
      <c r="F5129">
        <v>22.2</v>
      </c>
      <c r="G5129">
        <v>20.54</v>
      </c>
      <c r="H5129" t="s">
        <v>17</v>
      </c>
      <c r="I5129" t="str">
        <f>"062814004336"</f>
        <v>062814004336</v>
      </c>
    </row>
    <row r="5130" spans="1:9" x14ac:dyDescent="0.25">
      <c r="A5130" t="s">
        <v>4520</v>
      </c>
      <c r="B5130" t="s">
        <v>13</v>
      </c>
      <c r="C5130">
        <v>10.61</v>
      </c>
      <c r="D5130">
        <v>11.61</v>
      </c>
      <c r="E5130" t="s">
        <v>17</v>
      </c>
      <c r="F5130">
        <v>29.22</v>
      </c>
      <c r="G5130">
        <v>28.51</v>
      </c>
      <c r="H5130" t="s">
        <v>17</v>
      </c>
      <c r="I5130" t="str">
        <f>"062193002603"</f>
        <v>062193002603</v>
      </c>
    </row>
    <row r="5131" spans="1:9" x14ac:dyDescent="0.25">
      <c r="A5131" t="s">
        <v>4521</v>
      </c>
      <c r="B5131" t="s">
        <v>13</v>
      </c>
      <c r="C5131">
        <v>45.3</v>
      </c>
      <c r="D5131">
        <v>48.8</v>
      </c>
      <c r="E5131" t="s">
        <v>17</v>
      </c>
      <c r="F5131">
        <v>24.08</v>
      </c>
      <c r="G5131">
        <v>22.54</v>
      </c>
      <c r="H5131" t="s">
        <v>17</v>
      </c>
      <c r="I5131" t="str">
        <f>"060002712772"</f>
        <v>060002712772</v>
      </c>
    </row>
    <row r="5132" spans="1:9" x14ac:dyDescent="0.25">
      <c r="A5132" t="s">
        <v>4522</v>
      </c>
      <c r="B5132" t="s">
        <v>13</v>
      </c>
      <c r="C5132">
        <v>2</v>
      </c>
      <c r="D5132">
        <v>2</v>
      </c>
      <c r="E5132" t="s">
        <v>17</v>
      </c>
      <c r="F5132">
        <v>18</v>
      </c>
      <c r="G5132">
        <v>16.5</v>
      </c>
      <c r="H5132" t="s">
        <v>17</v>
      </c>
      <c r="I5132" t="str">
        <f>"062067008712"</f>
        <v>062067008712</v>
      </c>
    </row>
    <row r="5133" spans="1:9" x14ac:dyDescent="0.25">
      <c r="A5133" t="s">
        <v>4523</v>
      </c>
      <c r="B5133" t="s">
        <v>13</v>
      </c>
      <c r="C5133">
        <v>1</v>
      </c>
      <c r="D5133">
        <v>1</v>
      </c>
      <c r="E5133" t="s">
        <v>17</v>
      </c>
      <c r="F5133">
        <v>7</v>
      </c>
      <c r="G5133">
        <v>6</v>
      </c>
      <c r="H5133" t="s">
        <v>17</v>
      </c>
      <c r="I5133" t="str">
        <f>"062067012081"</f>
        <v>062067012081</v>
      </c>
    </row>
    <row r="5134" spans="1:9" x14ac:dyDescent="0.25">
      <c r="A5134" t="s">
        <v>4524</v>
      </c>
      <c r="B5134" t="s">
        <v>13</v>
      </c>
      <c r="C5134">
        <v>22</v>
      </c>
      <c r="D5134">
        <v>21</v>
      </c>
      <c r="E5134" t="s">
        <v>17</v>
      </c>
      <c r="F5134">
        <v>22.68</v>
      </c>
      <c r="G5134">
        <v>23.43</v>
      </c>
      <c r="H5134" t="s">
        <v>17</v>
      </c>
      <c r="I5134" t="str">
        <f>"062067002485"</f>
        <v>062067002485</v>
      </c>
    </row>
    <row r="5135" spans="1:9" x14ac:dyDescent="0.25">
      <c r="A5135" t="s">
        <v>4525</v>
      </c>
      <c r="B5135" t="s">
        <v>13</v>
      </c>
      <c r="C5135">
        <v>24.16</v>
      </c>
      <c r="D5135">
        <v>24</v>
      </c>
      <c r="E5135" t="s">
        <v>17</v>
      </c>
      <c r="F5135">
        <v>20.32</v>
      </c>
      <c r="G5135">
        <v>22.25</v>
      </c>
      <c r="H5135" t="s">
        <v>17</v>
      </c>
      <c r="I5135" t="str">
        <f>"063441005638"</f>
        <v>063441005638</v>
      </c>
    </row>
    <row r="5136" spans="1:9" x14ac:dyDescent="0.25">
      <c r="A5136" t="s">
        <v>4526</v>
      </c>
      <c r="B5136" t="s">
        <v>13</v>
      </c>
      <c r="C5136">
        <v>28</v>
      </c>
      <c r="D5136">
        <v>29.75</v>
      </c>
      <c r="E5136" t="s">
        <v>17</v>
      </c>
      <c r="F5136">
        <v>20.68</v>
      </c>
      <c r="G5136">
        <v>20.03</v>
      </c>
      <c r="H5136" t="s">
        <v>17</v>
      </c>
      <c r="I5136" t="str">
        <f>"062073002489"</f>
        <v>062073002489</v>
      </c>
    </row>
    <row r="5137" spans="1:9" x14ac:dyDescent="0.25">
      <c r="A5137" t="s">
        <v>4527</v>
      </c>
      <c r="B5137" t="s">
        <v>13</v>
      </c>
      <c r="C5137" t="s">
        <v>14</v>
      </c>
      <c r="D5137" t="s">
        <v>14</v>
      </c>
      <c r="E5137" t="s">
        <v>17</v>
      </c>
      <c r="F5137" t="s">
        <v>14</v>
      </c>
      <c r="G5137" t="s">
        <v>14</v>
      </c>
      <c r="H5137" t="s">
        <v>17</v>
      </c>
      <c r="I5137" t="str">
        <f>"062076011980"</f>
        <v>062076011980</v>
      </c>
    </row>
    <row r="5138" spans="1:9" x14ac:dyDescent="0.25">
      <c r="A5138" t="s">
        <v>4528</v>
      </c>
      <c r="B5138" t="s">
        <v>13</v>
      </c>
      <c r="C5138">
        <v>14</v>
      </c>
      <c r="D5138">
        <v>15.5</v>
      </c>
      <c r="E5138" t="s">
        <v>17</v>
      </c>
      <c r="F5138">
        <v>21.57</v>
      </c>
      <c r="G5138">
        <v>20.52</v>
      </c>
      <c r="H5138" t="s">
        <v>17</v>
      </c>
      <c r="I5138" t="str">
        <f>"062076002491"</f>
        <v>062076002491</v>
      </c>
    </row>
    <row r="5139" spans="1:9" x14ac:dyDescent="0.25">
      <c r="A5139" t="s">
        <v>4528</v>
      </c>
      <c r="B5139" t="s">
        <v>13</v>
      </c>
      <c r="C5139">
        <v>5</v>
      </c>
      <c r="D5139">
        <v>5</v>
      </c>
      <c r="E5139" t="s">
        <v>17</v>
      </c>
      <c r="F5139">
        <v>18.399999999999999</v>
      </c>
      <c r="G5139">
        <v>17.600000000000001</v>
      </c>
      <c r="H5139" t="s">
        <v>17</v>
      </c>
      <c r="I5139" t="str">
        <f>"062070002488"</f>
        <v>062070002488</v>
      </c>
    </row>
    <row r="5140" spans="1:9" x14ac:dyDescent="0.25">
      <c r="A5140" t="s">
        <v>4529</v>
      </c>
      <c r="B5140" t="s">
        <v>13</v>
      </c>
      <c r="C5140">
        <v>28</v>
      </c>
      <c r="D5140">
        <v>25</v>
      </c>
      <c r="E5140" t="s">
        <v>17</v>
      </c>
      <c r="F5140">
        <v>23.39</v>
      </c>
      <c r="G5140">
        <v>22.44</v>
      </c>
      <c r="H5140" t="s">
        <v>17</v>
      </c>
      <c r="I5140" t="str">
        <f>"062079002493"</f>
        <v>062079002493</v>
      </c>
    </row>
    <row r="5141" spans="1:9" x14ac:dyDescent="0.25">
      <c r="A5141" t="s">
        <v>4530</v>
      </c>
      <c r="B5141" t="s">
        <v>13</v>
      </c>
      <c r="C5141">
        <v>79.7</v>
      </c>
      <c r="D5141">
        <v>82.07</v>
      </c>
      <c r="E5141" t="s">
        <v>17</v>
      </c>
      <c r="F5141">
        <v>23.49</v>
      </c>
      <c r="G5141">
        <v>23.54</v>
      </c>
      <c r="H5141" t="s">
        <v>17</v>
      </c>
      <c r="I5141" t="str">
        <f>"060002711036"</f>
        <v>060002711036</v>
      </c>
    </row>
    <row r="5142" spans="1:9" x14ac:dyDescent="0.25">
      <c r="A5142" t="s">
        <v>4531</v>
      </c>
      <c r="B5142" t="s">
        <v>13</v>
      </c>
      <c r="C5142">
        <v>64.8</v>
      </c>
      <c r="D5142">
        <v>63.63</v>
      </c>
      <c r="E5142" t="s">
        <v>17</v>
      </c>
      <c r="F5142">
        <v>28.16</v>
      </c>
      <c r="G5142">
        <v>27.79</v>
      </c>
      <c r="H5142" t="s">
        <v>17</v>
      </c>
      <c r="I5142" t="str">
        <f>"069113511243"</f>
        <v>069113511243</v>
      </c>
    </row>
    <row r="5143" spans="1:9" x14ac:dyDescent="0.25">
      <c r="A5143" t="s">
        <v>4531</v>
      </c>
      <c r="B5143" t="s">
        <v>13</v>
      </c>
      <c r="C5143">
        <v>28.25</v>
      </c>
      <c r="D5143">
        <v>27.61</v>
      </c>
      <c r="E5143" t="s">
        <v>17</v>
      </c>
      <c r="F5143">
        <v>27.33</v>
      </c>
      <c r="G5143">
        <v>25.32</v>
      </c>
      <c r="H5143" t="s">
        <v>17</v>
      </c>
      <c r="I5143" t="str">
        <f>"068450007060"</f>
        <v>068450007060</v>
      </c>
    </row>
    <row r="5144" spans="1:9" x14ac:dyDescent="0.25">
      <c r="A5144" t="s">
        <v>4531</v>
      </c>
      <c r="B5144" t="s">
        <v>13</v>
      </c>
      <c r="C5144">
        <v>29.81</v>
      </c>
      <c r="D5144">
        <v>33.200000000000003</v>
      </c>
      <c r="E5144" t="s">
        <v>17</v>
      </c>
      <c r="F5144">
        <v>23.01</v>
      </c>
      <c r="G5144">
        <v>21.84</v>
      </c>
      <c r="H5144" t="s">
        <v>17</v>
      </c>
      <c r="I5144" t="str">
        <f>"062193002604"</f>
        <v>062193002604</v>
      </c>
    </row>
    <row r="5145" spans="1:9" x14ac:dyDescent="0.25">
      <c r="A5145" t="s">
        <v>4531</v>
      </c>
      <c r="B5145" t="s">
        <v>13</v>
      </c>
      <c r="C5145">
        <v>30.62</v>
      </c>
      <c r="D5145">
        <v>26.8</v>
      </c>
      <c r="E5145" t="s">
        <v>17</v>
      </c>
      <c r="F5145">
        <v>25.41</v>
      </c>
      <c r="G5145">
        <v>26.12</v>
      </c>
      <c r="H5145" t="s">
        <v>17</v>
      </c>
      <c r="I5145" t="str">
        <f>"062079002494"</f>
        <v>062079002494</v>
      </c>
    </row>
    <row r="5146" spans="1:9" x14ac:dyDescent="0.25">
      <c r="A5146" t="s">
        <v>4532</v>
      </c>
      <c r="B5146" t="s">
        <v>13</v>
      </c>
      <c r="C5146">
        <v>26.49</v>
      </c>
      <c r="D5146">
        <v>26</v>
      </c>
      <c r="E5146" t="s">
        <v>17</v>
      </c>
      <c r="F5146">
        <v>24.08</v>
      </c>
      <c r="G5146">
        <v>22.42</v>
      </c>
      <c r="H5146" t="s">
        <v>17</v>
      </c>
      <c r="I5146" t="str">
        <f>"062079002495"</f>
        <v>062079002495</v>
      </c>
    </row>
    <row r="5147" spans="1:9" x14ac:dyDescent="0.25">
      <c r="A5147" t="s">
        <v>4532</v>
      </c>
      <c r="B5147" t="s">
        <v>13</v>
      </c>
      <c r="C5147" t="s">
        <v>14</v>
      </c>
      <c r="D5147">
        <v>12</v>
      </c>
      <c r="E5147" t="s">
        <v>17</v>
      </c>
      <c r="F5147" t="s">
        <v>17</v>
      </c>
      <c r="G5147">
        <v>24.25</v>
      </c>
      <c r="H5147" t="s">
        <v>17</v>
      </c>
      <c r="I5147" t="str">
        <f>"062805004286"</f>
        <v>062805004286</v>
      </c>
    </row>
    <row r="5148" spans="1:9" x14ac:dyDescent="0.25">
      <c r="A5148" t="s">
        <v>4532</v>
      </c>
      <c r="B5148" t="s">
        <v>13</v>
      </c>
      <c r="C5148">
        <v>22.61</v>
      </c>
      <c r="D5148">
        <v>22.41</v>
      </c>
      <c r="E5148" t="s">
        <v>17</v>
      </c>
      <c r="F5148">
        <v>26.54</v>
      </c>
      <c r="G5148">
        <v>26.28</v>
      </c>
      <c r="H5148" t="s">
        <v>17</v>
      </c>
      <c r="I5148" t="str">
        <f>"063231010769"</f>
        <v>063231010769</v>
      </c>
    </row>
    <row r="5149" spans="1:9" x14ac:dyDescent="0.25">
      <c r="A5149" t="s">
        <v>4532</v>
      </c>
      <c r="B5149" t="s">
        <v>13</v>
      </c>
      <c r="C5149">
        <v>20.5</v>
      </c>
      <c r="D5149">
        <v>22</v>
      </c>
      <c r="E5149" t="s">
        <v>17</v>
      </c>
      <c r="F5149">
        <v>28.73</v>
      </c>
      <c r="G5149">
        <v>25.68</v>
      </c>
      <c r="H5149" t="s">
        <v>17</v>
      </c>
      <c r="I5149" t="str">
        <f>"062193002605"</f>
        <v>062193002605</v>
      </c>
    </row>
    <row r="5150" spans="1:9" x14ac:dyDescent="0.25">
      <c r="A5150" t="s">
        <v>4532</v>
      </c>
      <c r="B5150" t="s">
        <v>13</v>
      </c>
      <c r="C5150">
        <v>18.5</v>
      </c>
      <c r="D5150">
        <v>19.5</v>
      </c>
      <c r="E5150" t="s">
        <v>17</v>
      </c>
      <c r="F5150">
        <v>26.54</v>
      </c>
      <c r="G5150">
        <v>28</v>
      </c>
      <c r="H5150" t="s">
        <v>17</v>
      </c>
      <c r="I5150" t="str">
        <f>"063066010988"</f>
        <v>063066010988</v>
      </c>
    </row>
    <row r="5151" spans="1:9" x14ac:dyDescent="0.25">
      <c r="A5151" t="s">
        <v>4533</v>
      </c>
      <c r="B5151" t="s">
        <v>13</v>
      </c>
      <c r="C5151">
        <v>23.4</v>
      </c>
      <c r="D5151">
        <v>24.2</v>
      </c>
      <c r="E5151" t="s">
        <v>17</v>
      </c>
      <c r="F5151">
        <v>22.31</v>
      </c>
      <c r="G5151">
        <v>22.98</v>
      </c>
      <c r="H5151" t="s">
        <v>17</v>
      </c>
      <c r="I5151" t="str">
        <f>"062871004463"</f>
        <v>062871004463</v>
      </c>
    </row>
    <row r="5152" spans="1:9" x14ac:dyDescent="0.25">
      <c r="A5152" t="s">
        <v>4534</v>
      </c>
      <c r="B5152" t="s">
        <v>13</v>
      </c>
      <c r="C5152">
        <v>33</v>
      </c>
      <c r="D5152">
        <v>34</v>
      </c>
      <c r="E5152" t="s">
        <v>17</v>
      </c>
      <c r="F5152">
        <v>20.329999999999998</v>
      </c>
      <c r="G5152">
        <v>19.59</v>
      </c>
      <c r="H5152" t="s">
        <v>17</v>
      </c>
      <c r="I5152" t="str">
        <f>"062949006662"</f>
        <v>062949006662</v>
      </c>
    </row>
    <row r="5153" spans="1:9" x14ac:dyDescent="0.25">
      <c r="A5153" t="s">
        <v>4534</v>
      </c>
      <c r="B5153" t="s">
        <v>13</v>
      </c>
      <c r="C5153">
        <v>33.24</v>
      </c>
      <c r="D5153">
        <v>31.33</v>
      </c>
      <c r="E5153" t="s">
        <v>17</v>
      </c>
      <c r="F5153">
        <v>27.26</v>
      </c>
      <c r="G5153">
        <v>29.05</v>
      </c>
      <c r="H5153" t="s">
        <v>17</v>
      </c>
      <c r="I5153" t="str">
        <f>"063697206781"</f>
        <v>063697206781</v>
      </c>
    </row>
    <row r="5154" spans="1:9" x14ac:dyDescent="0.25">
      <c r="A5154" t="s">
        <v>4535</v>
      </c>
      <c r="B5154" t="s">
        <v>13</v>
      </c>
      <c r="C5154" t="s">
        <v>14</v>
      </c>
      <c r="D5154" t="s">
        <v>14</v>
      </c>
      <c r="E5154" t="s">
        <v>17</v>
      </c>
      <c r="F5154" t="s">
        <v>14</v>
      </c>
      <c r="G5154" t="s">
        <v>14</v>
      </c>
      <c r="H5154" t="s">
        <v>17</v>
      </c>
      <c r="I5154" t="str">
        <f>"062223008324"</f>
        <v>062223008324</v>
      </c>
    </row>
    <row r="5155" spans="1:9" x14ac:dyDescent="0.25">
      <c r="A5155" t="s">
        <v>4536</v>
      </c>
      <c r="B5155" t="s">
        <v>13</v>
      </c>
      <c r="C5155">
        <v>19.53</v>
      </c>
      <c r="D5155">
        <v>21.23</v>
      </c>
      <c r="E5155" t="s">
        <v>17</v>
      </c>
      <c r="F5155">
        <v>26.16</v>
      </c>
      <c r="G5155">
        <v>23.74</v>
      </c>
      <c r="H5155" t="s">
        <v>17</v>
      </c>
      <c r="I5155" t="str">
        <f>"062223002652"</f>
        <v>062223002652</v>
      </c>
    </row>
    <row r="5156" spans="1:9" x14ac:dyDescent="0.25">
      <c r="A5156" t="s">
        <v>4536</v>
      </c>
      <c r="B5156" t="s">
        <v>13</v>
      </c>
      <c r="C5156">
        <v>22.5</v>
      </c>
      <c r="D5156">
        <v>23</v>
      </c>
      <c r="E5156" t="s">
        <v>17</v>
      </c>
      <c r="F5156">
        <v>22.93</v>
      </c>
      <c r="G5156">
        <v>21.65</v>
      </c>
      <c r="H5156" t="s">
        <v>17</v>
      </c>
      <c r="I5156" t="str">
        <f>"063846006463"</f>
        <v>063846006463</v>
      </c>
    </row>
    <row r="5157" spans="1:9" x14ac:dyDescent="0.25">
      <c r="A5157" t="s">
        <v>4536</v>
      </c>
      <c r="B5157" t="s">
        <v>13</v>
      </c>
      <c r="C5157">
        <v>17</v>
      </c>
      <c r="D5157">
        <v>18.5</v>
      </c>
      <c r="E5157" t="s">
        <v>17</v>
      </c>
      <c r="F5157">
        <v>24.18</v>
      </c>
      <c r="G5157">
        <v>22.86</v>
      </c>
      <c r="H5157" t="s">
        <v>17</v>
      </c>
      <c r="I5157" t="str">
        <f>"062513003741"</f>
        <v>062513003741</v>
      </c>
    </row>
    <row r="5158" spans="1:9" x14ac:dyDescent="0.25">
      <c r="A5158" t="s">
        <v>4537</v>
      </c>
      <c r="B5158" t="s">
        <v>13</v>
      </c>
      <c r="C5158">
        <v>146.4</v>
      </c>
      <c r="D5158">
        <v>155.01</v>
      </c>
      <c r="E5158" t="s">
        <v>17</v>
      </c>
      <c r="F5158">
        <v>26.17</v>
      </c>
      <c r="G5158">
        <v>26.18</v>
      </c>
      <c r="H5158" t="s">
        <v>17</v>
      </c>
      <c r="I5158" t="str">
        <f>"062250002733"</f>
        <v>062250002733</v>
      </c>
    </row>
    <row r="5159" spans="1:9" x14ac:dyDescent="0.25">
      <c r="A5159" t="s">
        <v>4538</v>
      </c>
      <c r="B5159" t="s">
        <v>13</v>
      </c>
      <c r="C5159" t="s">
        <v>14</v>
      </c>
      <c r="D5159" t="s">
        <v>14</v>
      </c>
      <c r="E5159" t="s">
        <v>17</v>
      </c>
      <c r="F5159" t="s">
        <v>14</v>
      </c>
      <c r="G5159" t="s">
        <v>14</v>
      </c>
      <c r="H5159" t="s">
        <v>17</v>
      </c>
      <c r="I5159" t="str">
        <f>"062082002500"</f>
        <v>062082002500</v>
      </c>
    </row>
    <row r="5160" spans="1:9" x14ac:dyDescent="0.25">
      <c r="A5160" t="s">
        <v>4538</v>
      </c>
      <c r="B5160" t="s">
        <v>13</v>
      </c>
      <c r="C5160">
        <v>11.1</v>
      </c>
      <c r="D5160">
        <v>11.9</v>
      </c>
      <c r="E5160" t="s">
        <v>14</v>
      </c>
      <c r="F5160">
        <v>20.81</v>
      </c>
      <c r="G5160">
        <v>20.59</v>
      </c>
      <c r="H5160" t="s">
        <v>14</v>
      </c>
      <c r="I5160" t="str">
        <f>"060141002500"</f>
        <v>060141002500</v>
      </c>
    </row>
    <row r="5161" spans="1:9" x14ac:dyDescent="0.25">
      <c r="A5161" t="s">
        <v>4539</v>
      </c>
      <c r="B5161" t="s">
        <v>13</v>
      </c>
      <c r="C5161">
        <v>34.5</v>
      </c>
      <c r="D5161">
        <v>35.5</v>
      </c>
      <c r="E5161" t="s">
        <v>17</v>
      </c>
      <c r="F5161">
        <v>19.329999999999998</v>
      </c>
      <c r="G5161">
        <v>19.100000000000001</v>
      </c>
      <c r="H5161" t="s">
        <v>17</v>
      </c>
      <c r="I5161" t="str">
        <f>"062085002502"</f>
        <v>062085002502</v>
      </c>
    </row>
    <row r="5162" spans="1:9" x14ac:dyDescent="0.25">
      <c r="A5162" t="s">
        <v>4540</v>
      </c>
      <c r="B5162" t="s">
        <v>13</v>
      </c>
      <c r="C5162">
        <v>31.31</v>
      </c>
      <c r="D5162">
        <v>33</v>
      </c>
      <c r="E5162" t="s">
        <v>17</v>
      </c>
      <c r="F5162">
        <v>26.96</v>
      </c>
      <c r="G5162">
        <v>25.64</v>
      </c>
      <c r="H5162" t="s">
        <v>17</v>
      </c>
      <c r="I5162" t="str">
        <f>"062865004435"</f>
        <v>062865004435</v>
      </c>
    </row>
    <row r="5163" spans="1:9" x14ac:dyDescent="0.25">
      <c r="A5163" t="s">
        <v>4541</v>
      </c>
      <c r="B5163" t="s">
        <v>13</v>
      </c>
      <c r="C5163">
        <v>23.5</v>
      </c>
      <c r="D5163">
        <v>22</v>
      </c>
      <c r="E5163" t="s">
        <v>17</v>
      </c>
      <c r="F5163">
        <v>23.83</v>
      </c>
      <c r="G5163">
        <v>25</v>
      </c>
      <c r="H5163" t="s">
        <v>17</v>
      </c>
      <c r="I5163" t="str">
        <f>"062271003121"</f>
        <v>062271003121</v>
      </c>
    </row>
    <row r="5164" spans="1:9" x14ac:dyDescent="0.25">
      <c r="A5164" t="s">
        <v>4542</v>
      </c>
      <c r="B5164" t="s">
        <v>13</v>
      </c>
      <c r="C5164">
        <v>9</v>
      </c>
      <c r="D5164">
        <v>5.25</v>
      </c>
      <c r="E5164" t="s">
        <v>17</v>
      </c>
      <c r="F5164">
        <v>11.78</v>
      </c>
      <c r="G5164">
        <v>20</v>
      </c>
      <c r="H5164" t="s">
        <v>17</v>
      </c>
      <c r="I5164" t="str">
        <f>"062088005857"</f>
        <v>062088005857</v>
      </c>
    </row>
    <row r="5165" spans="1:9" x14ac:dyDescent="0.25">
      <c r="A5165" t="s">
        <v>4543</v>
      </c>
      <c r="B5165" t="s">
        <v>13</v>
      </c>
      <c r="C5165">
        <v>100.4</v>
      </c>
      <c r="D5165">
        <v>105.5</v>
      </c>
      <c r="E5165" t="s">
        <v>17</v>
      </c>
      <c r="F5165">
        <v>23.65</v>
      </c>
      <c r="G5165">
        <v>23.18</v>
      </c>
      <c r="H5165" t="s">
        <v>17</v>
      </c>
      <c r="I5165" t="str">
        <f>"060282004582"</f>
        <v>060282004582</v>
      </c>
    </row>
    <row r="5166" spans="1:9" x14ac:dyDescent="0.25">
      <c r="A5166" t="s">
        <v>4544</v>
      </c>
      <c r="B5166" t="s">
        <v>13</v>
      </c>
      <c r="C5166">
        <v>25</v>
      </c>
      <c r="D5166">
        <v>24</v>
      </c>
      <c r="E5166" t="s">
        <v>17</v>
      </c>
      <c r="F5166">
        <v>27.44</v>
      </c>
      <c r="G5166">
        <v>30.08</v>
      </c>
      <c r="H5166" t="s">
        <v>17</v>
      </c>
      <c r="I5166" t="str">
        <f>"062955009420"</f>
        <v>062955009420</v>
      </c>
    </row>
    <row r="5167" spans="1:9" x14ac:dyDescent="0.25">
      <c r="A5167" t="s">
        <v>4545</v>
      </c>
      <c r="B5167" t="s">
        <v>13</v>
      </c>
      <c r="C5167">
        <v>8.6</v>
      </c>
      <c r="D5167">
        <v>9.66</v>
      </c>
      <c r="E5167" t="s">
        <v>17</v>
      </c>
      <c r="F5167">
        <v>17.559999999999999</v>
      </c>
      <c r="G5167">
        <v>15.84</v>
      </c>
      <c r="H5167" t="s">
        <v>17</v>
      </c>
      <c r="I5167" t="str">
        <f>"062586009940"</f>
        <v>062586009940</v>
      </c>
    </row>
    <row r="5168" spans="1:9" x14ac:dyDescent="0.25">
      <c r="A5168" t="s">
        <v>4546</v>
      </c>
      <c r="B5168" t="s">
        <v>13</v>
      </c>
      <c r="C5168">
        <v>20</v>
      </c>
      <c r="D5168">
        <v>21</v>
      </c>
      <c r="E5168" t="s">
        <v>17</v>
      </c>
      <c r="F5168">
        <v>31.35</v>
      </c>
      <c r="G5168">
        <v>29.19</v>
      </c>
      <c r="H5168" t="s">
        <v>17</v>
      </c>
      <c r="I5168" t="str">
        <f>"062949011461"</f>
        <v>062949011461</v>
      </c>
    </row>
    <row r="5169" spans="1:9" x14ac:dyDescent="0.25">
      <c r="A5169" t="s">
        <v>4547</v>
      </c>
      <c r="B5169" t="s">
        <v>13</v>
      </c>
      <c r="C5169">
        <v>55.01</v>
      </c>
      <c r="D5169">
        <v>53</v>
      </c>
      <c r="E5169" t="s">
        <v>17</v>
      </c>
      <c r="F5169">
        <v>25.52</v>
      </c>
      <c r="G5169">
        <v>26.91</v>
      </c>
      <c r="H5169" t="s">
        <v>17</v>
      </c>
      <c r="I5169" t="str">
        <f>"062580010277"</f>
        <v>062580010277</v>
      </c>
    </row>
    <row r="5170" spans="1:9" x14ac:dyDescent="0.25">
      <c r="A5170" t="s">
        <v>4548</v>
      </c>
      <c r="B5170" t="s">
        <v>13</v>
      </c>
      <c r="C5170">
        <v>8</v>
      </c>
      <c r="D5170">
        <v>9</v>
      </c>
      <c r="E5170" t="s">
        <v>17</v>
      </c>
      <c r="F5170">
        <v>29.63</v>
      </c>
      <c r="G5170">
        <v>25.11</v>
      </c>
      <c r="H5170" t="s">
        <v>17</v>
      </c>
      <c r="I5170" t="str">
        <f>"061839002258"</f>
        <v>061839002258</v>
      </c>
    </row>
    <row r="5171" spans="1:9" x14ac:dyDescent="0.25">
      <c r="A5171" t="s">
        <v>4549</v>
      </c>
      <c r="B5171" t="s">
        <v>13</v>
      </c>
      <c r="C5171">
        <v>27</v>
      </c>
      <c r="D5171">
        <v>34</v>
      </c>
      <c r="E5171" t="s">
        <v>17</v>
      </c>
      <c r="F5171">
        <v>25.3</v>
      </c>
      <c r="G5171">
        <v>20.059999999999999</v>
      </c>
      <c r="H5171" t="s">
        <v>17</v>
      </c>
      <c r="I5171" t="str">
        <f>"061455001747"</f>
        <v>061455001747</v>
      </c>
    </row>
    <row r="5172" spans="1:9" x14ac:dyDescent="0.25">
      <c r="A5172" t="s">
        <v>4550</v>
      </c>
      <c r="B5172" t="s">
        <v>13</v>
      </c>
      <c r="C5172">
        <v>22</v>
      </c>
      <c r="D5172">
        <v>23</v>
      </c>
      <c r="E5172" t="s">
        <v>17</v>
      </c>
      <c r="F5172">
        <v>22.09</v>
      </c>
      <c r="G5172">
        <v>22.22</v>
      </c>
      <c r="H5172" t="s">
        <v>17</v>
      </c>
      <c r="I5172" t="str">
        <f>"060480000459"</f>
        <v>060480000459</v>
      </c>
    </row>
    <row r="5173" spans="1:9" x14ac:dyDescent="0.25">
      <c r="A5173" t="s">
        <v>4551</v>
      </c>
      <c r="B5173" t="s">
        <v>13</v>
      </c>
      <c r="C5173">
        <v>28</v>
      </c>
      <c r="D5173">
        <v>29</v>
      </c>
      <c r="E5173" t="s">
        <v>17</v>
      </c>
      <c r="F5173">
        <v>24.54</v>
      </c>
      <c r="G5173">
        <v>24.07</v>
      </c>
      <c r="H5173" t="s">
        <v>17</v>
      </c>
      <c r="I5173" t="str">
        <f>"060964007933"</f>
        <v>060964007933</v>
      </c>
    </row>
    <row r="5174" spans="1:9" x14ac:dyDescent="0.25">
      <c r="A5174" t="s">
        <v>4552</v>
      </c>
      <c r="B5174" t="s">
        <v>13</v>
      </c>
      <c r="C5174">
        <v>28</v>
      </c>
      <c r="D5174">
        <v>28</v>
      </c>
      <c r="E5174" t="s">
        <v>17</v>
      </c>
      <c r="F5174">
        <v>20.39</v>
      </c>
      <c r="G5174">
        <v>20.36</v>
      </c>
      <c r="H5174" t="s">
        <v>17</v>
      </c>
      <c r="I5174" t="str">
        <f>"062271003123"</f>
        <v>062271003123</v>
      </c>
    </row>
    <row r="5175" spans="1:9" x14ac:dyDescent="0.25">
      <c r="A5175" t="s">
        <v>4553</v>
      </c>
      <c r="B5175" t="s">
        <v>13</v>
      </c>
      <c r="C5175">
        <v>20.5</v>
      </c>
      <c r="D5175">
        <v>21.5</v>
      </c>
      <c r="E5175" t="s">
        <v>17</v>
      </c>
      <c r="F5175">
        <v>27.95</v>
      </c>
      <c r="G5175">
        <v>27.02</v>
      </c>
      <c r="H5175" t="s">
        <v>17</v>
      </c>
      <c r="I5175" t="str">
        <f>"062308011785"</f>
        <v>062308011785</v>
      </c>
    </row>
    <row r="5176" spans="1:9" x14ac:dyDescent="0.25">
      <c r="A5176" t="s">
        <v>4554</v>
      </c>
      <c r="B5176" t="s">
        <v>13</v>
      </c>
      <c r="C5176">
        <v>46.4</v>
      </c>
      <c r="D5176">
        <v>47</v>
      </c>
      <c r="E5176" t="s">
        <v>17</v>
      </c>
      <c r="F5176">
        <v>21.62</v>
      </c>
      <c r="G5176">
        <v>20.34</v>
      </c>
      <c r="H5176" t="s">
        <v>17</v>
      </c>
      <c r="I5176" t="str">
        <f>"063432005275"</f>
        <v>063432005275</v>
      </c>
    </row>
    <row r="5177" spans="1:9" x14ac:dyDescent="0.25">
      <c r="A5177" t="s">
        <v>4555</v>
      </c>
      <c r="B5177" t="s">
        <v>13</v>
      </c>
      <c r="C5177">
        <v>26</v>
      </c>
      <c r="D5177">
        <v>26</v>
      </c>
      <c r="E5177" t="s">
        <v>17</v>
      </c>
      <c r="F5177">
        <v>27.46</v>
      </c>
      <c r="G5177">
        <v>28.38</v>
      </c>
      <c r="H5177" t="s">
        <v>17</v>
      </c>
      <c r="I5177" t="str">
        <f>"063417005365"</f>
        <v>063417005365</v>
      </c>
    </row>
    <row r="5178" spans="1:9" x14ac:dyDescent="0.25">
      <c r="A5178" t="s">
        <v>4555</v>
      </c>
      <c r="B5178" t="s">
        <v>13</v>
      </c>
      <c r="C5178">
        <v>22</v>
      </c>
      <c r="D5178">
        <v>20.010000000000002</v>
      </c>
      <c r="E5178" t="s">
        <v>17</v>
      </c>
      <c r="F5178">
        <v>22.5</v>
      </c>
      <c r="G5178">
        <v>23.69</v>
      </c>
      <c r="H5178" t="s">
        <v>17</v>
      </c>
      <c r="I5178" t="str">
        <f>"062271003124"</f>
        <v>062271003124</v>
      </c>
    </row>
    <row r="5179" spans="1:9" x14ac:dyDescent="0.25">
      <c r="A5179" t="s">
        <v>4556</v>
      </c>
      <c r="B5179" t="s">
        <v>13</v>
      </c>
      <c r="C5179">
        <v>25.91</v>
      </c>
      <c r="D5179">
        <v>29.8</v>
      </c>
      <c r="E5179" t="s">
        <v>17</v>
      </c>
      <c r="F5179">
        <v>26.21</v>
      </c>
      <c r="G5179">
        <v>20.34</v>
      </c>
      <c r="H5179" t="s">
        <v>17</v>
      </c>
      <c r="I5179" t="str">
        <f>"062271010870"</f>
        <v>062271010870</v>
      </c>
    </row>
    <row r="5180" spans="1:9" x14ac:dyDescent="0.25">
      <c r="A5180" t="s">
        <v>4557</v>
      </c>
      <c r="B5180" t="s">
        <v>13</v>
      </c>
      <c r="C5180">
        <v>15.5</v>
      </c>
      <c r="D5180">
        <v>16</v>
      </c>
      <c r="E5180" t="s">
        <v>17</v>
      </c>
      <c r="F5180">
        <v>21.55</v>
      </c>
      <c r="G5180">
        <v>17.809999999999999</v>
      </c>
      <c r="H5180" t="s">
        <v>17</v>
      </c>
      <c r="I5180" t="str">
        <f>"062271012307"</f>
        <v>062271012307</v>
      </c>
    </row>
    <row r="5181" spans="1:9" x14ac:dyDescent="0.25">
      <c r="A5181" t="s">
        <v>4558</v>
      </c>
      <c r="B5181" t="s">
        <v>13</v>
      </c>
      <c r="C5181" t="s">
        <v>14</v>
      </c>
      <c r="D5181" t="s">
        <v>14</v>
      </c>
      <c r="E5181" t="s">
        <v>17</v>
      </c>
      <c r="F5181" t="s">
        <v>14</v>
      </c>
      <c r="G5181" t="s">
        <v>14</v>
      </c>
      <c r="H5181" t="s">
        <v>17</v>
      </c>
      <c r="I5181" t="str">
        <f>"060133205101"</f>
        <v>060133205101</v>
      </c>
    </row>
    <row r="5182" spans="1:9" x14ac:dyDescent="0.25">
      <c r="A5182" t="s">
        <v>4559</v>
      </c>
      <c r="B5182" t="s">
        <v>13</v>
      </c>
      <c r="C5182">
        <v>18.8</v>
      </c>
      <c r="D5182">
        <v>18.8</v>
      </c>
      <c r="E5182" t="s">
        <v>17</v>
      </c>
      <c r="F5182">
        <v>22.29</v>
      </c>
      <c r="G5182">
        <v>21.33</v>
      </c>
      <c r="H5182" t="s">
        <v>17</v>
      </c>
      <c r="I5182" t="str">
        <f>"061005001097"</f>
        <v>061005001097</v>
      </c>
    </row>
    <row r="5183" spans="1:9" x14ac:dyDescent="0.25">
      <c r="A5183" t="s">
        <v>4560</v>
      </c>
      <c r="B5183" t="s">
        <v>13</v>
      </c>
      <c r="C5183">
        <v>13</v>
      </c>
      <c r="D5183">
        <v>13.5</v>
      </c>
      <c r="E5183" t="s">
        <v>17</v>
      </c>
      <c r="F5183">
        <v>15.23</v>
      </c>
      <c r="G5183">
        <v>15.33</v>
      </c>
      <c r="H5183" t="s">
        <v>17</v>
      </c>
      <c r="I5183" t="str">
        <f>"062169002582"</f>
        <v>062169002582</v>
      </c>
    </row>
    <row r="5184" spans="1:9" x14ac:dyDescent="0.25">
      <c r="A5184" t="s">
        <v>4561</v>
      </c>
      <c r="B5184" t="s">
        <v>13</v>
      </c>
      <c r="C5184" t="s">
        <v>17</v>
      </c>
      <c r="D5184" t="s">
        <v>14</v>
      </c>
      <c r="E5184" t="s">
        <v>14</v>
      </c>
      <c r="F5184" t="s">
        <v>17</v>
      </c>
      <c r="G5184" t="s">
        <v>14</v>
      </c>
      <c r="H5184" t="s">
        <v>14</v>
      </c>
      <c r="I5184" t="str">
        <f>"063441013328"</f>
        <v>063441013328</v>
      </c>
    </row>
    <row r="5185" spans="1:9" x14ac:dyDescent="0.25">
      <c r="A5185" t="s">
        <v>4562</v>
      </c>
      <c r="B5185" t="s">
        <v>13</v>
      </c>
      <c r="C5185">
        <v>27.17</v>
      </c>
      <c r="D5185">
        <v>28</v>
      </c>
      <c r="E5185" t="s">
        <v>17</v>
      </c>
      <c r="F5185">
        <v>28.52</v>
      </c>
      <c r="G5185">
        <v>27.04</v>
      </c>
      <c r="H5185" t="s">
        <v>17</v>
      </c>
      <c r="I5185" t="str">
        <f>"061518001914"</f>
        <v>061518001914</v>
      </c>
    </row>
    <row r="5186" spans="1:9" x14ac:dyDescent="0.25">
      <c r="A5186" t="s">
        <v>4563</v>
      </c>
      <c r="B5186" t="s">
        <v>13</v>
      </c>
      <c r="C5186">
        <v>39</v>
      </c>
      <c r="D5186">
        <v>38</v>
      </c>
      <c r="E5186" t="s">
        <v>17</v>
      </c>
      <c r="F5186">
        <v>24.21</v>
      </c>
      <c r="G5186">
        <v>25.16</v>
      </c>
      <c r="H5186" t="s">
        <v>17</v>
      </c>
      <c r="I5186" t="str">
        <f>"063099011372"</f>
        <v>063099011372</v>
      </c>
    </row>
    <row r="5187" spans="1:9" x14ac:dyDescent="0.25">
      <c r="A5187" t="s">
        <v>4564</v>
      </c>
      <c r="B5187" t="s">
        <v>13</v>
      </c>
      <c r="C5187">
        <v>18.95</v>
      </c>
      <c r="D5187">
        <v>21.3</v>
      </c>
      <c r="E5187" t="s">
        <v>17</v>
      </c>
      <c r="F5187">
        <v>29.29</v>
      </c>
      <c r="G5187">
        <v>27.56</v>
      </c>
      <c r="H5187" t="s">
        <v>17</v>
      </c>
      <c r="I5187" t="str">
        <f>"060744007187"</f>
        <v>060744007187</v>
      </c>
    </row>
    <row r="5188" spans="1:9" x14ac:dyDescent="0.25">
      <c r="A5188" t="s">
        <v>4564</v>
      </c>
      <c r="B5188" t="s">
        <v>13</v>
      </c>
      <c r="C5188">
        <v>16.5</v>
      </c>
      <c r="D5188">
        <v>14.5</v>
      </c>
      <c r="E5188" t="s">
        <v>17</v>
      </c>
      <c r="F5188">
        <v>26.67</v>
      </c>
      <c r="G5188">
        <v>27.52</v>
      </c>
      <c r="H5188" t="s">
        <v>17</v>
      </c>
      <c r="I5188" t="str">
        <f>"063680006236"</f>
        <v>063680006236</v>
      </c>
    </row>
    <row r="5189" spans="1:9" x14ac:dyDescent="0.25">
      <c r="A5189" t="s">
        <v>4565</v>
      </c>
      <c r="B5189" t="s">
        <v>13</v>
      </c>
      <c r="C5189">
        <v>9.91</v>
      </c>
      <c r="D5189">
        <v>10.57</v>
      </c>
      <c r="E5189" t="s">
        <v>17</v>
      </c>
      <c r="F5189">
        <v>26.03</v>
      </c>
      <c r="G5189">
        <v>28.86</v>
      </c>
      <c r="H5189" t="s">
        <v>17</v>
      </c>
      <c r="I5189" t="str">
        <f>"061233007700"</f>
        <v>061233007700</v>
      </c>
    </row>
    <row r="5190" spans="1:9" x14ac:dyDescent="0.25">
      <c r="A5190" t="s">
        <v>4566</v>
      </c>
      <c r="B5190" t="s">
        <v>13</v>
      </c>
      <c r="C5190">
        <v>39.5</v>
      </c>
      <c r="D5190">
        <v>41.85</v>
      </c>
      <c r="E5190" t="s">
        <v>17</v>
      </c>
      <c r="F5190">
        <v>28.96</v>
      </c>
      <c r="G5190">
        <v>27.22</v>
      </c>
      <c r="H5190" t="s">
        <v>17</v>
      </c>
      <c r="I5190" t="str">
        <f>"060744008539"</f>
        <v>060744008539</v>
      </c>
    </row>
    <row r="5191" spans="1:9" x14ac:dyDescent="0.25">
      <c r="A5191" t="s">
        <v>4567</v>
      </c>
      <c r="B5191" t="s">
        <v>13</v>
      </c>
      <c r="C5191">
        <v>17</v>
      </c>
      <c r="D5191">
        <v>16</v>
      </c>
      <c r="E5191" t="s">
        <v>17</v>
      </c>
      <c r="F5191">
        <v>26.12</v>
      </c>
      <c r="G5191">
        <v>26.75</v>
      </c>
      <c r="H5191" t="s">
        <v>17</v>
      </c>
      <c r="I5191" t="str">
        <f>"062403003615"</f>
        <v>062403003615</v>
      </c>
    </row>
    <row r="5192" spans="1:9" x14ac:dyDescent="0.25">
      <c r="A5192" t="s">
        <v>4568</v>
      </c>
      <c r="B5192" t="s">
        <v>13</v>
      </c>
      <c r="C5192">
        <v>18.5</v>
      </c>
      <c r="D5192">
        <v>19.5</v>
      </c>
      <c r="E5192" t="s">
        <v>17</v>
      </c>
      <c r="F5192">
        <v>26.65</v>
      </c>
      <c r="G5192">
        <v>26.21</v>
      </c>
      <c r="H5192" t="s">
        <v>17</v>
      </c>
      <c r="I5192" t="str">
        <f>"062019002414"</f>
        <v>062019002414</v>
      </c>
    </row>
    <row r="5193" spans="1:9" x14ac:dyDescent="0.25">
      <c r="A5193" t="s">
        <v>4569</v>
      </c>
      <c r="B5193" t="s">
        <v>13</v>
      </c>
      <c r="C5193">
        <v>72.599999999999994</v>
      </c>
      <c r="D5193">
        <v>70.400000000000006</v>
      </c>
      <c r="E5193" t="s">
        <v>17</v>
      </c>
      <c r="F5193">
        <v>20.96</v>
      </c>
      <c r="G5193">
        <v>21.05</v>
      </c>
      <c r="H5193" t="s">
        <v>17</v>
      </c>
      <c r="I5193" t="str">
        <f>"060165000035"</f>
        <v>060165000035</v>
      </c>
    </row>
    <row r="5194" spans="1:9" x14ac:dyDescent="0.25">
      <c r="A5194" t="s">
        <v>4570</v>
      </c>
      <c r="B5194" t="s">
        <v>13</v>
      </c>
      <c r="C5194">
        <v>31</v>
      </c>
      <c r="D5194">
        <v>33</v>
      </c>
      <c r="E5194" t="s">
        <v>17</v>
      </c>
      <c r="F5194">
        <v>21.74</v>
      </c>
      <c r="G5194">
        <v>20.45</v>
      </c>
      <c r="H5194" t="s">
        <v>17</v>
      </c>
      <c r="I5194" t="str">
        <f>"062238002675"</f>
        <v>062238002675</v>
      </c>
    </row>
    <row r="5195" spans="1:9" x14ac:dyDescent="0.25">
      <c r="A5195" t="s">
        <v>4571</v>
      </c>
      <c r="B5195" t="s">
        <v>13</v>
      </c>
      <c r="C5195">
        <v>32</v>
      </c>
      <c r="D5195">
        <v>31</v>
      </c>
      <c r="E5195" t="s">
        <v>17</v>
      </c>
      <c r="F5195">
        <v>22.28</v>
      </c>
      <c r="G5195">
        <v>23.61</v>
      </c>
      <c r="H5195" t="s">
        <v>17</v>
      </c>
      <c r="I5195" t="str">
        <f>"062667004046"</f>
        <v>062667004046</v>
      </c>
    </row>
    <row r="5196" spans="1:9" x14ac:dyDescent="0.25">
      <c r="A5196" t="s">
        <v>4572</v>
      </c>
      <c r="B5196" t="s">
        <v>13</v>
      </c>
      <c r="C5196">
        <v>29.43</v>
      </c>
      <c r="D5196">
        <v>31.85</v>
      </c>
      <c r="E5196" t="s">
        <v>17</v>
      </c>
      <c r="F5196">
        <v>26.13</v>
      </c>
      <c r="G5196">
        <v>23.61</v>
      </c>
      <c r="H5196" t="s">
        <v>17</v>
      </c>
      <c r="I5196" t="str">
        <f>"060744000693"</f>
        <v>060744000693</v>
      </c>
    </row>
    <row r="5197" spans="1:9" x14ac:dyDescent="0.25">
      <c r="A5197" t="s">
        <v>4572</v>
      </c>
      <c r="B5197" t="s">
        <v>13</v>
      </c>
      <c r="C5197">
        <v>20</v>
      </c>
      <c r="D5197">
        <v>22</v>
      </c>
      <c r="E5197" t="s">
        <v>17</v>
      </c>
      <c r="F5197">
        <v>27.6</v>
      </c>
      <c r="G5197">
        <v>26.95</v>
      </c>
      <c r="H5197" t="s">
        <v>17</v>
      </c>
      <c r="I5197" t="str">
        <f>"063003004701"</f>
        <v>063003004701</v>
      </c>
    </row>
    <row r="5198" spans="1:9" x14ac:dyDescent="0.25">
      <c r="A5198" t="s">
        <v>4573</v>
      </c>
      <c r="B5198" t="s">
        <v>13</v>
      </c>
      <c r="C5198">
        <v>39.21</v>
      </c>
      <c r="D5198">
        <v>40.299999999999997</v>
      </c>
      <c r="E5198" t="s">
        <v>17</v>
      </c>
      <c r="F5198">
        <v>26.01</v>
      </c>
      <c r="G5198">
        <v>26.03</v>
      </c>
      <c r="H5198" t="s">
        <v>17</v>
      </c>
      <c r="I5198" t="str">
        <f>"061005001098"</f>
        <v>061005001098</v>
      </c>
    </row>
    <row r="5199" spans="1:9" x14ac:dyDescent="0.25">
      <c r="A5199" t="s">
        <v>4574</v>
      </c>
      <c r="B5199" t="s">
        <v>13</v>
      </c>
      <c r="C5199">
        <v>28</v>
      </c>
      <c r="D5199">
        <v>29.15</v>
      </c>
      <c r="E5199" t="s">
        <v>17</v>
      </c>
      <c r="F5199">
        <v>24.5</v>
      </c>
      <c r="G5199">
        <v>24.8</v>
      </c>
      <c r="H5199" t="s">
        <v>17</v>
      </c>
      <c r="I5199" t="str">
        <f>"060907011176"</f>
        <v>060907011176</v>
      </c>
    </row>
    <row r="5200" spans="1:9" x14ac:dyDescent="0.25">
      <c r="A5200" t="s">
        <v>4575</v>
      </c>
      <c r="B5200" t="s">
        <v>13</v>
      </c>
      <c r="C5200">
        <v>48.65</v>
      </c>
      <c r="D5200">
        <v>52.1</v>
      </c>
      <c r="E5200" t="s">
        <v>17</v>
      </c>
      <c r="F5200">
        <v>24.19</v>
      </c>
      <c r="G5200">
        <v>24.24</v>
      </c>
      <c r="H5200" t="s">
        <v>17</v>
      </c>
      <c r="I5200" t="str">
        <f>"062913004495"</f>
        <v>062913004495</v>
      </c>
    </row>
    <row r="5201" spans="1:9" x14ac:dyDescent="0.25">
      <c r="A5201" t="s">
        <v>4576</v>
      </c>
      <c r="B5201" t="s">
        <v>13</v>
      </c>
      <c r="C5201">
        <v>22.02</v>
      </c>
      <c r="D5201">
        <v>21.17</v>
      </c>
      <c r="E5201" t="s">
        <v>17</v>
      </c>
      <c r="F5201">
        <v>22.66</v>
      </c>
      <c r="G5201">
        <v>21.73</v>
      </c>
      <c r="H5201" t="s">
        <v>17</v>
      </c>
      <c r="I5201" t="str">
        <f>"063099004800"</f>
        <v>063099004800</v>
      </c>
    </row>
    <row r="5202" spans="1:9" x14ac:dyDescent="0.25">
      <c r="A5202" t="s">
        <v>4577</v>
      </c>
      <c r="B5202" t="s">
        <v>13</v>
      </c>
      <c r="C5202">
        <v>22.5</v>
      </c>
      <c r="D5202">
        <v>22.5</v>
      </c>
      <c r="E5202" t="s">
        <v>17</v>
      </c>
      <c r="F5202">
        <v>25.73</v>
      </c>
      <c r="G5202">
        <v>25.6</v>
      </c>
      <c r="H5202" t="s">
        <v>17</v>
      </c>
      <c r="I5202" t="str">
        <f>"062019002415"</f>
        <v>062019002415</v>
      </c>
    </row>
    <row r="5203" spans="1:9" x14ac:dyDescent="0.25">
      <c r="A5203" t="s">
        <v>4578</v>
      </c>
      <c r="B5203" t="s">
        <v>13</v>
      </c>
      <c r="C5203" t="s">
        <v>17</v>
      </c>
      <c r="D5203" t="s">
        <v>14</v>
      </c>
      <c r="E5203" t="s">
        <v>14</v>
      </c>
      <c r="F5203" t="s">
        <v>17</v>
      </c>
      <c r="G5203" t="s">
        <v>14</v>
      </c>
      <c r="H5203" t="s">
        <v>14</v>
      </c>
      <c r="I5203" t="str">
        <f>"062265013549"</f>
        <v>062265013549</v>
      </c>
    </row>
    <row r="5204" spans="1:9" x14ac:dyDescent="0.25">
      <c r="A5204" t="s">
        <v>4579</v>
      </c>
      <c r="B5204" t="s">
        <v>13</v>
      </c>
      <c r="C5204" t="s">
        <v>17</v>
      </c>
      <c r="D5204" t="s">
        <v>14</v>
      </c>
      <c r="E5204" t="s">
        <v>14</v>
      </c>
      <c r="F5204" t="s">
        <v>17</v>
      </c>
      <c r="G5204" t="s">
        <v>14</v>
      </c>
      <c r="H5204" t="s">
        <v>14</v>
      </c>
      <c r="I5204" t="str">
        <f>"062271013261"</f>
        <v>062271013261</v>
      </c>
    </row>
    <row r="5205" spans="1:9" x14ac:dyDescent="0.25">
      <c r="A5205" t="s">
        <v>4580</v>
      </c>
      <c r="B5205" t="s">
        <v>13</v>
      </c>
      <c r="C5205">
        <v>30.1</v>
      </c>
      <c r="D5205">
        <v>31.2</v>
      </c>
      <c r="E5205" t="s">
        <v>17</v>
      </c>
      <c r="F5205">
        <v>21.86</v>
      </c>
      <c r="G5205">
        <v>22.28</v>
      </c>
      <c r="H5205" t="s">
        <v>17</v>
      </c>
      <c r="I5205" t="str">
        <f>"061632502051"</f>
        <v>061632502051</v>
      </c>
    </row>
    <row r="5206" spans="1:9" x14ac:dyDescent="0.25">
      <c r="A5206" t="s">
        <v>4581</v>
      </c>
      <c r="B5206" t="s">
        <v>13</v>
      </c>
      <c r="C5206">
        <v>30</v>
      </c>
      <c r="D5206">
        <v>32</v>
      </c>
      <c r="E5206" t="s">
        <v>17</v>
      </c>
      <c r="F5206">
        <v>28.03</v>
      </c>
      <c r="G5206">
        <v>28.84</v>
      </c>
      <c r="H5206" t="s">
        <v>17</v>
      </c>
      <c r="I5206" t="str">
        <f>"069113511048"</f>
        <v>069113511048</v>
      </c>
    </row>
    <row r="5207" spans="1:9" x14ac:dyDescent="0.25">
      <c r="A5207" t="s">
        <v>4582</v>
      </c>
      <c r="B5207" t="s">
        <v>13</v>
      </c>
      <c r="C5207" t="s">
        <v>14</v>
      </c>
      <c r="D5207">
        <v>1.17</v>
      </c>
      <c r="E5207" t="s">
        <v>17</v>
      </c>
      <c r="F5207" t="s">
        <v>17</v>
      </c>
      <c r="G5207">
        <v>7.69</v>
      </c>
      <c r="H5207" t="s">
        <v>17</v>
      </c>
      <c r="I5207" t="str">
        <f>"062106007104"</f>
        <v>062106007104</v>
      </c>
    </row>
    <row r="5208" spans="1:9" x14ac:dyDescent="0.25">
      <c r="A5208" t="s">
        <v>4583</v>
      </c>
      <c r="B5208" t="s">
        <v>13</v>
      </c>
      <c r="C5208">
        <v>1</v>
      </c>
      <c r="D5208">
        <v>1</v>
      </c>
      <c r="E5208" t="s">
        <v>17</v>
      </c>
      <c r="F5208">
        <v>7</v>
      </c>
      <c r="G5208">
        <v>9</v>
      </c>
      <c r="H5208" t="s">
        <v>17</v>
      </c>
      <c r="I5208" t="str">
        <f>"069101510229"</f>
        <v>069101510229</v>
      </c>
    </row>
    <row r="5209" spans="1:9" x14ac:dyDescent="0.25">
      <c r="A5209" t="s">
        <v>4584</v>
      </c>
      <c r="B5209" t="s">
        <v>13</v>
      </c>
      <c r="C5209">
        <v>10</v>
      </c>
      <c r="D5209">
        <v>10</v>
      </c>
      <c r="E5209" t="s">
        <v>17</v>
      </c>
      <c r="F5209">
        <v>1</v>
      </c>
      <c r="G5209">
        <v>1</v>
      </c>
      <c r="H5209" t="s">
        <v>17</v>
      </c>
      <c r="I5209" t="str">
        <f>"069101502050"</f>
        <v>069101502050</v>
      </c>
    </row>
    <row r="5210" spans="1:9" x14ac:dyDescent="0.25">
      <c r="A5210" t="s">
        <v>4585</v>
      </c>
      <c r="B5210" t="s">
        <v>13</v>
      </c>
      <c r="C5210">
        <v>21</v>
      </c>
      <c r="D5210">
        <v>20</v>
      </c>
      <c r="E5210" t="s">
        <v>17</v>
      </c>
      <c r="F5210">
        <v>1.1399999999999999</v>
      </c>
      <c r="G5210">
        <v>1.25</v>
      </c>
      <c r="H5210" t="s">
        <v>17</v>
      </c>
      <c r="I5210" t="str">
        <f>"069101507124"</f>
        <v>069101507124</v>
      </c>
    </row>
    <row r="5211" spans="1:9" x14ac:dyDescent="0.25">
      <c r="A5211" t="s">
        <v>4586</v>
      </c>
      <c r="B5211" t="s">
        <v>13</v>
      </c>
      <c r="C5211">
        <v>25</v>
      </c>
      <c r="D5211">
        <v>25</v>
      </c>
      <c r="E5211" t="s">
        <v>17</v>
      </c>
      <c r="F5211">
        <v>21</v>
      </c>
      <c r="G5211">
        <v>22</v>
      </c>
      <c r="H5211" t="s">
        <v>17</v>
      </c>
      <c r="I5211" t="str">
        <f>"062271003125"</f>
        <v>062271003125</v>
      </c>
    </row>
    <row r="5212" spans="1:9" x14ac:dyDescent="0.25">
      <c r="A5212" t="s">
        <v>4587</v>
      </c>
      <c r="B5212" t="s">
        <v>13</v>
      </c>
      <c r="C5212">
        <v>35.51</v>
      </c>
      <c r="D5212">
        <v>36.26</v>
      </c>
      <c r="E5212" t="s">
        <v>17</v>
      </c>
      <c r="F5212">
        <v>25.29</v>
      </c>
      <c r="G5212">
        <v>24.13</v>
      </c>
      <c r="H5212" t="s">
        <v>17</v>
      </c>
      <c r="I5212" t="str">
        <f>"062106002532"</f>
        <v>062106002532</v>
      </c>
    </row>
    <row r="5213" spans="1:9" x14ac:dyDescent="0.25">
      <c r="A5213" t="s">
        <v>4588</v>
      </c>
      <c r="B5213" t="s">
        <v>13</v>
      </c>
      <c r="C5213" t="s">
        <v>17</v>
      </c>
      <c r="D5213" t="s">
        <v>17</v>
      </c>
      <c r="E5213" t="s">
        <v>17</v>
      </c>
      <c r="F5213" t="s">
        <v>17</v>
      </c>
      <c r="G5213" t="s">
        <v>17</v>
      </c>
      <c r="H5213" t="s">
        <v>17</v>
      </c>
      <c r="I5213" t="str">
        <f>"060007910822"</f>
        <v>060007910822</v>
      </c>
    </row>
    <row r="5214" spans="1:9" x14ac:dyDescent="0.25">
      <c r="A5214" t="s">
        <v>4589</v>
      </c>
      <c r="B5214" t="s">
        <v>13</v>
      </c>
      <c r="C5214">
        <v>1</v>
      </c>
      <c r="D5214">
        <v>1</v>
      </c>
      <c r="E5214" t="s">
        <v>17</v>
      </c>
      <c r="F5214">
        <v>4</v>
      </c>
      <c r="G5214">
        <v>7</v>
      </c>
      <c r="H5214" t="s">
        <v>17</v>
      </c>
      <c r="I5214" t="str">
        <f>"062109008415"</f>
        <v>062109008415</v>
      </c>
    </row>
    <row r="5215" spans="1:9" x14ac:dyDescent="0.25">
      <c r="A5215" t="s">
        <v>4590</v>
      </c>
      <c r="B5215" t="s">
        <v>13</v>
      </c>
      <c r="C5215">
        <v>13</v>
      </c>
      <c r="D5215">
        <v>14.2</v>
      </c>
      <c r="E5215" t="s">
        <v>17</v>
      </c>
      <c r="F5215">
        <v>23.38</v>
      </c>
      <c r="G5215">
        <v>23.03</v>
      </c>
      <c r="H5215" t="s">
        <v>17</v>
      </c>
      <c r="I5215" t="str">
        <f>"062109002533"</f>
        <v>062109002533</v>
      </c>
    </row>
    <row r="5216" spans="1:9" x14ac:dyDescent="0.25">
      <c r="A5216" t="s">
        <v>4590</v>
      </c>
      <c r="B5216" t="s">
        <v>13</v>
      </c>
      <c r="C5216">
        <v>16.100000000000001</v>
      </c>
      <c r="D5216">
        <v>17</v>
      </c>
      <c r="E5216" t="s">
        <v>17</v>
      </c>
      <c r="F5216">
        <v>28.01</v>
      </c>
      <c r="G5216">
        <v>24.47</v>
      </c>
      <c r="H5216" t="s">
        <v>17</v>
      </c>
      <c r="I5216" t="str">
        <f>"061281001440"</f>
        <v>061281001440</v>
      </c>
    </row>
    <row r="5217" spans="1:9" x14ac:dyDescent="0.25">
      <c r="A5217" t="s">
        <v>4591</v>
      </c>
      <c r="B5217" t="s">
        <v>13</v>
      </c>
      <c r="C5217">
        <v>35.6</v>
      </c>
      <c r="D5217">
        <v>37.1</v>
      </c>
      <c r="E5217" t="s">
        <v>17</v>
      </c>
      <c r="F5217">
        <v>27.28</v>
      </c>
      <c r="G5217">
        <v>26.25</v>
      </c>
      <c r="H5217" t="s">
        <v>17</v>
      </c>
      <c r="I5217" t="str">
        <f>"062361003580"</f>
        <v>062361003580</v>
      </c>
    </row>
    <row r="5218" spans="1:9" x14ac:dyDescent="0.25">
      <c r="A5218" t="s">
        <v>4592</v>
      </c>
      <c r="B5218" t="s">
        <v>13</v>
      </c>
      <c r="C5218">
        <v>49.59</v>
      </c>
      <c r="D5218">
        <v>46.54</v>
      </c>
      <c r="E5218" t="s">
        <v>17</v>
      </c>
      <c r="F5218">
        <v>22.54</v>
      </c>
      <c r="G5218">
        <v>24.43</v>
      </c>
      <c r="H5218" t="s">
        <v>17</v>
      </c>
      <c r="I5218" t="str">
        <f>"062361012065"</f>
        <v>062361012065</v>
      </c>
    </row>
    <row r="5219" spans="1:9" x14ac:dyDescent="0.25">
      <c r="A5219" t="s">
        <v>4593</v>
      </c>
      <c r="B5219" t="s">
        <v>13</v>
      </c>
      <c r="C5219">
        <v>22</v>
      </c>
      <c r="D5219">
        <v>22.5</v>
      </c>
      <c r="E5219" t="s">
        <v>17</v>
      </c>
      <c r="F5219">
        <v>16.59</v>
      </c>
      <c r="G5219">
        <v>17.600000000000001</v>
      </c>
      <c r="H5219" t="s">
        <v>17</v>
      </c>
      <c r="I5219" t="str">
        <f>"061182010402"</f>
        <v>061182010402</v>
      </c>
    </row>
    <row r="5220" spans="1:9" x14ac:dyDescent="0.25">
      <c r="A5220" t="s">
        <v>4594</v>
      </c>
      <c r="B5220" t="s">
        <v>13</v>
      </c>
      <c r="C5220" t="s">
        <v>14</v>
      </c>
      <c r="D5220" t="s">
        <v>14</v>
      </c>
      <c r="E5220" t="s">
        <v>17</v>
      </c>
      <c r="F5220" t="s">
        <v>14</v>
      </c>
      <c r="G5220" t="s">
        <v>14</v>
      </c>
      <c r="H5220" t="s">
        <v>17</v>
      </c>
      <c r="I5220" t="str">
        <f>"062115011589"</f>
        <v>062115011589</v>
      </c>
    </row>
    <row r="5221" spans="1:9" x14ac:dyDescent="0.25">
      <c r="A5221" t="s">
        <v>4595</v>
      </c>
      <c r="B5221" t="s">
        <v>13</v>
      </c>
      <c r="C5221">
        <v>17</v>
      </c>
      <c r="D5221">
        <v>17</v>
      </c>
      <c r="E5221" t="s">
        <v>17</v>
      </c>
      <c r="F5221">
        <v>21.12</v>
      </c>
      <c r="G5221">
        <v>20.18</v>
      </c>
      <c r="H5221" t="s">
        <v>17</v>
      </c>
      <c r="I5221" t="str">
        <f>"062115002536"</f>
        <v>062115002536</v>
      </c>
    </row>
    <row r="5222" spans="1:9" x14ac:dyDescent="0.25">
      <c r="A5222" t="s">
        <v>4596</v>
      </c>
      <c r="B5222" t="s">
        <v>13</v>
      </c>
      <c r="C5222">
        <v>13.88</v>
      </c>
      <c r="D5222">
        <v>13.95</v>
      </c>
      <c r="E5222" t="s">
        <v>17</v>
      </c>
      <c r="F5222">
        <v>13.69</v>
      </c>
      <c r="G5222">
        <v>14.84</v>
      </c>
      <c r="H5222" t="s">
        <v>17</v>
      </c>
      <c r="I5222" t="str">
        <f>"062115002537"</f>
        <v>062115002537</v>
      </c>
    </row>
    <row r="5223" spans="1:9" x14ac:dyDescent="0.25">
      <c r="A5223" t="s">
        <v>4597</v>
      </c>
      <c r="B5223" t="s">
        <v>13</v>
      </c>
      <c r="C5223">
        <v>11</v>
      </c>
      <c r="D5223">
        <v>13</v>
      </c>
      <c r="E5223" t="s">
        <v>17</v>
      </c>
      <c r="F5223">
        <v>23.45</v>
      </c>
      <c r="G5223">
        <v>23.08</v>
      </c>
      <c r="H5223" t="s">
        <v>17</v>
      </c>
      <c r="I5223" t="str">
        <f>"062271003126"</f>
        <v>062271003126</v>
      </c>
    </row>
    <row r="5224" spans="1:9" x14ac:dyDescent="0.25">
      <c r="A5224" t="s">
        <v>4598</v>
      </c>
      <c r="B5224" t="s">
        <v>13</v>
      </c>
      <c r="C5224">
        <v>3</v>
      </c>
      <c r="D5224">
        <v>5</v>
      </c>
      <c r="E5224" t="s">
        <v>17</v>
      </c>
      <c r="F5224">
        <v>16.670000000000002</v>
      </c>
      <c r="G5224">
        <v>15.4</v>
      </c>
      <c r="H5224" t="s">
        <v>17</v>
      </c>
      <c r="I5224" t="str">
        <f>"062118002538"</f>
        <v>062118002538</v>
      </c>
    </row>
    <row r="5225" spans="1:9" x14ac:dyDescent="0.25">
      <c r="A5225" t="s">
        <v>4599</v>
      </c>
      <c r="B5225" t="s">
        <v>13</v>
      </c>
      <c r="C5225">
        <v>30</v>
      </c>
      <c r="D5225">
        <v>29</v>
      </c>
      <c r="E5225" t="s">
        <v>17</v>
      </c>
      <c r="F5225">
        <v>21.67</v>
      </c>
      <c r="G5225">
        <v>22.97</v>
      </c>
      <c r="H5225" t="s">
        <v>17</v>
      </c>
      <c r="I5225" t="str">
        <f>"063441005599"</f>
        <v>063441005599</v>
      </c>
    </row>
    <row r="5226" spans="1:9" x14ac:dyDescent="0.25">
      <c r="A5226" t="s">
        <v>4600</v>
      </c>
      <c r="B5226" t="s">
        <v>13</v>
      </c>
      <c r="C5226">
        <v>44</v>
      </c>
      <c r="D5226">
        <v>43</v>
      </c>
      <c r="E5226" t="s">
        <v>17</v>
      </c>
      <c r="F5226">
        <v>18.52</v>
      </c>
      <c r="G5226">
        <v>19</v>
      </c>
      <c r="H5226" t="s">
        <v>17</v>
      </c>
      <c r="I5226" t="str">
        <f>"060861000865"</f>
        <v>060861000865</v>
      </c>
    </row>
    <row r="5227" spans="1:9" x14ac:dyDescent="0.25">
      <c r="A5227" t="s">
        <v>4601</v>
      </c>
      <c r="B5227" t="s">
        <v>13</v>
      </c>
      <c r="C5227">
        <v>1</v>
      </c>
      <c r="D5227">
        <v>2</v>
      </c>
      <c r="E5227" t="s">
        <v>17</v>
      </c>
      <c r="F5227">
        <v>8</v>
      </c>
      <c r="G5227">
        <v>11</v>
      </c>
      <c r="H5227" t="s">
        <v>17</v>
      </c>
      <c r="I5227" t="str">
        <f>"069102312369"</f>
        <v>069102312369</v>
      </c>
    </row>
    <row r="5228" spans="1:9" x14ac:dyDescent="0.25">
      <c r="A5228" t="s">
        <v>4602</v>
      </c>
      <c r="B5228" t="s">
        <v>13</v>
      </c>
      <c r="C5228" t="s">
        <v>17</v>
      </c>
      <c r="D5228" t="s">
        <v>14</v>
      </c>
      <c r="E5228" t="s">
        <v>14</v>
      </c>
      <c r="F5228" t="s">
        <v>17</v>
      </c>
      <c r="G5228" t="s">
        <v>14</v>
      </c>
      <c r="H5228" t="s">
        <v>14</v>
      </c>
      <c r="I5228" t="str">
        <f>"063942013629"</f>
        <v>063942013629</v>
      </c>
    </row>
    <row r="5229" spans="1:9" x14ac:dyDescent="0.25">
      <c r="A5229" t="s">
        <v>4603</v>
      </c>
      <c r="B5229" t="s">
        <v>13</v>
      </c>
      <c r="C5229">
        <v>28</v>
      </c>
      <c r="D5229">
        <v>28</v>
      </c>
      <c r="E5229" t="s">
        <v>17</v>
      </c>
      <c r="F5229">
        <v>29.07</v>
      </c>
      <c r="G5229">
        <v>30.29</v>
      </c>
      <c r="H5229" t="s">
        <v>17</v>
      </c>
      <c r="I5229" t="str">
        <f>"061336002835"</f>
        <v>061336002835</v>
      </c>
    </row>
    <row r="5230" spans="1:9" x14ac:dyDescent="0.25">
      <c r="A5230" t="s">
        <v>4604</v>
      </c>
      <c r="B5230" t="s">
        <v>13</v>
      </c>
      <c r="C5230">
        <v>9</v>
      </c>
      <c r="D5230">
        <v>9</v>
      </c>
      <c r="E5230" t="s">
        <v>17</v>
      </c>
      <c r="F5230">
        <v>22.89</v>
      </c>
      <c r="G5230">
        <v>23</v>
      </c>
      <c r="H5230" t="s">
        <v>17</v>
      </c>
      <c r="I5230" t="str">
        <f>"063509006037"</f>
        <v>063509006037</v>
      </c>
    </row>
    <row r="5231" spans="1:9" x14ac:dyDescent="0.25">
      <c r="A5231" t="s">
        <v>4605</v>
      </c>
      <c r="B5231" t="s">
        <v>13</v>
      </c>
      <c r="C5231">
        <v>24.5</v>
      </c>
      <c r="D5231">
        <v>27.4</v>
      </c>
      <c r="E5231" t="s">
        <v>17</v>
      </c>
      <c r="F5231">
        <v>26.82</v>
      </c>
      <c r="G5231">
        <v>24.89</v>
      </c>
      <c r="H5231" t="s">
        <v>17</v>
      </c>
      <c r="I5231" t="str">
        <f>"062808000186"</f>
        <v>062808000186</v>
      </c>
    </row>
    <row r="5232" spans="1:9" x14ac:dyDescent="0.25">
      <c r="A5232" t="s">
        <v>4605</v>
      </c>
      <c r="B5232" t="s">
        <v>13</v>
      </c>
      <c r="C5232">
        <v>24</v>
      </c>
      <c r="D5232">
        <v>21</v>
      </c>
      <c r="E5232" t="s">
        <v>17</v>
      </c>
      <c r="F5232">
        <v>21.71</v>
      </c>
      <c r="G5232">
        <v>22.76</v>
      </c>
      <c r="H5232" t="s">
        <v>17</v>
      </c>
      <c r="I5232" t="str">
        <f>"063492005911"</f>
        <v>063492005911</v>
      </c>
    </row>
    <row r="5233" spans="1:9" x14ac:dyDescent="0.25">
      <c r="A5233" t="s">
        <v>4605</v>
      </c>
      <c r="B5233" t="s">
        <v>13</v>
      </c>
      <c r="C5233">
        <v>26.67</v>
      </c>
      <c r="D5233">
        <v>25.5</v>
      </c>
      <c r="E5233" t="s">
        <v>17</v>
      </c>
      <c r="F5233">
        <v>18.34</v>
      </c>
      <c r="G5233">
        <v>18.309999999999999</v>
      </c>
      <c r="H5233" t="s">
        <v>17</v>
      </c>
      <c r="I5233" t="str">
        <f>"062457003684"</f>
        <v>062457003684</v>
      </c>
    </row>
    <row r="5234" spans="1:9" x14ac:dyDescent="0.25">
      <c r="A5234" t="s">
        <v>4605</v>
      </c>
      <c r="B5234" t="s">
        <v>13</v>
      </c>
      <c r="C5234">
        <v>21.21</v>
      </c>
      <c r="D5234">
        <v>25.05</v>
      </c>
      <c r="E5234" t="s">
        <v>17</v>
      </c>
      <c r="F5234">
        <v>25.22</v>
      </c>
      <c r="G5234">
        <v>20.76</v>
      </c>
      <c r="H5234" t="s">
        <v>17</v>
      </c>
      <c r="I5234" t="str">
        <f>"062825004362"</f>
        <v>062825004362</v>
      </c>
    </row>
    <row r="5235" spans="1:9" x14ac:dyDescent="0.25">
      <c r="A5235" t="s">
        <v>4605</v>
      </c>
      <c r="B5235" t="s">
        <v>13</v>
      </c>
      <c r="C5235">
        <v>22</v>
      </c>
      <c r="D5235">
        <v>22</v>
      </c>
      <c r="E5235" t="s">
        <v>17</v>
      </c>
      <c r="F5235">
        <v>24.23</v>
      </c>
      <c r="G5235">
        <v>23.32</v>
      </c>
      <c r="H5235" t="s">
        <v>17</v>
      </c>
      <c r="I5235" t="str">
        <f>"062805004287"</f>
        <v>062805004287</v>
      </c>
    </row>
    <row r="5236" spans="1:9" x14ac:dyDescent="0.25">
      <c r="A5236" t="s">
        <v>4605</v>
      </c>
      <c r="B5236" t="s">
        <v>13</v>
      </c>
      <c r="C5236">
        <v>23</v>
      </c>
      <c r="D5236">
        <v>18.510000000000002</v>
      </c>
      <c r="E5236" t="s">
        <v>17</v>
      </c>
      <c r="F5236">
        <v>18.350000000000001</v>
      </c>
      <c r="G5236">
        <v>21.61</v>
      </c>
      <c r="H5236" t="s">
        <v>17</v>
      </c>
      <c r="I5236" t="str">
        <f>"062271003127"</f>
        <v>062271003127</v>
      </c>
    </row>
    <row r="5237" spans="1:9" x14ac:dyDescent="0.25">
      <c r="A5237" t="s">
        <v>4605</v>
      </c>
      <c r="B5237" t="s">
        <v>13</v>
      </c>
      <c r="C5237">
        <v>13</v>
      </c>
      <c r="D5237">
        <v>14</v>
      </c>
      <c r="E5237" t="s">
        <v>17</v>
      </c>
      <c r="F5237">
        <v>27.38</v>
      </c>
      <c r="G5237">
        <v>26.57</v>
      </c>
      <c r="H5237" t="s">
        <v>17</v>
      </c>
      <c r="I5237" t="str">
        <f>"060588000530"</f>
        <v>060588000530</v>
      </c>
    </row>
    <row r="5238" spans="1:9" x14ac:dyDescent="0.25">
      <c r="A5238" t="s">
        <v>4605</v>
      </c>
      <c r="B5238" t="s">
        <v>13</v>
      </c>
      <c r="C5238">
        <v>31.07</v>
      </c>
      <c r="D5238">
        <v>33.1</v>
      </c>
      <c r="E5238" t="s">
        <v>17</v>
      </c>
      <c r="F5238">
        <v>24.33</v>
      </c>
      <c r="G5238">
        <v>23.63</v>
      </c>
      <c r="H5238" t="s">
        <v>17</v>
      </c>
      <c r="I5238" t="str">
        <f>"061185001317"</f>
        <v>061185001317</v>
      </c>
    </row>
    <row r="5239" spans="1:9" x14ac:dyDescent="0.25">
      <c r="A5239" t="s">
        <v>4606</v>
      </c>
      <c r="B5239" t="s">
        <v>13</v>
      </c>
      <c r="C5239">
        <v>5.01</v>
      </c>
      <c r="D5239">
        <v>6.2</v>
      </c>
      <c r="E5239" t="s">
        <v>17</v>
      </c>
      <c r="F5239">
        <v>12.18</v>
      </c>
      <c r="G5239">
        <v>14.35</v>
      </c>
      <c r="H5239" t="s">
        <v>17</v>
      </c>
      <c r="I5239" t="str">
        <f>"062259007748"</f>
        <v>062259007748</v>
      </c>
    </row>
    <row r="5240" spans="1:9" x14ac:dyDescent="0.25">
      <c r="A5240" t="s">
        <v>4607</v>
      </c>
      <c r="B5240" t="s">
        <v>13</v>
      </c>
      <c r="C5240">
        <v>9.5</v>
      </c>
      <c r="D5240">
        <v>10.4</v>
      </c>
      <c r="E5240" t="s">
        <v>17</v>
      </c>
      <c r="F5240">
        <v>11.05</v>
      </c>
      <c r="G5240">
        <v>10.19</v>
      </c>
      <c r="H5240" t="s">
        <v>17</v>
      </c>
      <c r="I5240" t="str">
        <f>"063462007853"</f>
        <v>063462007853</v>
      </c>
    </row>
    <row r="5241" spans="1:9" x14ac:dyDescent="0.25">
      <c r="A5241" t="s">
        <v>4608</v>
      </c>
      <c r="B5241" t="s">
        <v>13</v>
      </c>
      <c r="C5241">
        <v>18</v>
      </c>
      <c r="D5241">
        <v>17</v>
      </c>
      <c r="E5241" t="s">
        <v>17</v>
      </c>
      <c r="F5241">
        <v>29.61</v>
      </c>
      <c r="G5241">
        <v>29.24</v>
      </c>
      <c r="H5241" t="s">
        <v>17</v>
      </c>
      <c r="I5241" t="str">
        <f>"060962000987"</f>
        <v>060962000987</v>
      </c>
    </row>
    <row r="5242" spans="1:9" x14ac:dyDescent="0.25">
      <c r="A5242" t="s">
        <v>4609</v>
      </c>
      <c r="B5242" t="s">
        <v>13</v>
      </c>
      <c r="C5242">
        <v>6</v>
      </c>
      <c r="D5242">
        <v>7</v>
      </c>
      <c r="E5242" t="s">
        <v>14</v>
      </c>
      <c r="F5242">
        <v>18.329999999999998</v>
      </c>
      <c r="G5242">
        <v>15.14</v>
      </c>
      <c r="H5242" t="s">
        <v>14</v>
      </c>
      <c r="I5242" t="str">
        <f>"060303012960"</f>
        <v>060303012960</v>
      </c>
    </row>
    <row r="5243" spans="1:9" x14ac:dyDescent="0.25">
      <c r="A5243" t="s">
        <v>4610</v>
      </c>
      <c r="B5243" t="s">
        <v>13</v>
      </c>
      <c r="C5243">
        <v>19</v>
      </c>
      <c r="D5243">
        <v>20</v>
      </c>
      <c r="E5243" t="s">
        <v>17</v>
      </c>
      <c r="F5243">
        <v>28.63</v>
      </c>
      <c r="G5243">
        <v>27.45</v>
      </c>
      <c r="H5243" t="s">
        <v>17</v>
      </c>
      <c r="I5243" t="str">
        <f>"063393010045"</f>
        <v>063393010045</v>
      </c>
    </row>
    <row r="5244" spans="1:9" x14ac:dyDescent="0.25">
      <c r="A5244" t="s">
        <v>4611</v>
      </c>
      <c r="B5244" t="s">
        <v>13</v>
      </c>
      <c r="C5244">
        <v>24.17</v>
      </c>
      <c r="D5244">
        <v>23.05</v>
      </c>
      <c r="E5244" t="s">
        <v>17</v>
      </c>
      <c r="F5244">
        <v>23.58</v>
      </c>
      <c r="G5244">
        <v>23.12</v>
      </c>
      <c r="H5244" t="s">
        <v>17</v>
      </c>
      <c r="I5244" t="str">
        <f>"060639009337"</f>
        <v>060639009337</v>
      </c>
    </row>
    <row r="5245" spans="1:9" x14ac:dyDescent="0.25">
      <c r="A5245" t="s">
        <v>4612</v>
      </c>
      <c r="B5245" t="s">
        <v>13</v>
      </c>
      <c r="C5245">
        <v>15.5</v>
      </c>
      <c r="D5245">
        <v>17.07</v>
      </c>
      <c r="E5245" t="s">
        <v>17</v>
      </c>
      <c r="F5245">
        <v>24.13</v>
      </c>
      <c r="G5245">
        <v>22.03</v>
      </c>
      <c r="H5245" t="s">
        <v>17</v>
      </c>
      <c r="I5245" t="str">
        <f>"061314001497"</f>
        <v>061314001497</v>
      </c>
    </row>
    <row r="5246" spans="1:9" x14ac:dyDescent="0.25">
      <c r="A5246" t="s">
        <v>4612</v>
      </c>
      <c r="B5246" t="s">
        <v>13</v>
      </c>
      <c r="C5246">
        <v>22.8</v>
      </c>
      <c r="D5246">
        <v>23.4</v>
      </c>
      <c r="E5246" t="s">
        <v>17</v>
      </c>
      <c r="F5246">
        <v>27.59</v>
      </c>
      <c r="G5246">
        <v>26.92</v>
      </c>
      <c r="H5246" t="s">
        <v>17</v>
      </c>
      <c r="I5246" t="str">
        <f>"063543006042"</f>
        <v>063543006042</v>
      </c>
    </row>
    <row r="5247" spans="1:9" x14ac:dyDescent="0.25">
      <c r="A5247" t="s">
        <v>4613</v>
      </c>
      <c r="B5247" t="s">
        <v>13</v>
      </c>
      <c r="C5247">
        <v>18</v>
      </c>
      <c r="D5247">
        <v>17</v>
      </c>
      <c r="E5247" t="s">
        <v>17</v>
      </c>
      <c r="F5247">
        <v>21.22</v>
      </c>
      <c r="G5247">
        <v>19.29</v>
      </c>
      <c r="H5247" t="s">
        <v>17</v>
      </c>
      <c r="I5247" t="str">
        <f>"060001412333"</f>
        <v>060001412333</v>
      </c>
    </row>
    <row r="5248" spans="1:9" x14ac:dyDescent="0.25">
      <c r="A5248" t="s">
        <v>4614</v>
      </c>
      <c r="B5248" t="s">
        <v>13</v>
      </c>
      <c r="C5248">
        <v>25.5</v>
      </c>
      <c r="D5248">
        <v>24.4</v>
      </c>
      <c r="E5248" t="s">
        <v>17</v>
      </c>
      <c r="F5248">
        <v>23.29</v>
      </c>
      <c r="G5248">
        <v>25.74</v>
      </c>
      <c r="H5248" t="s">
        <v>17</v>
      </c>
      <c r="I5248" t="str">
        <f>"061455007720"</f>
        <v>061455007720</v>
      </c>
    </row>
    <row r="5249" spans="1:9" x14ac:dyDescent="0.25">
      <c r="A5249" t="s">
        <v>4615</v>
      </c>
      <c r="B5249" t="s">
        <v>13</v>
      </c>
      <c r="C5249">
        <v>98.28</v>
      </c>
      <c r="D5249">
        <v>90.74</v>
      </c>
      <c r="E5249" t="s">
        <v>17</v>
      </c>
      <c r="F5249">
        <v>25.94</v>
      </c>
      <c r="G5249">
        <v>23.82</v>
      </c>
      <c r="H5249" t="s">
        <v>17</v>
      </c>
      <c r="I5249" t="str">
        <f>"060792007515"</f>
        <v>060792007515</v>
      </c>
    </row>
    <row r="5250" spans="1:9" x14ac:dyDescent="0.25">
      <c r="A5250" t="s">
        <v>4616</v>
      </c>
      <c r="B5250" t="s">
        <v>13</v>
      </c>
      <c r="C5250">
        <v>20.100000000000001</v>
      </c>
      <c r="D5250">
        <v>21.3</v>
      </c>
      <c r="E5250" t="s">
        <v>17</v>
      </c>
      <c r="F5250">
        <v>22.79</v>
      </c>
      <c r="G5250">
        <v>19.25</v>
      </c>
      <c r="H5250" t="s">
        <v>17</v>
      </c>
      <c r="I5250" t="str">
        <f>"063583006124"</f>
        <v>063583006124</v>
      </c>
    </row>
    <row r="5251" spans="1:9" x14ac:dyDescent="0.25">
      <c r="A5251" t="s">
        <v>4617</v>
      </c>
      <c r="B5251" t="s">
        <v>13</v>
      </c>
      <c r="C5251">
        <v>42.6</v>
      </c>
      <c r="D5251">
        <v>38.5</v>
      </c>
      <c r="E5251" t="s">
        <v>17</v>
      </c>
      <c r="F5251">
        <v>21.67</v>
      </c>
      <c r="G5251">
        <v>24.39</v>
      </c>
      <c r="H5251" t="s">
        <v>17</v>
      </c>
      <c r="I5251" t="str">
        <f>"060994005461"</f>
        <v>060994005461</v>
      </c>
    </row>
    <row r="5252" spans="1:9" x14ac:dyDescent="0.25">
      <c r="A5252" t="s">
        <v>4618</v>
      </c>
      <c r="B5252" t="s">
        <v>13</v>
      </c>
      <c r="C5252">
        <v>20.97</v>
      </c>
      <c r="D5252">
        <v>19</v>
      </c>
      <c r="E5252" t="s">
        <v>17</v>
      </c>
      <c r="F5252">
        <v>24.56</v>
      </c>
      <c r="G5252">
        <v>25.26</v>
      </c>
      <c r="H5252" t="s">
        <v>17</v>
      </c>
      <c r="I5252" t="str">
        <f>"062223002653"</f>
        <v>062223002653</v>
      </c>
    </row>
    <row r="5253" spans="1:9" x14ac:dyDescent="0.25">
      <c r="A5253" t="s">
        <v>4619</v>
      </c>
      <c r="B5253" t="s">
        <v>13</v>
      </c>
      <c r="C5253">
        <v>18</v>
      </c>
      <c r="D5253">
        <v>20</v>
      </c>
      <c r="E5253" t="s">
        <v>17</v>
      </c>
      <c r="F5253">
        <v>27.06</v>
      </c>
      <c r="G5253">
        <v>26.65</v>
      </c>
      <c r="H5253" t="s">
        <v>17</v>
      </c>
      <c r="I5253" t="str">
        <f>"061218001373"</f>
        <v>061218001373</v>
      </c>
    </row>
    <row r="5254" spans="1:9" x14ac:dyDescent="0.25">
      <c r="A5254" t="s">
        <v>4620</v>
      </c>
      <c r="B5254" t="s">
        <v>13</v>
      </c>
      <c r="C5254">
        <v>26.32</v>
      </c>
      <c r="D5254">
        <v>28.1</v>
      </c>
      <c r="E5254" t="s">
        <v>17</v>
      </c>
      <c r="F5254">
        <v>22.99</v>
      </c>
      <c r="G5254">
        <v>21.71</v>
      </c>
      <c r="H5254" t="s">
        <v>17</v>
      </c>
      <c r="I5254" t="str">
        <f>"063441005639"</f>
        <v>063441005639</v>
      </c>
    </row>
    <row r="5255" spans="1:9" x14ac:dyDescent="0.25">
      <c r="A5255" t="s">
        <v>4621</v>
      </c>
      <c r="B5255" t="s">
        <v>13</v>
      </c>
      <c r="C5255" t="s">
        <v>17</v>
      </c>
      <c r="D5255">
        <v>1</v>
      </c>
      <c r="E5255" t="s">
        <v>17</v>
      </c>
      <c r="F5255" t="s">
        <v>17</v>
      </c>
      <c r="G5255">
        <v>9</v>
      </c>
      <c r="H5255" t="s">
        <v>17</v>
      </c>
      <c r="I5255" t="str">
        <f>"064258008215"</f>
        <v>064258008215</v>
      </c>
    </row>
    <row r="5256" spans="1:9" x14ac:dyDescent="0.25">
      <c r="A5256" t="s">
        <v>4622</v>
      </c>
      <c r="B5256" t="s">
        <v>13</v>
      </c>
      <c r="C5256" t="str">
        <f>"0.60"</f>
        <v>0.60</v>
      </c>
      <c r="D5256" t="str">
        <f>"0.60"</f>
        <v>0.60</v>
      </c>
      <c r="E5256" t="s">
        <v>17</v>
      </c>
      <c r="F5256">
        <v>3.33</v>
      </c>
      <c r="G5256">
        <v>5</v>
      </c>
      <c r="H5256" t="s">
        <v>17</v>
      </c>
      <c r="I5256" t="str">
        <f>"064258000666"</f>
        <v>064258000666</v>
      </c>
    </row>
    <row r="5257" spans="1:9" x14ac:dyDescent="0.25">
      <c r="A5257" t="s">
        <v>4623</v>
      </c>
      <c r="B5257" t="s">
        <v>13</v>
      </c>
      <c r="C5257">
        <v>11</v>
      </c>
      <c r="D5257">
        <v>11.5</v>
      </c>
      <c r="E5257" t="s">
        <v>17</v>
      </c>
      <c r="F5257">
        <v>22</v>
      </c>
      <c r="G5257">
        <v>19.48</v>
      </c>
      <c r="H5257" t="s">
        <v>17</v>
      </c>
      <c r="I5257" t="str">
        <f>"064258007899"</f>
        <v>064258007899</v>
      </c>
    </row>
    <row r="5258" spans="1:9" x14ac:dyDescent="0.25">
      <c r="A5258" t="s">
        <v>4624</v>
      </c>
      <c r="B5258" t="s">
        <v>13</v>
      </c>
      <c r="C5258">
        <v>9.34</v>
      </c>
      <c r="D5258">
        <v>8.93</v>
      </c>
      <c r="E5258" t="s">
        <v>17</v>
      </c>
      <c r="F5258">
        <v>14.35</v>
      </c>
      <c r="G5258">
        <v>14</v>
      </c>
      <c r="H5258" t="s">
        <v>17</v>
      </c>
      <c r="I5258" t="str">
        <f>"064258007900"</f>
        <v>064258007900</v>
      </c>
    </row>
    <row r="5259" spans="1:9" x14ac:dyDescent="0.25">
      <c r="A5259" t="s">
        <v>4625</v>
      </c>
      <c r="B5259" t="s">
        <v>13</v>
      </c>
      <c r="C5259" t="s">
        <v>17</v>
      </c>
      <c r="D5259" t="s">
        <v>14</v>
      </c>
      <c r="E5259" t="s">
        <v>14</v>
      </c>
      <c r="F5259" t="s">
        <v>17</v>
      </c>
      <c r="G5259" t="s">
        <v>14</v>
      </c>
      <c r="H5259" t="s">
        <v>14</v>
      </c>
      <c r="I5259" t="str">
        <f>"069105104288"</f>
        <v>069105104288</v>
      </c>
    </row>
    <row r="5260" spans="1:9" x14ac:dyDescent="0.25">
      <c r="A5260" t="s">
        <v>4626</v>
      </c>
      <c r="B5260" t="s">
        <v>13</v>
      </c>
      <c r="C5260" t="s">
        <v>14</v>
      </c>
      <c r="D5260">
        <v>9</v>
      </c>
      <c r="E5260" t="s">
        <v>17</v>
      </c>
      <c r="F5260" t="s">
        <v>14</v>
      </c>
      <c r="G5260">
        <v>27.67</v>
      </c>
      <c r="H5260" t="s">
        <v>17</v>
      </c>
      <c r="I5260" t="str">
        <f>"062805004288"</f>
        <v>062805004288</v>
      </c>
    </row>
    <row r="5261" spans="1:9" x14ac:dyDescent="0.25">
      <c r="A5261" t="s">
        <v>4627</v>
      </c>
      <c r="B5261" t="s">
        <v>13</v>
      </c>
      <c r="C5261">
        <v>18</v>
      </c>
      <c r="D5261">
        <v>18</v>
      </c>
      <c r="E5261" t="s">
        <v>17</v>
      </c>
      <c r="F5261">
        <v>23.39</v>
      </c>
      <c r="G5261">
        <v>23</v>
      </c>
      <c r="H5261" t="s">
        <v>17</v>
      </c>
      <c r="I5261" t="str">
        <f>"062124002547"</f>
        <v>062124002547</v>
      </c>
    </row>
    <row r="5262" spans="1:9" x14ac:dyDescent="0.25">
      <c r="A5262" t="s">
        <v>4628</v>
      </c>
      <c r="B5262" t="s">
        <v>13</v>
      </c>
      <c r="C5262">
        <v>25.5</v>
      </c>
      <c r="D5262">
        <v>21.4</v>
      </c>
      <c r="E5262" t="s">
        <v>17</v>
      </c>
      <c r="F5262">
        <v>18.47</v>
      </c>
      <c r="G5262">
        <v>22.34</v>
      </c>
      <c r="H5262" t="s">
        <v>17</v>
      </c>
      <c r="I5262" t="str">
        <f>"062127002548"</f>
        <v>062127002548</v>
      </c>
    </row>
    <row r="5263" spans="1:9" x14ac:dyDescent="0.25">
      <c r="A5263" t="s">
        <v>4629</v>
      </c>
      <c r="B5263" t="s">
        <v>13</v>
      </c>
      <c r="C5263">
        <v>13.4</v>
      </c>
      <c r="D5263">
        <v>14.32</v>
      </c>
      <c r="E5263" t="s">
        <v>17</v>
      </c>
      <c r="F5263">
        <v>17.989999999999998</v>
      </c>
      <c r="G5263">
        <v>18.16</v>
      </c>
      <c r="H5263" t="s">
        <v>17</v>
      </c>
      <c r="I5263" t="str">
        <f>"063441007354"</f>
        <v>063441007354</v>
      </c>
    </row>
    <row r="5264" spans="1:9" x14ac:dyDescent="0.25">
      <c r="A5264" t="s">
        <v>4630</v>
      </c>
      <c r="B5264" t="s">
        <v>13</v>
      </c>
      <c r="C5264">
        <v>16.5</v>
      </c>
      <c r="D5264" t="s">
        <v>14</v>
      </c>
      <c r="E5264" t="s">
        <v>14</v>
      </c>
      <c r="F5264">
        <v>19.82</v>
      </c>
      <c r="G5264" t="s">
        <v>14</v>
      </c>
      <c r="H5264" t="s">
        <v>14</v>
      </c>
      <c r="I5264" t="str">
        <f>"062271013117"</f>
        <v>062271013117</v>
      </c>
    </row>
    <row r="5265" spans="1:9" x14ac:dyDescent="0.25">
      <c r="A5265" t="s">
        <v>4631</v>
      </c>
      <c r="B5265" t="s">
        <v>13</v>
      </c>
      <c r="C5265" t="s">
        <v>14</v>
      </c>
      <c r="D5265">
        <v>13.32</v>
      </c>
      <c r="E5265" t="s">
        <v>17</v>
      </c>
      <c r="F5265" t="s">
        <v>17</v>
      </c>
      <c r="G5265">
        <v>13.81</v>
      </c>
      <c r="H5265" t="s">
        <v>17</v>
      </c>
      <c r="I5265" t="str">
        <f>"062805010723"</f>
        <v>062805010723</v>
      </c>
    </row>
    <row r="5266" spans="1:9" x14ac:dyDescent="0.25">
      <c r="A5266" t="s">
        <v>4632</v>
      </c>
      <c r="B5266" t="s">
        <v>13</v>
      </c>
      <c r="C5266">
        <v>20.6</v>
      </c>
      <c r="D5266">
        <v>22</v>
      </c>
      <c r="E5266" t="s">
        <v>17</v>
      </c>
      <c r="F5266">
        <v>22.09</v>
      </c>
      <c r="G5266">
        <v>20.27</v>
      </c>
      <c r="H5266" t="s">
        <v>17</v>
      </c>
      <c r="I5266" t="str">
        <f>"061674010737"</f>
        <v>061674010737</v>
      </c>
    </row>
    <row r="5267" spans="1:9" x14ac:dyDescent="0.25">
      <c r="A5267" t="s">
        <v>4633</v>
      </c>
      <c r="B5267" t="s">
        <v>13</v>
      </c>
      <c r="C5267">
        <v>18.8</v>
      </c>
      <c r="D5267">
        <v>17</v>
      </c>
      <c r="E5267" t="s">
        <v>17</v>
      </c>
      <c r="F5267">
        <v>19.47</v>
      </c>
      <c r="G5267">
        <v>21.35</v>
      </c>
      <c r="H5267" t="s">
        <v>17</v>
      </c>
      <c r="I5267" t="str">
        <f>"069103511441"</f>
        <v>069103511441</v>
      </c>
    </row>
    <row r="5268" spans="1:9" x14ac:dyDescent="0.25">
      <c r="A5268" t="s">
        <v>4634</v>
      </c>
      <c r="B5268" t="s">
        <v>13</v>
      </c>
      <c r="C5268">
        <v>21.8</v>
      </c>
      <c r="D5268">
        <v>23.8</v>
      </c>
      <c r="E5268" t="s">
        <v>17</v>
      </c>
      <c r="F5268">
        <v>21.7</v>
      </c>
      <c r="G5268">
        <v>18.78</v>
      </c>
      <c r="H5268" t="s">
        <v>17</v>
      </c>
      <c r="I5268" t="str">
        <f>"063255011225"</f>
        <v>063255011225</v>
      </c>
    </row>
    <row r="5269" spans="1:9" x14ac:dyDescent="0.25">
      <c r="A5269" t="s">
        <v>4635</v>
      </c>
      <c r="B5269" t="s">
        <v>13</v>
      </c>
      <c r="C5269">
        <v>29.5</v>
      </c>
      <c r="D5269">
        <v>27.5</v>
      </c>
      <c r="E5269" t="s">
        <v>17</v>
      </c>
      <c r="F5269">
        <v>25.05</v>
      </c>
      <c r="G5269">
        <v>26.07</v>
      </c>
      <c r="H5269" t="s">
        <v>17</v>
      </c>
      <c r="I5269" t="str">
        <f>"060162000021"</f>
        <v>060162000021</v>
      </c>
    </row>
    <row r="5270" spans="1:9" x14ac:dyDescent="0.25">
      <c r="A5270" t="s">
        <v>4636</v>
      </c>
      <c r="B5270" t="s">
        <v>13</v>
      </c>
      <c r="C5270">
        <v>15.5</v>
      </c>
      <c r="D5270">
        <v>15</v>
      </c>
      <c r="E5270" t="s">
        <v>17</v>
      </c>
      <c r="F5270">
        <v>19.940000000000001</v>
      </c>
      <c r="G5270">
        <v>20.27</v>
      </c>
      <c r="H5270" t="s">
        <v>17</v>
      </c>
      <c r="I5270" t="str">
        <f>"062271003130"</f>
        <v>062271003130</v>
      </c>
    </row>
    <row r="5271" spans="1:9" x14ac:dyDescent="0.25">
      <c r="A5271" t="s">
        <v>4637</v>
      </c>
      <c r="B5271" t="s">
        <v>13</v>
      </c>
      <c r="C5271">
        <v>34.6</v>
      </c>
      <c r="D5271">
        <v>34.1</v>
      </c>
      <c r="E5271" t="s">
        <v>17</v>
      </c>
      <c r="F5271">
        <v>23.18</v>
      </c>
      <c r="G5271">
        <v>21.73</v>
      </c>
      <c r="H5271" t="s">
        <v>17</v>
      </c>
      <c r="I5271" t="str">
        <f>"063432011139"</f>
        <v>063432011139</v>
      </c>
    </row>
    <row r="5272" spans="1:9" x14ac:dyDescent="0.25">
      <c r="A5272" t="s">
        <v>4638</v>
      </c>
      <c r="B5272" t="s">
        <v>13</v>
      </c>
      <c r="C5272">
        <v>28</v>
      </c>
      <c r="D5272">
        <v>28.2</v>
      </c>
      <c r="E5272" t="s">
        <v>17</v>
      </c>
      <c r="F5272">
        <v>13.64</v>
      </c>
      <c r="G5272">
        <v>15.28</v>
      </c>
      <c r="H5272" t="s">
        <v>17</v>
      </c>
      <c r="I5272" t="str">
        <f>"069100205704"</f>
        <v>069100205704</v>
      </c>
    </row>
    <row r="5273" spans="1:9" x14ac:dyDescent="0.25">
      <c r="A5273" t="s">
        <v>4639</v>
      </c>
      <c r="B5273" t="s">
        <v>13</v>
      </c>
      <c r="C5273">
        <v>6</v>
      </c>
      <c r="D5273">
        <v>6</v>
      </c>
      <c r="E5273" t="s">
        <v>17</v>
      </c>
      <c r="F5273">
        <v>16.829999999999998</v>
      </c>
      <c r="G5273">
        <v>21.67</v>
      </c>
      <c r="H5273" t="s">
        <v>17</v>
      </c>
      <c r="I5273" t="str">
        <f>"062553010560"</f>
        <v>062553010560</v>
      </c>
    </row>
    <row r="5274" spans="1:9" x14ac:dyDescent="0.25">
      <c r="A5274" t="s">
        <v>4640</v>
      </c>
      <c r="B5274" t="s">
        <v>13</v>
      </c>
      <c r="C5274">
        <v>4.4000000000000004</v>
      </c>
      <c r="D5274">
        <v>2.9</v>
      </c>
      <c r="E5274" t="s">
        <v>17</v>
      </c>
      <c r="F5274">
        <v>26.59</v>
      </c>
      <c r="G5274">
        <v>33.450000000000003</v>
      </c>
      <c r="H5274" t="s">
        <v>17</v>
      </c>
      <c r="I5274" t="str">
        <f>"064251007369"</f>
        <v>064251007369</v>
      </c>
    </row>
    <row r="5275" spans="1:9" x14ac:dyDescent="0.25">
      <c r="A5275" t="s">
        <v>4641</v>
      </c>
      <c r="B5275" t="s">
        <v>13</v>
      </c>
      <c r="C5275" t="s">
        <v>17</v>
      </c>
      <c r="D5275" t="s">
        <v>14</v>
      </c>
      <c r="E5275" t="s">
        <v>14</v>
      </c>
      <c r="F5275" t="s">
        <v>17</v>
      </c>
      <c r="G5275" t="s">
        <v>14</v>
      </c>
      <c r="H5275" t="s">
        <v>14</v>
      </c>
      <c r="I5275" t="str">
        <f>"061551013306"</f>
        <v>061551013306</v>
      </c>
    </row>
    <row r="5276" spans="1:9" x14ac:dyDescent="0.25">
      <c r="A5276" t="s">
        <v>4642</v>
      </c>
      <c r="B5276" t="s">
        <v>13</v>
      </c>
      <c r="C5276">
        <v>17</v>
      </c>
      <c r="D5276">
        <v>17</v>
      </c>
      <c r="E5276" t="s">
        <v>17</v>
      </c>
      <c r="F5276">
        <v>22.35</v>
      </c>
      <c r="G5276">
        <v>21.94</v>
      </c>
      <c r="H5276" t="s">
        <v>17</v>
      </c>
      <c r="I5276" t="str">
        <f>"062805012054"</f>
        <v>062805012054</v>
      </c>
    </row>
    <row r="5277" spans="1:9" x14ac:dyDescent="0.25">
      <c r="A5277" t="s">
        <v>4643</v>
      </c>
      <c r="B5277" t="s">
        <v>13</v>
      </c>
      <c r="C5277">
        <v>14</v>
      </c>
      <c r="D5277">
        <v>10</v>
      </c>
      <c r="E5277" t="s">
        <v>17</v>
      </c>
      <c r="F5277">
        <v>27.29</v>
      </c>
      <c r="G5277">
        <v>34.700000000000003</v>
      </c>
      <c r="H5277" t="s">
        <v>17</v>
      </c>
      <c r="I5277" t="str">
        <f>"062994012366"</f>
        <v>062994012366</v>
      </c>
    </row>
    <row r="5278" spans="1:9" x14ac:dyDescent="0.25">
      <c r="A5278" t="s">
        <v>4644</v>
      </c>
      <c r="B5278" t="s">
        <v>13</v>
      </c>
      <c r="C5278">
        <v>10</v>
      </c>
      <c r="D5278">
        <v>11</v>
      </c>
      <c r="E5278" t="s">
        <v>17</v>
      </c>
      <c r="F5278">
        <v>29.9</v>
      </c>
      <c r="G5278">
        <v>26.82</v>
      </c>
      <c r="H5278" t="s">
        <v>17</v>
      </c>
      <c r="I5278" t="str">
        <f>"063384005252"</f>
        <v>063384005252</v>
      </c>
    </row>
    <row r="5279" spans="1:9" x14ac:dyDescent="0.25">
      <c r="A5279" t="s">
        <v>4645</v>
      </c>
      <c r="B5279" t="s">
        <v>13</v>
      </c>
      <c r="C5279">
        <v>16</v>
      </c>
      <c r="D5279">
        <v>16.7</v>
      </c>
      <c r="E5279" t="s">
        <v>17</v>
      </c>
      <c r="F5279">
        <v>21.06</v>
      </c>
      <c r="G5279">
        <v>19.16</v>
      </c>
      <c r="H5279" t="s">
        <v>17</v>
      </c>
      <c r="I5279" t="str">
        <f>"060474000445"</f>
        <v>060474000445</v>
      </c>
    </row>
    <row r="5280" spans="1:9" x14ac:dyDescent="0.25">
      <c r="A5280" t="s">
        <v>4646</v>
      </c>
      <c r="B5280" t="s">
        <v>13</v>
      </c>
      <c r="C5280">
        <v>17.5</v>
      </c>
      <c r="D5280">
        <v>19</v>
      </c>
      <c r="E5280" t="s">
        <v>17</v>
      </c>
      <c r="F5280">
        <v>29.14</v>
      </c>
      <c r="G5280">
        <v>26.95</v>
      </c>
      <c r="H5280" t="s">
        <v>17</v>
      </c>
      <c r="I5280" t="str">
        <f>"062781008358"</f>
        <v>062781008358</v>
      </c>
    </row>
    <row r="5281" spans="1:9" x14ac:dyDescent="0.25">
      <c r="A5281" t="s">
        <v>4647</v>
      </c>
      <c r="B5281" t="s">
        <v>13</v>
      </c>
      <c r="C5281">
        <v>20.6</v>
      </c>
      <c r="D5281">
        <v>20.6</v>
      </c>
      <c r="E5281" t="s">
        <v>17</v>
      </c>
      <c r="F5281">
        <v>20.05</v>
      </c>
      <c r="G5281">
        <v>20.440000000000001</v>
      </c>
      <c r="H5281" t="s">
        <v>17</v>
      </c>
      <c r="I5281" t="str">
        <f>"063432005498"</f>
        <v>063432005498</v>
      </c>
    </row>
    <row r="5282" spans="1:9" x14ac:dyDescent="0.25">
      <c r="A5282" t="s">
        <v>4647</v>
      </c>
      <c r="B5282" t="s">
        <v>13</v>
      </c>
      <c r="C5282">
        <v>32</v>
      </c>
      <c r="D5282">
        <v>34</v>
      </c>
      <c r="E5282" t="s">
        <v>17</v>
      </c>
      <c r="F5282">
        <v>30.16</v>
      </c>
      <c r="G5282">
        <v>28.76</v>
      </c>
      <c r="H5282" t="s">
        <v>17</v>
      </c>
      <c r="I5282" t="str">
        <f>"062250002734"</f>
        <v>062250002734</v>
      </c>
    </row>
    <row r="5283" spans="1:9" x14ac:dyDescent="0.25">
      <c r="A5283" t="s">
        <v>4648</v>
      </c>
      <c r="B5283" t="s">
        <v>13</v>
      </c>
      <c r="C5283">
        <v>29.92</v>
      </c>
      <c r="D5283">
        <v>30.68</v>
      </c>
      <c r="E5283" t="s">
        <v>17</v>
      </c>
      <c r="F5283">
        <v>19.72</v>
      </c>
      <c r="G5283">
        <v>22.07</v>
      </c>
      <c r="H5283" t="s">
        <v>17</v>
      </c>
      <c r="I5283" t="str">
        <f>"060231000110"</f>
        <v>060231000110</v>
      </c>
    </row>
    <row r="5284" spans="1:9" x14ac:dyDescent="0.25">
      <c r="A5284" t="s">
        <v>4649</v>
      </c>
      <c r="B5284" t="s">
        <v>13</v>
      </c>
      <c r="C5284">
        <v>35.29</v>
      </c>
      <c r="D5284">
        <v>33.770000000000003</v>
      </c>
      <c r="E5284" t="s">
        <v>17</v>
      </c>
      <c r="F5284">
        <v>19.07</v>
      </c>
      <c r="G5284">
        <v>19.16</v>
      </c>
      <c r="H5284" t="s">
        <v>17</v>
      </c>
      <c r="I5284" t="str">
        <f>"064308007005"</f>
        <v>064308007005</v>
      </c>
    </row>
    <row r="5285" spans="1:9" x14ac:dyDescent="0.25">
      <c r="A5285" t="s">
        <v>4650</v>
      </c>
      <c r="B5285" t="s">
        <v>13</v>
      </c>
      <c r="C5285">
        <v>22</v>
      </c>
      <c r="D5285">
        <v>19.5</v>
      </c>
      <c r="E5285" t="s">
        <v>17</v>
      </c>
      <c r="F5285">
        <v>20.09</v>
      </c>
      <c r="G5285">
        <v>20.149999999999999</v>
      </c>
      <c r="H5285" t="s">
        <v>17</v>
      </c>
      <c r="I5285" t="str">
        <f>"061647002082"</f>
        <v>061647002082</v>
      </c>
    </row>
    <row r="5286" spans="1:9" x14ac:dyDescent="0.25">
      <c r="A5286" t="s">
        <v>4651</v>
      </c>
      <c r="B5286" t="s">
        <v>13</v>
      </c>
      <c r="C5286">
        <v>28.05</v>
      </c>
      <c r="D5286">
        <v>28</v>
      </c>
      <c r="E5286" t="s">
        <v>17</v>
      </c>
      <c r="F5286">
        <v>29.09</v>
      </c>
      <c r="G5286">
        <v>29.46</v>
      </c>
      <c r="H5286" t="s">
        <v>17</v>
      </c>
      <c r="I5286" t="str">
        <f>"060985000853"</f>
        <v>060985000853</v>
      </c>
    </row>
    <row r="5287" spans="1:9" x14ac:dyDescent="0.25">
      <c r="A5287" t="s">
        <v>4652</v>
      </c>
      <c r="B5287" t="s">
        <v>13</v>
      </c>
      <c r="C5287" t="s">
        <v>14</v>
      </c>
      <c r="D5287" t="s">
        <v>14</v>
      </c>
      <c r="E5287" t="s">
        <v>17</v>
      </c>
      <c r="F5287" t="s">
        <v>14</v>
      </c>
      <c r="G5287" t="s">
        <v>14</v>
      </c>
      <c r="H5287" t="s">
        <v>17</v>
      </c>
      <c r="I5287" t="str">
        <f>"061187012192"</f>
        <v>061187012192</v>
      </c>
    </row>
    <row r="5288" spans="1:9" x14ac:dyDescent="0.25">
      <c r="A5288" t="s">
        <v>4653</v>
      </c>
      <c r="B5288" t="s">
        <v>13</v>
      </c>
      <c r="C5288">
        <v>6</v>
      </c>
      <c r="D5288">
        <v>6</v>
      </c>
      <c r="E5288" t="s">
        <v>17</v>
      </c>
      <c r="F5288">
        <v>15.17</v>
      </c>
      <c r="G5288">
        <v>14.83</v>
      </c>
      <c r="H5288" t="s">
        <v>17</v>
      </c>
      <c r="I5288" t="str">
        <f>"061187001327"</f>
        <v>061187001327</v>
      </c>
    </row>
    <row r="5289" spans="1:9" x14ac:dyDescent="0.25">
      <c r="A5289" t="s">
        <v>4654</v>
      </c>
      <c r="B5289" t="s">
        <v>13</v>
      </c>
      <c r="C5289">
        <v>5.51</v>
      </c>
      <c r="D5289">
        <v>5.5</v>
      </c>
      <c r="E5289" t="s">
        <v>17</v>
      </c>
      <c r="F5289">
        <v>11.62</v>
      </c>
      <c r="G5289">
        <v>10.91</v>
      </c>
      <c r="H5289" t="s">
        <v>17</v>
      </c>
      <c r="I5289" t="str">
        <f>"061187001328"</f>
        <v>061187001328</v>
      </c>
    </row>
    <row r="5290" spans="1:9" x14ac:dyDescent="0.25">
      <c r="A5290" t="s">
        <v>4655</v>
      </c>
      <c r="B5290" t="s">
        <v>13</v>
      </c>
      <c r="C5290">
        <v>24.16</v>
      </c>
      <c r="D5290">
        <v>26.77</v>
      </c>
      <c r="E5290" t="s">
        <v>17</v>
      </c>
      <c r="F5290">
        <v>23.39</v>
      </c>
      <c r="G5290">
        <v>19.72</v>
      </c>
      <c r="H5290" t="s">
        <v>17</v>
      </c>
      <c r="I5290" t="str">
        <f>"061185007696"</f>
        <v>061185007696</v>
      </c>
    </row>
    <row r="5291" spans="1:9" x14ac:dyDescent="0.25">
      <c r="A5291" t="s">
        <v>4656</v>
      </c>
      <c r="B5291" t="s">
        <v>13</v>
      </c>
      <c r="C5291">
        <v>1.43</v>
      </c>
      <c r="D5291">
        <v>1.83</v>
      </c>
      <c r="E5291" t="s">
        <v>17</v>
      </c>
      <c r="F5291">
        <v>8.39</v>
      </c>
      <c r="G5291">
        <v>6.01</v>
      </c>
      <c r="H5291" t="s">
        <v>17</v>
      </c>
      <c r="I5291" t="str">
        <f>"060004907413"</f>
        <v>060004907413</v>
      </c>
    </row>
    <row r="5292" spans="1:9" x14ac:dyDescent="0.25">
      <c r="A5292" t="s">
        <v>4657</v>
      </c>
      <c r="B5292" t="s">
        <v>13</v>
      </c>
      <c r="C5292" t="s">
        <v>14</v>
      </c>
      <c r="D5292" t="s">
        <v>14</v>
      </c>
      <c r="E5292" t="s">
        <v>17</v>
      </c>
      <c r="F5292" t="s">
        <v>14</v>
      </c>
      <c r="G5292" t="s">
        <v>14</v>
      </c>
      <c r="H5292" t="s">
        <v>17</v>
      </c>
      <c r="I5292" t="str">
        <f>"062271012228"</f>
        <v>062271012228</v>
      </c>
    </row>
    <row r="5293" spans="1:9" x14ac:dyDescent="0.25">
      <c r="A5293" t="s">
        <v>4658</v>
      </c>
      <c r="B5293" t="s">
        <v>13</v>
      </c>
      <c r="C5293">
        <v>4.82</v>
      </c>
      <c r="D5293">
        <v>4.05</v>
      </c>
      <c r="E5293" t="s">
        <v>17</v>
      </c>
      <c r="F5293">
        <v>12.45</v>
      </c>
      <c r="G5293">
        <v>18.02</v>
      </c>
      <c r="H5293" t="s">
        <v>17</v>
      </c>
      <c r="I5293" t="str">
        <f>"060966509671"</f>
        <v>060966509671</v>
      </c>
    </row>
    <row r="5294" spans="1:9" x14ac:dyDescent="0.25">
      <c r="A5294" t="s">
        <v>4659</v>
      </c>
      <c r="B5294" t="s">
        <v>13</v>
      </c>
      <c r="C5294">
        <v>2.95</v>
      </c>
      <c r="D5294">
        <v>3.27</v>
      </c>
      <c r="E5294" t="s">
        <v>17</v>
      </c>
      <c r="F5294">
        <v>4.75</v>
      </c>
      <c r="G5294">
        <v>3.98</v>
      </c>
      <c r="H5294" t="s">
        <v>17</v>
      </c>
      <c r="I5294" t="str">
        <f>"060966509665"</f>
        <v>060966509665</v>
      </c>
    </row>
    <row r="5295" spans="1:9" x14ac:dyDescent="0.25">
      <c r="A5295" t="s">
        <v>4660</v>
      </c>
      <c r="B5295" t="s">
        <v>13</v>
      </c>
      <c r="C5295">
        <v>20</v>
      </c>
      <c r="D5295">
        <v>21</v>
      </c>
      <c r="E5295" t="s">
        <v>17</v>
      </c>
      <c r="F5295">
        <v>28.6</v>
      </c>
      <c r="G5295">
        <v>27.76</v>
      </c>
      <c r="H5295" t="s">
        <v>17</v>
      </c>
      <c r="I5295" t="str">
        <f>"061209001351"</f>
        <v>061209001351</v>
      </c>
    </row>
    <row r="5296" spans="1:9" x14ac:dyDescent="0.25">
      <c r="A5296" t="s">
        <v>4661</v>
      </c>
      <c r="B5296" t="s">
        <v>13</v>
      </c>
      <c r="C5296">
        <v>36.200000000000003</v>
      </c>
      <c r="D5296">
        <v>35</v>
      </c>
      <c r="E5296" t="s">
        <v>17</v>
      </c>
      <c r="F5296">
        <v>19.59</v>
      </c>
      <c r="G5296">
        <v>20.34</v>
      </c>
      <c r="H5296" t="s">
        <v>17</v>
      </c>
      <c r="I5296" t="str">
        <f>"062847004402"</f>
        <v>062847004402</v>
      </c>
    </row>
    <row r="5297" spans="1:9" x14ac:dyDescent="0.25">
      <c r="A5297" t="s">
        <v>4662</v>
      </c>
      <c r="B5297" t="s">
        <v>13</v>
      </c>
      <c r="C5297">
        <v>64.69</v>
      </c>
      <c r="D5297">
        <v>63.05</v>
      </c>
      <c r="E5297" t="s">
        <v>17</v>
      </c>
      <c r="F5297">
        <v>25.26</v>
      </c>
      <c r="G5297">
        <v>25.68</v>
      </c>
      <c r="H5297" t="s">
        <v>17</v>
      </c>
      <c r="I5297" t="str">
        <f>"060723008122"</f>
        <v>060723008122</v>
      </c>
    </row>
    <row r="5298" spans="1:9" x14ac:dyDescent="0.25">
      <c r="A5298" t="s">
        <v>4663</v>
      </c>
      <c r="B5298" t="s">
        <v>13</v>
      </c>
      <c r="C5298">
        <v>71.25</v>
      </c>
      <c r="D5298">
        <v>75.599999999999994</v>
      </c>
      <c r="E5298" t="s">
        <v>17</v>
      </c>
      <c r="F5298">
        <v>25.19</v>
      </c>
      <c r="G5298">
        <v>23.8</v>
      </c>
      <c r="H5298" t="s">
        <v>17</v>
      </c>
      <c r="I5298" t="str">
        <f>"063459005725"</f>
        <v>063459005725</v>
      </c>
    </row>
    <row r="5299" spans="1:9" x14ac:dyDescent="0.25">
      <c r="A5299" t="s">
        <v>4664</v>
      </c>
      <c r="B5299" t="s">
        <v>13</v>
      </c>
      <c r="C5299">
        <v>2</v>
      </c>
      <c r="D5299">
        <v>2.14</v>
      </c>
      <c r="E5299" t="s">
        <v>17</v>
      </c>
      <c r="F5299">
        <v>17</v>
      </c>
      <c r="G5299">
        <v>16.82</v>
      </c>
      <c r="H5299" t="s">
        <v>17</v>
      </c>
      <c r="I5299" t="str">
        <f>"063459002794"</f>
        <v>063459002794</v>
      </c>
    </row>
    <row r="5300" spans="1:9" x14ac:dyDescent="0.25">
      <c r="A5300" t="s">
        <v>4665</v>
      </c>
      <c r="B5300" t="s">
        <v>13</v>
      </c>
      <c r="C5300">
        <v>27</v>
      </c>
      <c r="D5300">
        <v>23.5</v>
      </c>
      <c r="E5300" t="s">
        <v>17</v>
      </c>
      <c r="F5300">
        <v>24.33</v>
      </c>
      <c r="G5300">
        <v>25.36</v>
      </c>
      <c r="H5300" t="s">
        <v>17</v>
      </c>
      <c r="I5300" t="str">
        <f>"062271003131"</f>
        <v>062271003131</v>
      </c>
    </row>
    <row r="5301" spans="1:9" x14ac:dyDescent="0.25">
      <c r="A5301" t="s">
        <v>4666</v>
      </c>
      <c r="B5301" t="s">
        <v>13</v>
      </c>
      <c r="C5301">
        <v>17</v>
      </c>
      <c r="D5301">
        <v>16</v>
      </c>
      <c r="E5301" t="s">
        <v>17</v>
      </c>
      <c r="F5301">
        <v>23.24</v>
      </c>
      <c r="G5301">
        <v>24.38</v>
      </c>
      <c r="H5301" t="s">
        <v>17</v>
      </c>
      <c r="I5301" t="str">
        <f>"062271003132"</f>
        <v>062271003132</v>
      </c>
    </row>
    <row r="5302" spans="1:9" x14ac:dyDescent="0.25">
      <c r="A5302" t="s">
        <v>4667</v>
      </c>
      <c r="B5302" t="s">
        <v>13</v>
      </c>
      <c r="C5302">
        <v>19</v>
      </c>
      <c r="D5302">
        <v>20.25</v>
      </c>
      <c r="E5302" t="s">
        <v>17</v>
      </c>
      <c r="F5302">
        <v>31.21</v>
      </c>
      <c r="G5302">
        <v>31.26</v>
      </c>
      <c r="H5302" t="s">
        <v>17</v>
      </c>
      <c r="I5302" t="str">
        <f>"062025002435"</f>
        <v>062025002435</v>
      </c>
    </row>
    <row r="5303" spans="1:9" x14ac:dyDescent="0.25">
      <c r="A5303" t="s">
        <v>4668</v>
      </c>
      <c r="B5303" t="s">
        <v>13</v>
      </c>
      <c r="C5303">
        <v>28</v>
      </c>
      <c r="D5303">
        <v>24</v>
      </c>
      <c r="E5303" t="s">
        <v>17</v>
      </c>
      <c r="F5303">
        <v>23.14</v>
      </c>
      <c r="G5303">
        <v>21.92</v>
      </c>
      <c r="H5303" t="s">
        <v>17</v>
      </c>
      <c r="I5303" t="str">
        <f>"062079010310"</f>
        <v>062079010310</v>
      </c>
    </row>
    <row r="5304" spans="1:9" x14ac:dyDescent="0.25">
      <c r="A5304" t="s">
        <v>4669</v>
      </c>
      <c r="B5304" t="s">
        <v>13</v>
      </c>
      <c r="C5304">
        <v>52</v>
      </c>
      <c r="D5304">
        <v>19</v>
      </c>
      <c r="E5304" t="s">
        <v>17</v>
      </c>
      <c r="F5304">
        <v>23.87</v>
      </c>
      <c r="G5304">
        <v>27.58</v>
      </c>
      <c r="H5304" t="s">
        <v>17</v>
      </c>
      <c r="I5304" t="str">
        <f>"062133002549"</f>
        <v>062133002549</v>
      </c>
    </row>
    <row r="5305" spans="1:9" x14ac:dyDescent="0.25">
      <c r="A5305" t="s">
        <v>4670</v>
      </c>
      <c r="B5305" t="s">
        <v>13</v>
      </c>
      <c r="C5305">
        <v>30</v>
      </c>
      <c r="D5305">
        <v>35.5</v>
      </c>
      <c r="E5305" t="s">
        <v>17</v>
      </c>
      <c r="F5305">
        <v>29.43</v>
      </c>
      <c r="G5305">
        <v>25.27</v>
      </c>
      <c r="H5305" t="s">
        <v>17</v>
      </c>
      <c r="I5305" t="str">
        <f>"062922004509"</f>
        <v>062922004509</v>
      </c>
    </row>
    <row r="5306" spans="1:9" x14ac:dyDescent="0.25">
      <c r="A5306" t="s">
        <v>4671</v>
      </c>
      <c r="B5306" t="s">
        <v>13</v>
      </c>
      <c r="C5306">
        <v>24</v>
      </c>
      <c r="D5306">
        <v>24</v>
      </c>
      <c r="E5306" t="s">
        <v>17</v>
      </c>
      <c r="F5306">
        <v>24.79</v>
      </c>
      <c r="G5306">
        <v>25.75</v>
      </c>
      <c r="H5306" t="s">
        <v>17</v>
      </c>
      <c r="I5306" t="str">
        <f>"062136002557"</f>
        <v>062136002557</v>
      </c>
    </row>
    <row r="5307" spans="1:9" x14ac:dyDescent="0.25">
      <c r="A5307" t="s">
        <v>4672</v>
      </c>
      <c r="B5307" t="s">
        <v>13</v>
      </c>
      <c r="C5307">
        <v>83.66</v>
      </c>
      <c r="D5307">
        <v>83.38</v>
      </c>
      <c r="E5307" t="s">
        <v>17</v>
      </c>
      <c r="F5307">
        <v>22.97</v>
      </c>
      <c r="G5307">
        <v>22.45</v>
      </c>
      <c r="H5307" t="s">
        <v>17</v>
      </c>
      <c r="I5307" t="str">
        <f>"062140002561"</f>
        <v>062140002561</v>
      </c>
    </row>
    <row r="5308" spans="1:9" x14ac:dyDescent="0.25">
      <c r="A5308" t="s">
        <v>4673</v>
      </c>
      <c r="B5308" t="s">
        <v>13</v>
      </c>
      <c r="C5308">
        <v>13.05</v>
      </c>
      <c r="D5308">
        <v>12.05</v>
      </c>
      <c r="E5308" t="s">
        <v>17</v>
      </c>
      <c r="F5308">
        <v>18.62</v>
      </c>
      <c r="G5308">
        <v>18.670000000000002</v>
      </c>
      <c r="H5308" t="s">
        <v>17</v>
      </c>
      <c r="I5308" t="str">
        <f>"062140011607"</f>
        <v>062140011607</v>
      </c>
    </row>
    <row r="5309" spans="1:9" x14ac:dyDescent="0.25">
      <c r="A5309" t="s">
        <v>4674</v>
      </c>
      <c r="B5309" t="s">
        <v>13</v>
      </c>
      <c r="C5309">
        <v>11</v>
      </c>
      <c r="D5309">
        <v>11.4</v>
      </c>
      <c r="E5309" t="s">
        <v>17</v>
      </c>
      <c r="F5309">
        <v>21.73</v>
      </c>
      <c r="G5309">
        <v>20.96</v>
      </c>
      <c r="H5309" t="s">
        <v>17</v>
      </c>
      <c r="I5309" t="str">
        <f>"062136011285"</f>
        <v>062136011285</v>
      </c>
    </row>
    <row r="5310" spans="1:9" x14ac:dyDescent="0.25">
      <c r="A5310" t="s">
        <v>4675</v>
      </c>
      <c r="B5310" t="s">
        <v>13</v>
      </c>
      <c r="C5310">
        <v>34.5</v>
      </c>
      <c r="D5310">
        <v>37.92</v>
      </c>
      <c r="E5310" t="s">
        <v>17</v>
      </c>
      <c r="F5310">
        <v>24.52</v>
      </c>
      <c r="G5310">
        <v>23.97</v>
      </c>
      <c r="H5310" t="s">
        <v>17</v>
      </c>
      <c r="I5310" t="str">
        <f>"062271003446"</f>
        <v>062271003446</v>
      </c>
    </row>
    <row r="5311" spans="1:9" x14ac:dyDescent="0.25">
      <c r="A5311" t="s">
        <v>4676</v>
      </c>
      <c r="B5311" t="s">
        <v>13</v>
      </c>
      <c r="C5311">
        <v>25.7</v>
      </c>
      <c r="D5311">
        <v>24.53</v>
      </c>
      <c r="E5311" t="s">
        <v>17</v>
      </c>
      <c r="F5311">
        <v>22.33</v>
      </c>
      <c r="G5311">
        <v>23.03</v>
      </c>
      <c r="H5311" t="s">
        <v>17</v>
      </c>
      <c r="I5311" t="str">
        <f>"062142011328"</f>
        <v>062142011328</v>
      </c>
    </row>
    <row r="5312" spans="1:9" x14ac:dyDescent="0.25">
      <c r="A5312" t="s">
        <v>4677</v>
      </c>
      <c r="B5312" t="s">
        <v>13</v>
      </c>
      <c r="C5312">
        <v>79.010000000000005</v>
      </c>
      <c r="D5312">
        <v>82.39</v>
      </c>
      <c r="E5312" t="s">
        <v>17</v>
      </c>
      <c r="F5312">
        <v>20.86</v>
      </c>
      <c r="G5312">
        <v>20.399999999999999</v>
      </c>
      <c r="H5312" t="s">
        <v>17</v>
      </c>
      <c r="I5312" t="str">
        <f>"062142009147"</f>
        <v>062142009147</v>
      </c>
    </row>
    <row r="5313" spans="1:9" x14ac:dyDescent="0.25">
      <c r="A5313" t="s">
        <v>4678</v>
      </c>
      <c r="B5313" t="s">
        <v>13</v>
      </c>
      <c r="C5313">
        <v>16.5</v>
      </c>
      <c r="D5313">
        <v>17.149999999999999</v>
      </c>
      <c r="E5313" t="s">
        <v>17</v>
      </c>
      <c r="F5313">
        <v>24.06</v>
      </c>
      <c r="G5313">
        <v>22.51</v>
      </c>
      <c r="H5313" t="s">
        <v>17</v>
      </c>
      <c r="I5313" t="str">
        <f>"060402000363"</f>
        <v>060402000363</v>
      </c>
    </row>
    <row r="5314" spans="1:9" x14ac:dyDescent="0.25">
      <c r="A5314" t="s">
        <v>4679</v>
      </c>
      <c r="B5314" t="s">
        <v>13</v>
      </c>
      <c r="C5314">
        <v>23.25</v>
      </c>
      <c r="D5314">
        <v>18.88</v>
      </c>
      <c r="E5314" t="s">
        <v>17</v>
      </c>
      <c r="F5314">
        <v>24.56</v>
      </c>
      <c r="G5314">
        <v>28.76</v>
      </c>
      <c r="H5314" t="s">
        <v>17</v>
      </c>
      <c r="I5314" t="str">
        <f>"060639009339"</f>
        <v>060639009339</v>
      </c>
    </row>
    <row r="5315" spans="1:9" x14ac:dyDescent="0.25">
      <c r="A5315" t="s">
        <v>4680</v>
      </c>
      <c r="B5315" t="s">
        <v>13</v>
      </c>
      <c r="C5315">
        <v>23</v>
      </c>
      <c r="D5315">
        <v>26</v>
      </c>
      <c r="E5315" t="s">
        <v>17</v>
      </c>
      <c r="F5315">
        <v>26.35</v>
      </c>
      <c r="G5315">
        <v>25.69</v>
      </c>
      <c r="H5315" t="s">
        <v>17</v>
      </c>
      <c r="I5315" t="str">
        <f>"061488009371"</f>
        <v>061488009371</v>
      </c>
    </row>
    <row r="5316" spans="1:9" x14ac:dyDescent="0.25">
      <c r="A5316" t="s">
        <v>4681</v>
      </c>
      <c r="B5316" t="s">
        <v>13</v>
      </c>
      <c r="C5316">
        <v>34.4</v>
      </c>
      <c r="D5316">
        <v>31.71</v>
      </c>
      <c r="E5316" t="s">
        <v>17</v>
      </c>
      <c r="F5316">
        <v>21.6</v>
      </c>
      <c r="G5316">
        <v>22.08</v>
      </c>
      <c r="H5316" t="s">
        <v>17</v>
      </c>
      <c r="I5316" t="str">
        <f>"060363000314"</f>
        <v>060363000314</v>
      </c>
    </row>
    <row r="5317" spans="1:9" x14ac:dyDescent="0.25">
      <c r="A5317" t="s">
        <v>4682</v>
      </c>
      <c r="B5317" t="s">
        <v>13</v>
      </c>
      <c r="C5317">
        <v>32</v>
      </c>
      <c r="D5317">
        <v>32</v>
      </c>
      <c r="E5317" t="s">
        <v>17</v>
      </c>
      <c r="F5317">
        <v>22.28</v>
      </c>
      <c r="G5317">
        <v>21.75</v>
      </c>
      <c r="H5317" t="s">
        <v>17</v>
      </c>
      <c r="I5317" t="str">
        <f>"062271010242"</f>
        <v>062271010242</v>
      </c>
    </row>
    <row r="5318" spans="1:9" x14ac:dyDescent="0.25">
      <c r="A5318" t="s">
        <v>4683</v>
      </c>
      <c r="B5318" t="s">
        <v>13</v>
      </c>
      <c r="C5318">
        <v>26.5</v>
      </c>
      <c r="D5318">
        <v>25.5</v>
      </c>
      <c r="E5318" t="s">
        <v>17</v>
      </c>
      <c r="F5318">
        <v>22.79</v>
      </c>
      <c r="G5318">
        <v>23.92</v>
      </c>
      <c r="H5318" t="s">
        <v>17</v>
      </c>
      <c r="I5318" t="str">
        <f>"062211000052"</f>
        <v>062211000052</v>
      </c>
    </row>
    <row r="5319" spans="1:9" x14ac:dyDescent="0.25">
      <c r="A5319" t="s">
        <v>4684</v>
      </c>
      <c r="B5319" t="s">
        <v>13</v>
      </c>
      <c r="C5319">
        <v>40</v>
      </c>
      <c r="D5319">
        <v>44</v>
      </c>
      <c r="E5319" t="s">
        <v>17</v>
      </c>
      <c r="F5319">
        <v>24.63</v>
      </c>
      <c r="G5319">
        <v>17.39</v>
      </c>
      <c r="H5319" t="s">
        <v>17</v>
      </c>
      <c r="I5319" t="str">
        <f>"061605003105"</f>
        <v>061605003105</v>
      </c>
    </row>
    <row r="5320" spans="1:9" x14ac:dyDescent="0.25">
      <c r="A5320" t="s">
        <v>4685</v>
      </c>
      <c r="B5320" t="s">
        <v>13</v>
      </c>
      <c r="C5320">
        <v>25</v>
      </c>
      <c r="D5320">
        <v>21</v>
      </c>
      <c r="E5320" t="s">
        <v>17</v>
      </c>
      <c r="F5320">
        <v>21.24</v>
      </c>
      <c r="G5320">
        <v>24</v>
      </c>
      <c r="H5320" t="s">
        <v>17</v>
      </c>
      <c r="I5320" t="str">
        <f>"063822006446"</f>
        <v>063822006446</v>
      </c>
    </row>
    <row r="5321" spans="1:9" x14ac:dyDescent="0.25">
      <c r="A5321" t="s">
        <v>4686</v>
      </c>
      <c r="B5321" t="s">
        <v>13</v>
      </c>
      <c r="C5321">
        <v>23.5</v>
      </c>
      <c r="D5321">
        <v>26.9</v>
      </c>
      <c r="E5321" t="s">
        <v>17</v>
      </c>
      <c r="F5321">
        <v>30.17</v>
      </c>
      <c r="G5321">
        <v>28.14</v>
      </c>
      <c r="H5321" t="s">
        <v>17</v>
      </c>
      <c r="I5321" t="str">
        <f>"062985010906"</f>
        <v>062985010906</v>
      </c>
    </row>
    <row r="5322" spans="1:9" x14ac:dyDescent="0.25">
      <c r="A5322" t="s">
        <v>4687</v>
      </c>
      <c r="B5322" t="s">
        <v>13</v>
      </c>
      <c r="C5322">
        <v>5</v>
      </c>
      <c r="D5322">
        <v>6</v>
      </c>
      <c r="E5322" t="s">
        <v>17</v>
      </c>
      <c r="F5322">
        <v>26.4</v>
      </c>
      <c r="G5322">
        <v>28.67</v>
      </c>
      <c r="H5322" t="s">
        <v>17</v>
      </c>
      <c r="I5322" t="str">
        <f>"064212006891"</f>
        <v>064212006891</v>
      </c>
    </row>
    <row r="5323" spans="1:9" x14ac:dyDescent="0.25">
      <c r="A5323" t="s">
        <v>4688</v>
      </c>
      <c r="B5323" t="s">
        <v>13</v>
      </c>
      <c r="C5323">
        <v>22</v>
      </c>
      <c r="D5323">
        <v>25</v>
      </c>
      <c r="E5323" t="s">
        <v>17</v>
      </c>
      <c r="F5323">
        <v>26.77</v>
      </c>
      <c r="G5323">
        <v>26.04</v>
      </c>
      <c r="H5323" t="s">
        <v>17</v>
      </c>
      <c r="I5323" t="str">
        <f>"064128009653"</f>
        <v>064128009653</v>
      </c>
    </row>
    <row r="5324" spans="1:9" x14ac:dyDescent="0.25">
      <c r="A5324" t="s">
        <v>4689</v>
      </c>
      <c r="B5324" t="s">
        <v>13</v>
      </c>
      <c r="C5324">
        <v>27</v>
      </c>
      <c r="D5324">
        <v>24.42</v>
      </c>
      <c r="E5324" t="s">
        <v>17</v>
      </c>
      <c r="F5324">
        <v>28.07</v>
      </c>
      <c r="G5324">
        <v>27.6</v>
      </c>
      <c r="H5324" t="s">
        <v>17</v>
      </c>
      <c r="I5324" t="str">
        <f>"063384010040"</f>
        <v>063384010040</v>
      </c>
    </row>
    <row r="5325" spans="1:9" x14ac:dyDescent="0.25">
      <c r="A5325" t="s">
        <v>4690</v>
      </c>
      <c r="B5325" t="s">
        <v>13</v>
      </c>
      <c r="C5325">
        <v>12</v>
      </c>
      <c r="D5325">
        <v>11</v>
      </c>
      <c r="E5325" t="s">
        <v>17</v>
      </c>
      <c r="F5325">
        <v>20.25</v>
      </c>
      <c r="G5325">
        <v>25.18</v>
      </c>
      <c r="H5325" t="s">
        <v>17</v>
      </c>
      <c r="I5325" t="str">
        <f>"060861012425"</f>
        <v>060861012425</v>
      </c>
    </row>
    <row r="5326" spans="1:9" x14ac:dyDescent="0.25">
      <c r="A5326" t="s">
        <v>4691</v>
      </c>
      <c r="B5326" t="s">
        <v>13</v>
      </c>
      <c r="C5326" t="s">
        <v>14</v>
      </c>
      <c r="D5326" t="s">
        <v>17</v>
      </c>
      <c r="E5326" t="s">
        <v>17</v>
      </c>
      <c r="F5326" t="s">
        <v>17</v>
      </c>
      <c r="G5326" t="s">
        <v>17</v>
      </c>
      <c r="H5326" t="s">
        <v>17</v>
      </c>
      <c r="I5326" t="str">
        <f>"061062011542"</f>
        <v>061062011542</v>
      </c>
    </row>
    <row r="5327" spans="1:9" x14ac:dyDescent="0.25">
      <c r="A5327" t="s">
        <v>4692</v>
      </c>
      <c r="B5327" t="s">
        <v>13</v>
      </c>
      <c r="C5327">
        <v>33.31</v>
      </c>
      <c r="D5327">
        <v>34.75</v>
      </c>
      <c r="E5327" t="s">
        <v>17</v>
      </c>
      <c r="F5327">
        <v>19.39</v>
      </c>
      <c r="G5327">
        <v>19.25</v>
      </c>
      <c r="H5327" t="s">
        <v>17</v>
      </c>
      <c r="I5327" t="str">
        <f>"062241002680"</f>
        <v>062241002680</v>
      </c>
    </row>
    <row r="5328" spans="1:9" x14ac:dyDescent="0.25">
      <c r="A5328" t="s">
        <v>4693</v>
      </c>
      <c r="B5328" t="s">
        <v>13</v>
      </c>
      <c r="C5328">
        <v>23</v>
      </c>
      <c r="D5328">
        <v>23</v>
      </c>
      <c r="E5328" t="s">
        <v>17</v>
      </c>
      <c r="F5328">
        <v>24.57</v>
      </c>
      <c r="G5328">
        <v>24.61</v>
      </c>
      <c r="H5328" t="s">
        <v>17</v>
      </c>
      <c r="I5328" t="str">
        <f>"062460008900"</f>
        <v>062460008900</v>
      </c>
    </row>
    <row r="5329" spans="1:9" x14ac:dyDescent="0.25">
      <c r="A5329" t="s">
        <v>4694</v>
      </c>
      <c r="B5329" t="s">
        <v>13</v>
      </c>
      <c r="C5329">
        <v>24</v>
      </c>
      <c r="D5329">
        <v>22.8</v>
      </c>
      <c r="E5329" t="s">
        <v>17</v>
      </c>
      <c r="F5329">
        <v>22.5</v>
      </c>
      <c r="G5329">
        <v>22.76</v>
      </c>
      <c r="H5329" t="s">
        <v>17</v>
      </c>
      <c r="I5329" t="str">
        <f>"062577003860"</f>
        <v>062577003860</v>
      </c>
    </row>
    <row r="5330" spans="1:9" x14ac:dyDescent="0.25">
      <c r="A5330" t="s">
        <v>4695</v>
      </c>
      <c r="B5330" t="s">
        <v>13</v>
      </c>
      <c r="C5330" t="s">
        <v>14</v>
      </c>
      <c r="D5330" t="s">
        <v>17</v>
      </c>
      <c r="E5330" t="s">
        <v>17</v>
      </c>
      <c r="F5330" t="s">
        <v>17</v>
      </c>
      <c r="G5330" t="s">
        <v>17</v>
      </c>
      <c r="H5330" t="s">
        <v>17</v>
      </c>
      <c r="I5330" t="str">
        <f>"060003601091"</f>
        <v>060003601091</v>
      </c>
    </row>
    <row r="5331" spans="1:9" x14ac:dyDescent="0.25">
      <c r="A5331" t="s">
        <v>4696</v>
      </c>
      <c r="B5331" t="s">
        <v>13</v>
      </c>
      <c r="C5331">
        <v>9.5</v>
      </c>
      <c r="D5331" t="s">
        <v>14</v>
      </c>
      <c r="E5331" t="s">
        <v>14</v>
      </c>
      <c r="F5331">
        <v>21.26</v>
      </c>
      <c r="G5331" t="s">
        <v>14</v>
      </c>
      <c r="H5331" t="s">
        <v>14</v>
      </c>
      <c r="I5331" t="str">
        <f>"060003613189"</f>
        <v>060003613189</v>
      </c>
    </row>
    <row r="5332" spans="1:9" x14ac:dyDescent="0.25">
      <c r="A5332" t="s">
        <v>4697</v>
      </c>
      <c r="B5332" t="s">
        <v>13</v>
      </c>
      <c r="C5332">
        <v>27.97</v>
      </c>
      <c r="D5332">
        <v>30.52</v>
      </c>
      <c r="E5332" t="s">
        <v>17</v>
      </c>
      <c r="F5332">
        <v>30.35</v>
      </c>
      <c r="G5332">
        <v>29.26</v>
      </c>
      <c r="H5332" t="s">
        <v>17</v>
      </c>
      <c r="I5332" t="str">
        <f>"061488001836"</f>
        <v>061488001836</v>
      </c>
    </row>
    <row r="5333" spans="1:9" x14ac:dyDescent="0.25">
      <c r="A5333" t="s">
        <v>4698</v>
      </c>
      <c r="B5333" t="s">
        <v>13</v>
      </c>
      <c r="C5333">
        <v>13.97</v>
      </c>
      <c r="D5333">
        <v>15.3</v>
      </c>
      <c r="E5333" t="s">
        <v>17</v>
      </c>
      <c r="F5333">
        <v>25.34</v>
      </c>
      <c r="G5333">
        <v>23.79</v>
      </c>
      <c r="H5333" t="s">
        <v>17</v>
      </c>
      <c r="I5333" t="str">
        <f>"062223002654"</f>
        <v>062223002654</v>
      </c>
    </row>
    <row r="5334" spans="1:9" x14ac:dyDescent="0.25">
      <c r="A5334" t="s">
        <v>4699</v>
      </c>
      <c r="B5334" t="s">
        <v>13</v>
      </c>
      <c r="C5334">
        <v>39.5</v>
      </c>
      <c r="D5334">
        <v>48</v>
      </c>
      <c r="E5334" t="s">
        <v>17</v>
      </c>
      <c r="F5334">
        <v>21.22</v>
      </c>
      <c r="G5334">
        <v>23.88</v>
      </c>
      <c r="H5334" t="s">
        <v>17</v>
      </c>
      <c r="I5334" t="str">
        <f>"060985001063"</f>
        <v>060985001063</v>
      </c>
    </row>
    <row r="5335" spans="1:9" x14ac:dyDescent="0.25">
      <c r="A5335" t="s">
        <v>4700</v>
      </c>
      <c r="B5335" t="s">
        <v>13</v>
      </c>
      <c r="C5335">
        <v>63.17</v>
      </c>
      <c r="D5335">
        <v>71.19</v>
      </c>
      <c r="E5335" t="s">
        <v>17</v>
      </c>
      <c r="F5335">
        <v>24.13</v>
      </c>
      <c r="G5335">
        <v>21.76</v>
      </c>
      <c r="H5335" t="s">
        <v>17</v>
      </c>
      <c r="I5335" t="str">
        <f>"060792000759"</f>
        <v>060792000759</v>
      </c>
    </row>
    <row r="5336" spans="1:9" x14ac:dyDescent="0.25">
      <c r="A5336" t="s">
        <v>4701</v>
      </c>
      <c r="B5336" t="s">
        <v>13</v>
      </c>
      <c r="C5336">
        <v>20</v>
      </c>
      <c r="D5336">
        <v>22</v>
      </c>
      <c r="E5336" t="s">
        <v>17</v>
      </c>
      <c r="F5336">
        <v>28.85</v>
      </c>
      <c r="G5336">
        <v>28.32</v>
      </c>
      <c r="H5336" t="s">
        <v>17</v>
      </c>
      <c r="I5336" t="str">
        <f>"060846007677"</f>
        <v>060846007677</v>
      </c>
    </row>
    <row r="5337" spans="1:9" x14ac:dyDescent="0.25">
      <c r="A5337" t="s">
        <v>4702</v>
      </c>
      <c r="B5337" t="s">
        <v>13</v>
      </c>
      <c r="C5337">
        <v>30.5</v>
      </c>
      <c r="D5337">
        <v>29</v>
      </c>
      <c r="E5337" t="s">
        <v>17</v>
      </c>
      <c r="F5337">
        <v>25.77</v>
      </c>
      <c r="G5337">
        <v>26.48</v>
      </c>
      <c r="H5337" t="s">
        <v>17</v>
      </c>
      <c r="I5337" t="str">
        <f>"061146010237"</f>
        <v>061146010237</v>
      </c>
    </row>
    <row r="5338" spans="1:9" x14ac:dyDescent="0.25">
      <c r="A5338" t="s">
        <v>4703</v>
      </c>
      <c r="B5338" t="s">
        <v>13</v>
      </c>
      <c r="C5338">
        <v>27.31</v>
      </c>
      <c r="D5338">
        <v>26.51</v>
      </c>
      <c r="E5338" t="s">
        <v>17</v>
      </c>
      <c r="F5338">
        <v>25.12</v>
      </c>
      <c r="G5338">
        <v>25.01</v>
      </c>
      <c r="H5338" t="s">
        <v>17</v>
      </c>
      <c r="I5338" t="str">
        <f>"062583003871"</f>
        <v>062583003871</v>
      </c>
    </row>
    <row r="5339" spans="1:9" x14ac:dyDescent="0.25">
      <c r="A5339" t="s">
        <v>4704</v>
      </c>
      <c r="B5339" t="s">
        <v>13</v>
      </c>
      <c r="C5339">
        <v>45.42</v>
      </c>
      <c r="D5339">
        <v>45.06</v>
      </c>
      <c r="E5339" t="s">
        <v>17</v>
      </c>
      <c r="F5339">
        <v>23.38</v>
      </c>
      <c r="G5339">
        <v>24.66</v>
      </c>
      <c r="H5339" t="s">
        <v>17</v>
      </c>
      <c r="I5339" t="str">
        <f>"063432005499"</f>
        <v>063432005499</v>
      </c>
    </row>
    <row r="5340" spans="1:9" x14ac:dyDescent="0.25">
      <c r="A5340" t="s">
        <v>4705</v>
      </c>
      <c r="B5340" t="s">
        <v>13</v>
      </c>
      <c r="C5340">
        <v>3.7</v>
      </c>
      <c r="D5340">
        <v>4.2</v>
      </c>
      <c r="E5340" t="s">
        <v>17</v>
      </c>
      <c r="F5340">
        <v>8.3800000000000008</v>
      </c>
      <c r="G5340">
        <v>6.43</v>
      </c>
      <c r="H5340" t="s">
        <v>17</v>
      </c>
      <c r="I5340" t="str">
        <f>"063583011807"</f>
        <v>063583011807</v>
      </c>
    </row>
    <row r="5341" spans="1:9" x14ac:dyDescent="0.25">
      <c r="A5341" t="s">
        <v>4706</v>
      </c>
      <c r="B5341" t="s">
        <v>13</v>
      </c>
      <c r="C5341">
        <v>3</v>
      </c>
      <c r="D5341">
        <v>3.1</v>
      </c>
      <c r="E5341" t="s">
        <v>17</v>
      </c>
      <c r="F5341">
        <v>18</v>
      </c>
      <c r="G5341">
        <v>19.350000000000001</v>
      </c>
      <c r="H5341" t="s">
        <v>17</v>
      </c>
      <c r="I5341" t="str">
        <f>"062148002569"</f>
        <v>062148002569</v>
      </c>
    </row>
    <row r="5342" spans="1:9" x14ac:dyDescent="0.25">
      <c r="A5342" t="s">
        <v>4707</v>
      </c>
      <c r="B5342" t="s">
        <v>13</v>
      </c>
      <c r="C5342">
        <v>10</v>
      </c>
      <c r="D5342">
        <v>9.01</v>
      </c>
      <c r="E5342" t="s">
        <v>17</v>
      </c>
      <c r="F5342">
        <v>22</v>
      </c>
      <c r="G5342">
        <v>24.53</v>
      </c>
      <c r="H5342" t="s">
        <v>17</v>
      </c>
      <c r="I5342" t="str">
        <f>"062271011619"</f>
        <v>062271011619</v>
      </c>
    </row>
    <row r="5343" spans="1:9" x14ac:dyDescent="0.25">
      <c r="A5343" t="s">
        <v>4708</v>
      </c>
      <c r="B5343" t="s">
        <v>13</v>
      </c>
      <c r="C5343">
        <v>31.5</v>
      </c>
      <c r="D5343">
        <v>34</v>
      </c>
      <c r="E5343" t="s">
        <v>17</v>
      </c>
      <c r="F5343">
        <v>22.48</v>
      </c>
      <c r="G5343">
        <v>20.260000000000002</v>
      </c>
      <c r="H5343" t="s">
        <v>17</v>
      </c>
      <c r="I5343" t="str">
        <f>"063132004849"</f>
        <v>063132004849</v>
      </c>
    </row>
    <row r="5344" spans="1:9" x14ac:dyDescent="0.25">
      <c r="A5344" t="s">
        <v>4708</v>
      </c>
      <c r="B5344" t="s">
        <v>13</v>
      </c>
      <c r="C5344">
        <v>7.36</v>
      </c>
      <c r="D5344">
        <v>8.1300000000000008</v>
      </c>
      <c r="E5344" t="s">
        <v>17</v>
      </c>
      <c r="F5344">
        <v>19.97</v>
      </c>
      <c r="G5344">
        <v>21.03</v>
      </c>
      <c r="H5344" t="s">
        <v>17</v>
      </c>
      <c r="I5344" t="str">
        <f>"062283003491"</f>
        <v>062283003491</v>
      </c>
    </row>
    <row r="5345" spans="1:9" x14ac:dyDescent="0.25">
      <c r="A5345" t="s">
        <v>4708</v>
      </c>
      <c r="B5345" t="s">
        <v>13</v>
      </c>
      <c r="C5345">
        <v>30</v>
      </c>
      <c r="D5345">
        <v>30</v>
      </c>
      <c r="E5345" t="s">
        <v>17</v>
      </c>
      <c r="F5345">
        <v>25.5</v>
      </c>
      <c r="G5345">
        <v>25.43</v>
      </c>
      <c r="H5345" t="s">
        <v>17</v>
      </c>
      <c r="I5345" t="str">
        <f>"060681000618"</f>
        <v>060681000618</v>
      </c>
    </row>
    <row r="5346" spans="1:9" x14ac:dyDescent="0.25">
      <c r="A5346" t="s">
        <v>4709</v>
      </c>
      <c r="B5346" t="s">
        <v>13</v>
      </c>
      <c r="C5346">
        <v>43.51</v>
      </c>
      <c r="D5346">
        <v>43.48</v>
      </c>
      <c r="E5346" t="s">
        <v>17</v>
      </c>
      <c r="F5346">
        <v>28.82</v>
      </c>
      <c r="G5346">
        <v>28.2</v>
      </c>
      <c r="H5346" t="s">
        <v>17</v>
      </c>
      <c r="I5346" t="str">
        <f>"060263000179"</f>
        <v>060263000179</v>
      </c>
    </row>
    <row r="5347" spans="1:9" x14ac:dyDescent="0.25">
      <c r="A5347" t="s">
        <v>4710</v>
      </c>
      <c r="B5347" t="s">
        <v>13</v>
      </c>
      <c r="C5347">
        <v>22.75</v>
      </c>
      <c r="D5347">
        <v>22.75</v>
      </c>
      <c r="E5347" t="s">
        <v>17</v>
      </c>
      <c r="F5347">
        <v>24.31</v>
      </c>
      <c r="G5347">
        <v>21.54</v>
      </c>
      <c r="H5347" t="s">
        <v>17</v>
      </c>
      <c r="I5347" t="str">
        <f>"062825004363"</f>
        <v>062825004363</v>
      </c>
    </row>
    <row r="5348" spans="1:9" x14ac:dyDescent="0.25">
      <c r="A5348" t="s">
        <v>4711</v>
      </c>
      <c r="B5348" t="s">
        <v>13</v>
      </c>
      <c r="C5348">
        <v>25</v>
      </c>
      <c r="D5348">
        <v>28.5</v>
      </c>
      <c r="E5348" t="s">
        <v>17</v>
      </c>
      <c r="F5348">
        <v>24.36</v>
      </c>
      <c r="G5348">
        <v>24.04</v>
      </c>
      <c r="H5348" t="s">
        <v>17</v>
      </c>
      <c r="I5348" t="str">
        <f>"062271003135"</f>
        <v>062271003135</v>
      </c>
    </row>
    <row r="5349" spans="1:9" x14ac:dyDescent="0.25">
      <c r="A5349" t="s">
        <v>4712</v>
      </c>
      <c r="B5349" t="s">
        <v>13</v>
      </c>
      <c r="C5349" t="s">
        <v>14</v>
      </c>
      <c r="D5349">
        <v>15</v>
      </c>
      <c r="E5349" t="s">
        <v>17</v>
      </c>
      <c r="F5349" t="s">
        <v>17</v>
      </c>
      <c r="G5349">
        <v>16.399999999999999</v>
      </c>
      <c r="H5349" t="s">
        <v>17</v>
      </c>
      <c r="I5349" t="str">
        <f>"061623012282"</f>
        <v>061623012282</v>
      </c>
    </row>
    <row r="5350" spans="1:9" x14ac:dyDescent="0.25">
      <c r="A5350" t="s">
        <v>4713</v>
      </c>
      <c r="B5350" t="s">
        <v>13</v>
      </c>
      <c r="C5350">
        <v>13</v>
      </c>
      <c r="D5350">
        <v>12</v>
      </c>
      <c r="E5350" t="s">
        <v>17</v>
      </c>
      <c r="F5350">
        <v>24.85</v>
      </c>
      <c r="G5350">
        <v>23.58</v>
      </c>
      <c r="H5350" t="s">
        <v>17</v>
      </c>
      <c r="I5350" t="str">
        <f>"062157002571"</f>
        <v>062157002571</v>
      </c>
    </row>
    <row r="5351" spans="1:9" x14ac:dyDescent="0.25">
      <c r="A5351" t="s">
        <v>4713</v>
      </c>
      <c r="B5351" t="s">
        <v>13</v>
      </c>
      <c r="C5351">
        <v>8.8000000000000007</v>
      </c>
      <c r="D5351">
        <v>7.8</v>
      </c>
      <c r="E5351" t="s">
        <v>17</v>
      </c>
      <c r="F5351">
        <v>18.86</v>
      </c>
      <c r="G5351">
        <v>19.87</v>
      </c>
      <c r="H5351" t="s">
        <v>17</v>
      </c>
      <c r="I5351" t="str">
        <f>"062154002570"</f>
        <v>062154002570</v>
      </c>
    </row>
    <row r="5352" spans="1:9" x14ac:dyDescent="0.25">
      <c r="A5352" t="s">
        <v>4713</v>
      </c>
      <c r="B5352" t="s">
        <v>13</v>
      </c>
      <c r="C5352">
        <v>30</v>
      </c>
      <c r="D5352">
        <v>28</v>
      </c>
      <c r="E5352" t="s">
        <v>17</v>
      </c>
      <c r="F5352">
        <v>24.67</v>
      </c>
      <c r="G5352">
        <v>25.68</v>
      </c>
      <c r="H5352" t="s">
        <v>17</v>
      </c>
      <c r="I5352" t="str">
        <f>"060558011437"</f>
        <v>060558011437</v>
      </c>
    </row>
    <row r="5353" spans="1:9" x14ac:dyDescent="0.25">
      <c r="A5353" t="s">
        <v>4713</v>
      </c>
      <c r="B5353" t="s">
        <v>13</v>
      </c>
      <c r="C5353">
        <v>35</v>
      </c>
      <c r="D5353">
        <v>35</v>
      </c>
      <c r="E5353" t="s">
        <v>17</v>
      </c>
      <c r="F5353">
        <v>20.94</v>
      </c>
      <c r="G5353">
        <v>20.29</v>
      </c>
      <c r="H5353" t="s">
        <v>17</v>
      </c>
      <c r="I5353" t="str">
        <f>"060861011125"</f>
        <v>060861011125</v>
      </c>
    </row>
    <row r="5354" spans="1:9" x14ac:dyDescent="0.25">
      <c r="A5354" t="s">
        <v>4713</v>
      </c>
      <c r="B5354" t="s">
        <v>13</v>
      </c>
      <c r="C5354">
        <v>28.17</v>
      </c>
      <c r="D5354">
        <v>31.37</v>
      </c>
      <c r="E5354" t="s">
        <v>17</v>
      </c>
      <c r="F5354">
        <v>27.83</v>
      </c>
      <c r="G5354">
        <v>27.77</v>
      </c>
      <c r="H5354" t="s">
        <v>17</v>
      </c>
      <c r="I5354" t="str">
        <f>"063315005147"</f>
        <v>063315005147</v>
      </c>
    </row>
    <row r="5355" spans="1:9" x14ac:dyDescent="0.25">
      <c r="A5355" t="s">
        <v>4713</v>
      </c>
      <c r="B5355" t="s">
        <v>13</v>
      </c>
      <c r="C5355">
        <v>28</v>
      </c>
      <c r="D5355">
        <v>28</v>
      </c>
      <c r="E5355" t="s">
        <v>17</v>
      </c>
      <c r="F5355">
        <v>31.32</v>
      </c>
      <c r="G5355">
        <v>30.25</v>
      </c>
      <c r="H5355" t="s">
        <v>17</v>
      </c>
      <c r="I5355" t="str">
        <f>"064104009005"</f>
        <v>064104009005</v>
      </c>
    </row>
    <row r="5356" spans="1:9" x14ac:dyDescent="0.25">
      <c r="A5356" t="s">
        <v>4713</v>
      </c>
      <c r="B5356" t="s">
        <v>13</v>
      </c>
      <c r="C5356">
        <v>24.05</v>
      </c>
      <c r="D5356">
        <v>25.83</v>
      </c>
      <c r="E5356" t="s">
        <v>17</v>
      </c>
      <c r="F5356">
        <v>28.69</v>
      </c>
      <c r="G5356">
        <v>28.22</v>
      </c>
      <c r="H5356" t="s">
        <v>17</v>
      </c>
      <c r="I5356" t="str">
        <f>"060846011326"</f>
        <v>060846011326</v>
      </c>
    </row>
    <row r="5357" spans="1:9" x14ac:dyDescent="0.25">
      <c r="A5357" t="s">
        <v>4713</v>
      </c>
      <c r="B5357" t="s">
        <v>13</v>
      </c>
      <c r="C5357">
        <v>21</v>
      </c>
      <c r="D5357">
        <v>21</v>
      </c>
      <c r="E5357" t="s">
        <v>17</v>
      </c>
      <c r="F5357">
        <v>27.76</v>
      </c>
      <c r="G5357">
        <v>25.67</v>
      </c>
      <c r="H5357" t="s">
        <v>17</v>
      </c>
      <c r="I5357" t="str">
        <f>"060903010203"</f>
        <v>060903010203</v>
      </c>
    </row>
    <row r="5358" spans="1:9" x14ac:dyDescent="0.25">
      <c r="A5358" t="s">
        <v>4713</v>
      </c>
      <c r="B5358" t="s">
        <v>13</v>
      </c>
      <c r="C5358">
        <v>25.01</v>
      </c>
      <c r="D5358">
        <v>25</v>
      </c>
      <c r="E5358" t="s">
        <v>17</v>
      </c>
      <c r="F5358">
        <v>27.91</v>
      </c>
      <c r="G5358">
        <v>27.24</v>
      </c>
      <c r="H5358" t="s">
        <v>17</v>
      </c>
      <c r="I5358" t="str">
        <f>"061949010495"</f>
        <v>061949010495</v>
      </c>
    </row>
    <row r="5359" spans="1:9" x14ac:dyDescent="0.25">
      <c r="A5359" t="s">
        <v>4714</v>
      </c>
      <c r="B5359" t="s">
        <v>13</v>
      </c>
      <c r="C5359">
        <v>67.05</v>
      </c>
      <c r="D5359">
        <v>69.41</v>
      </c>
      <c r="E5359" t="s">
        <v>17</v>
      </c>
      <c r="F5359">
        <v>26.92</v>
      </c>
      <c r="G5359">
        <v>25.95</v>
      </c>
      <c r="H5359" t="s">
        <v>17</v>
      </c>
      <c r="I5359" t="str">
        <f>"061954007994"</f>
        <v>061954007994</v>
      </c>
    </row>
    <row r="5360" spans="1:9" x14ac:dyDescent="0.25">
      <c r="A5360" t="s">
        <v>4714</v>
      </c>
      <c r="B5360" t="s">
        <v>13</v>
      </c>
      <c r="C5360">
        <v>27</v>
      </c>
      <c r="D5360">
        <v>26.67</v>
      </c>
      <c r="E5360" t="s">
        <v>17</v>
      </c>
      <c r="F5360">
        <v>22.44</v>
      </c>
      <c r="G5360">
        <v>21.3</v>
      </c>
      <c r="H5360" t="s">
        <v>17</v>
      </c>
      <c r="I5360" t="str">
        <f>"060006810542"</f>
        <v>060006810542</v>
      </c>
    </row>
    <row r="5361" spans="1:9" x14ac:dyDescent="0.25">
      <c r="A5361" t="s">
        <v>4714</v>
      </c>
      <c r="B5361" t="s">
        <v>13</v>
      </c>
      <c r="C5361">
        <v>98.35</v>
      </c>
      <c r="D5361">
        <v>95.59</v>
      </c>
      <c r="E5361" t="s">
        <v>17</v>
      </c>
      <c r="F5361">
        <v>22.59</v>
      </c>
      <c r="G5361">
        <v>22.29</v>
      </c>
      <c r="H5361" t="s">
        <v>17</v>
      </c>
      <c r="I5361" t="str">
        <f>"062160002573"</f>
        <v>062160002573</v>
      </c>
    </row>
    <row r="5362" spans="1:9" x14ac:dyDescent="0.25">
      <c r="A5362" t="s">
        <v>4714</v>
      </c>
      <c r="B5362" t="s">
        <v>13</v>
      </c>
      <c r="C5362">
        <v>7</v>
      </c>
      <c r="D5362">
        <v>7</v>
      </c>
      <c r="E5362" t="s">
        <v>17</v>
      </c>
      <c r="F5362">
        <v>8.7100000000000009</v>
      </c>
      <c r="G5362">
        <v>11.71</v>
      </c>
      <c r="H5362" t="s">
        <v>17</v>
      </c>
      <c r="I5362" t="str">
        <f>"060462000425"</f>
        <v>060462000425</v>
      </c>
    </row>
    <row r="5363" spans="1:9" x14ac:dyDescent="0.25">
      <c r="A5363" t="s">
        <v>4714</v>
      </c>
      <c r="B5363" t="s">
        <v>13</v>
      </c>
      <c r="C5363">
        <v>7.7</v>
      </c>
      <c r="D5363">
        <v>6.5</v>
      </c>
      <c r="E5363" t="s">
        <v>17</v>
      </c>
      <c r="F5363">
        <v>17.27</v>
      </c>
      <c r="G5363">
        <v>14.92</v>
      </c>
      <c r="H5363" t="s">
        <v>17</v>
      </c>
      <c r="I5363" t="str">
        <f>"062223002655"</f>
        <v>062223002655</v>
      </c>
    </row>
    <row r="5364" spans="1:9" x14ac:dyDescent="0.25">
      <c r="A5364" t="s">
        <v>4715</v>
      </c>
      <c r="B5364" t="s">
        <v>13</v>
      </c>
      <c r="C5364">
        <v>14.85</v>
      </c>
      <c r="D5364">
        <v>16.100000000000001</v>
      </c>
      <c r="E5364" t="s">
        <v>17</v>
      </c>
      <c r="F5364">
        <v>22.49</v>
      </c>
      <c r="G5364">
        <v>23.42</v>
      </c>
      <c r="H5364" t="s">
        <v>17</v>
      </c>
      <c r="I5364" t="str">
        <f>"063459006645"</f>
        <v>063459006645</v>
      </c>
    </row>
    <row r="5365" spans="1:9" x14ac:dyDescent="0.25">
      <c r="A5365" t="s">
        <v>4716</v>
      </c>
      <c r="B5365" t="s">
        <v>13</v>
      </c>
      <c r="C5365">
        <v>7.53</v>
      </c>
      <c r="D5365">
        <v>8</v>
      </c>
      <c r="E5365" t="s">
        <v>17</v>
      </c>
      <c r="F5365">
        <v>15.27</v>
      </c>
      <c r="G5365">
        <v>15.63</v>
      </c>
      <c r="H5365" t="s">
        <v>17</v>
      </c>
      <c r="I5365" t="str">
        <f>"060004807405"</f>
        <v>060004807405</v>
      </c>
    </row>
    <row r="5366" spans="1:9" x14ac:dyDescent="0.25">
      <c r="A5366" t="s">
        <v>4717</v>
      </c>
      <c r="B5366" t="s">
        <v>13</v>
      </c>
      <c r="C5366">
        <v>28.8</v>
      </c>
      <c r="D5366">
        <v>28.8</v>
      </c>
      <c r="E5366" t="s">
        <v>17</v>
      </c>
      <c r="F5366">
        <v>21.63</v>
      </c>
      <c r="G5366">
        <v>23.33</v>
      </c>
      <c r="H5366" t="s">
        <v>17</v>
      </c>
      <c r="I5366" t="str">
        <f>"062136003169"</f>
        <v>062136003169</v>
      </c>
    </row>
    <row r="5367" spans="1:9" x14ac:dyDescent="0.25">
      <c r="A5367" t="s">
        <v>4718</v>
      </c>
      <c r="B5367" t="s">
        <v>13</v>
      </c>
      <c r="C5367">
        <v>2.1</v>
      </c>
      <c r="D5367">
        <v>1</v>
      </c>
      <c r="E5367" t="s">
        <v>17</v>
      </c>
      <c r="F5367">
        <v>15.71</v>
      </c>
      <c r="G5367">
        <v>40</v>
      </c>
      <c r="H5367" t="s">
        <v>17</v>
      </c>
      <c r="I5367" t="str">
        <f>"062154012693"</f>
        <v>062154012693</v>
      </c>
    </row>
    <row r="5368" spans="1:9" x14ac:dyDescent="0.25">
      <c r="A5368" t="s">
        <v>4719</v>
      </c>
      <c r="B5368" t="s">
        <v>13</v>
      </c>
      <c r="C5368">
        <v>48.31</v>
      </c>
      <c r="D5368">
        <v>43.13</v>
      </c>
      <c r="E5368" t="s">
        <v>17</v>
      </c>
      <c r="F5368">
        <v>25.17</v>
      </c>
      <c r="G5368">
        <v>26.55</v>
      </c>
      <c r="H5368" t="s">
        <v>17</v>
      </c>
      <c r="I5368" t="str">
        <f>"061482012403"</f>
        <v>061482012403</v>
      </c>
    </row>
    <row r="5369" spans="1:9" x14ac:dyDescent="0.25">
      <c r="A5369" t="s">
        <v>4720</v>
      </c>
      <c r="B5369" t="s">
        <v>13</v>
      </c>
      <c r="C5369">
        <v>22.62</v>
      </c>
      <c r="D5369">
        <v>24.2</v>
      </c>
      <c r="E5369" t="s">
        <v>17</v>
      </c>
      <c r="F5369">
        <v>28.29</v>
      </c>
      <c r="G5369">
        <v>25.83</v>
      </c>
      <c r="H5369" t="s">
        <v>17</v>
      </c>
      <c r="I5369" t="str">
        <f>"063462005793"</f>
        <v>063462005793</v>
      </c>
    </row>
    <row r="5370" spans="1:9" x14ac:dyDescent="0.25">
      <c r="A5370" t="s">
        <v>4721</v>
      </c>
      <c r="B5370" t="s">
        <v>13</v>
      </c>
      <c r="C5370">
        <v>36.65</v>
      </c>
      <c r="D5370">
        <v>36.299999999999997</v>
      </c>
      <c r="E5370" t="s">
        <v>17</v>
      </c>
      <c r="F5370">
        <v>15.31</v>
      </c>
      <c r="G5370">
        <v>15.26</v>
      </c>
      <c r="H5370" t="s">
        <v>17</v>
      </c>
      <c r="I5370" t="str">
        <f>"063441005629"</f>
        <v>063441005629</v>
      </c>
    </row>
    <row r="5371" spans="1:9" x14ac:dyDescent="0.25">
      <c r="A5371" t="s">
        <v>4722</v>
      </c>
      <c r="B5371" t="s">
        <v>13</v>
      </c>
      <c r="C5371">
        <v>25.4</v>
      </c>
      <c r="D5371">
        <v>24.4</v>
      </c>
      <c r="E5371" t="s">
        <v>17</v>
      </c>
      <c r="F5371">
        <v>19.88</v>
      </c>
      <c r="G5371">
        <v>20.25</v>
      </c>
      <c r="H5371" t="s">
        <v>17</v>
      </c>
      <c r="I5371" t="str">
        <f>"064032006674"</f>
        <v>064032006674</v>
      </c>
    </row>
    <row r="5372" spans="1:9" x14ac:dyDescent="0.25">
      <c r="A5372" t="s">
        <v>4723</v>
      </c>
      <c r="B5372" t="s">
        <v>13</v>
      </c>
      <c r="C5372">
        <v>19.600000000000001</v>
      </c>
      <c r="D5372">
        <v>13.81</v>
      </c>
      <c r="E5372" t="s">
        <v>17</v>
      </c>
      <c r="F5372">
        <v>17.239999999999998</v>
      </c>
      <c r="G5372">
        <v>19.329999999999998</v>
      </c>
      <c r="H5372" t="s">
        <v>17</v>
      </c>
      <c r="I5372" t="str">
        <f>"062805008676"</f>
        <v>062805008676</v>
      </c>
    </row>
    <row r="5373" spans="1:9" x14ac:dyDescent="0.25">
      <c r="A5373" t="s">
        <v>4724</v>
      </c>
      <c r="B5373" t="s">
        <v>13</v>
      </c>
      <c r="C5373">
        <v>4.2</v>
      </c>
      <c r="D5373">
        <v>7.2</v>
      </c>
      <c r="E5373" t="s">
        <v>17</v>
      </c>
      <c r="F5373">
        <v>11.67</v>
      </c>
      <c r="G5373">
        <v>6.53</v>
      </c>
      <c r="H5373" t="s">
        <v>17</v>
      </c>
      <c r="I5373" t="str">
        <f>"063441007721"</f>
        <v>063441007721</v>
      </c>
    </row>
    <row r="5374" spans="1:9" x14ac:dyDescent="0.25">
      <c r="A5374" t="s">
        <v>4725</v>
      </c>
      <c r="B5374" t="s">
        <v>13</v>
      </c>
      <c r="C5374">
        <v>13</v>
      </c>
      <c r="D5374">
        <v>7</v>
      </c>
      <c r="E5374" t="s">
        <v>14</v>
      </c>
      <c r="F5374">
        <v>21.46</v>
      </c>
      <c r="G5374">
        <v>19.43</v>
      </c>
      <c r="H5374" t="s">
        <v>14</v>
      </c>
      <c r="I5374" t="str">
        <f>"062088012650"</f>
        <v>062088012650</v>
      </c>
    </row>
    <row r="5375" spans="1:9" x14ac:dyDescent="0.25">
      <c r="A5375" t="s">
        <v>4726</v>
      </c>
      <c r="B5375" t="s">
        <v>13</v>
      </c>
      <c r="C5375">
        <v>13.5</v>
      </c>
      <c r="D5375">
        <v>12.23</v>
      </c>
      <c r="E5375" t="s">
        <v>17</v>
      </c>
      <c r="F5375">
        <v>27.85</v>
      </c>
      <c r="G5375">
        <v>27.39</v>
      </c>
      <c r="H5375" t="s">
        <v>17</v>
      </c>
      <c r="I5375" t="str">
        <f>"060132312119"</f>
        <v>060132312119</v>
      </c>
    </row>
    <row r="5376" spans="1:9" x14ac:dyDescent="0.25">
      <c r="A5376" t="s">
        <v>4727</v>
      </c>
      <c r="B5376" t="s">
        <v>13</v>
      </c>
      <c r="C5376">
        <v>33</v>
      </c>
      <c r="D5376">
        <v>32.5</v>
      </c>
      <c r="E5376" t="s">
        <v>17</v>
      </c>
      <c r="F5376">
        <v>23.79</v>
      </c>
      <c r="G5376">
        <v>23.51</v>
      </c>
      <c r="H5376" t="s">
        <v>17</v>
      </c>
      <c r="I5376" t="str">
        <f>"062271003136"</f>
        <v>062271003136</v>
      </c>
    </row>
    <row r="5377" spans="1:9" x14ac:dyDescent="0.25">
      <c r="A5377" t="s">
        <v>4728</v>
      </c>
      <c r="B5377" t="s">
        <v>13</v>
      </c>
      <c r="C5377">
        <v>20</v>
      </c>
      <c r="D5377">
        <v>19</v>
      </c>
      <c r="E5377" t="s">
        <v>17</v>
      </c>
      <c r="F5377">
        <v>24.6</v>
      </c>
      <c r="G5377">
        <v>25.74</v>
      </c>
      <c r="H5377" t="s">
        <v>17</v>
      </c>
      <c r="I5377" t="str">
        <f>"062805010408"</f>
        <v>062805010408</v>
      </c>
    </row>
    <row r="5378" spans="1:9" x14ac:dyDescent="0.25">
      <c r="A5378" t="s">
        <v>4729</v>
      </c>
      <c r="B5378" t="s">
        <v>13</v>
      </c>
      <c r="C5378">
        <v>10.4</v>
      </c>
      <c r="D5378">
        <v>9.6999999999999993</v>
      </c>
      <c r="E5378" t="s">
        <v>17</v>
      </c>
      <c r="F5378">
        <v>21.44</v>
      </c>
      <c r="G5378">
        <v>22.06</v>
      </c>
      <c r="H5378" t="s">
        <v>17</v>
      </c>
      <c r="I5378" t="str">
        <f>"062805010726"</f>
        <v>062805010726</v>
      </c>
    </row>
    <row r="5379" spans="1:9" x14ac:dyDescent="0.25">
      <c r="A5379" t="s">
        <v>4730</v>
      </c>
      <c r="B5379" t="s">
        <v>13</v>
      </c>
      <c r="C5379">
        <v>1.4</v>
      </c>
      <c r="D5379">
        <v>2</v>
      </c>
      <c r="E5379" t="s">
        <v>17</v>
      </c>
      <c r="F5379">
        <v>12.14</v>
      </c>
      <c r="G5379">
        <v>7</v>
      </c>
      <c r="H5379" t="s">
        <v>17</v>
      </c>
      <c r="I5379" t="str">
        <f>"061407008163"</f>
        <v>061407008163</v>
      </c>
    </row>
    <row r="5380" spans="1:9" x14ac:dyDescent="0.25">
      <c r="A5380" t="s">
        <v>4731</v>
      </c>
      <c r="B5380" t="s">
        <v>13</v>
      </c>
      <c r="C5380">
        <v>25.84</v>
      </c>
      <c r="D5380">
        <v>27.48</v>
      </c>
      <c r="E5380" t="s">
        <v>17</v>
      </c>
      <c r="F5380">
        <v>23.03</v>
      </c>
      <c r="G5380">
        <v>20.74</v>
      </c>
      <c r="H5380" t="s">
        <v>17</v>
      </c>
      <c r="I5380" t="str">
        <f>"060006911158"</f>
        <v>060006911158</v>
      </c>
    </row>
    <row r="5381" spans="1:9" x14ac:dyDescent="0.25">
      <c r="A5381" t="s">
        <v>4732</v>
      </c>
      <c r="B5381" t="s">
        <v>13</v>
      </c>
      <c r="C5381">
        <v>31.16</v>
      </c>
      <c r="D5381">
        <v>29.25</v>
      </c>
      <c r="E5381" t="s">
        <v>17</v>
      </c>
      <c r="F5381">
        <v>22.14</v>
      </c>
      <c r="G5381">
        <v>23.35</v>
      </c>
      <c r="H5381" t="s">
        <v>17</v>
      </c>
      <c r="I5381" t="str">
        <f>"063441007841"</f>
        <v>063441007841</v>
      </c>
    </row>
    <row r="5382" spans="1:9" x14ac:dyDescent="0.25">
      <c r="A5382" t="s">
        <v>4733</v>
      </c>
      <c r="B5382" t="s">
        <v>13</v>
      </c>
      <c r="C5382">
        <v>20.12</v>
      </c>
      <c r="D5382">
        <v>20.92</v>
      </c>
      <c r="E5382" t="s">
        <v>17</v>
      </c>
      <c r="F5382">
        <v>17.3</v>
      </c>
      <c r="G5382">
        <v>17.5</v>
      </c>
      <c r="H5382" t="s">
        <v>17</v>
      </c>
      <c r="I5382" t="str">
        <f>"063501005927"</f>
        <v>063501005927</v>
      </c>
    </row>
    <row r="5383" spans="1:9" x14ac:dyDescent="0.25">
      <c r="A5383" t="s">
        <v>4734</v>
      </c>
      <c r="B5383" t="s">
        <v>13</v>
      </c>
      <c r="C5383">
        <v>25</v>
      </c>
      <c r="D5383">
        <v>32</v>
      </c>
      <c r="E5383" t="s">
        <v>17</v>
      </c>
      <c r="F5383">
        <v>24.32</v>
      </c>
      <c r="G5383">
        <v>24</v>
      </c>
      <c r="H5383" t="s">
        <v>17</v>
      </c>
      <c r="I5383" t="str">
        <f>"062271003137"</f>
        <v>062271003137</v>
      </c>
    </row>
    <row r="5384" spans="1:9" x14ac:dyDescent="0.25">
      <c r="A5384" t="s">
        <v>4735</v>
      </c>
      <c r="B5384" t="s">
        <v>13</v>
      </c>
      <c r="C5384">
        <v>29</v>
      </c>
      <c r="D5384">
        <v>30</v>
      </c>
      <c r="E5384" t="s">
        <v>17</v>
      </c>
      <c r="F5384">
        <v>27.86</v>
      </c>
      <c r="G5384">
        <v>27.97</v>
      </c>
      <c r="H5384" t="s">
        <v>17</v>
      </c>
      <c r="I5384" t="str">
        <f>"060001409082"</f>
        <v>060001409082</v>
      </c>
    </row>
    <row r="5385" spans="1:9" x14ac:dyDescent="0.25">
      <c r="A5385" t="s">
        <v>4736</v>
      </c>
      <c r="B5385" t="s">
        <v>13</v>
      </c>
      <c r="C5385">
        <v>36</v>
      </c>
      <c r="D5385">
        <v>37.5</v>
      </c>
      <c r="E5385" t="s">
        <v>17</v>
      </c>
      <c r="F5385">
        <v>23.83</v>
      </c>
      <c r="G5385">
        <v>24.75</v>
      </c>
      <c r="H5385" t="s">
        <v>17</v>
      </c>
      <c r="I5385" t="str">
        <f>"062271003138"</f>
        <v>062271003138</v>
      </c>
    </row>
    <row r="5386" spans="1:9" x14ac:dyDescent="0.25">
      <c r="A5386" t="s">
        <v>4737</v>
      </c>
      <c r="B5386" t="s">
        <v>13</v>
      </c>
      <c r="C5386">
        <v>9.1</v>
      </c>
      <c r="D5386">
        <v>8.9</v>
      </c>
      <c r="E5386" t="s">
        <v>17</v>
      </c>
      <c r="F5386">
        <v>26.81</v>
      </c>
      <c r="G5386">
        <v>18.54</v>
      </c>
      <c r="H5386" t="s">
        <v>17</v>
      </c>
      <c r="I5386" t="str">
        <f>"062409009399"</f>
        <v>062409009399</v>
      </c>
    </row>
    <row r="5387" spans="1:9" x14ac:dyDescent="0.25">
      <c r="A5387" t="s">
        <v>4738</v>
      </c>
      <c r="B5387" t="s">
        <v>13</v>
      </c>
      <c r="C5387">
        <v>30.74</v>
      </c>
      <c r="D5387">
        <v>30.21</v>
      </c>
      <c r="E5387" t="s">
        <v>17</v>
      </c>
      <c r="F5387">
        <v>24.07</v>
      </c>
      <c r="G5387">
        <v>23.83</v>
      </c>
      <c r="H5387" t="s">
        <v>17</v>
      </c>
      <c r="I5387" t="str">
        <f>"060261000157"</f>
        <v>060261000157</v>
      </c>
    </row>
    <row r="5388" spans="1:9" x14ac:dyDescent="0.25">
      <c r="A5388" t="s">
        <v>4739</v>
      </c>
      <c r="B5388" t="s">
        <v>13</v>
      </c>
      <c r="C5388">
        <v>92.01</v>
      </c>
      <c r="D5388">
        <v>95.66</v>
      </c>
      <c r="E5388" t="s">
        <v>17</v>
      </c>
      <c r="F5388">
        <v>21.85</v>
      </c>
      <c r="G5388">
        <v>21.14</v>
      </c>
      <c r="H5388" t="s">
        <v>17</v>
      </c>
      <c r="I5388" t="str">
        <f>"063441005581"</f>
        <v>063441005581</v>
      </c>
    </row>
    <row r="5389" spans="1:9" x14ac:dyDescent="0.25">
      <c r="A5389" t="s">
        <v>4740</v>
      </c>
      <c r="B5389" t="s">
        <v>13</v>
      </c>
      <c r="C5389">
        <v>29.6</v>
      </c>
      <c r="D5389">
        <v>31</v>
      </c>
      <c r="E5389" t="s">
        <v>17</v>
      </c>
      <c r="F5389">
        <v>21.69</v>
      </c>
      <c r="G5389">
        <v>21.65</v>
      </c>
      <c r="H5389" t="s">
        <v>17</v>
      </c>
      <c r="I5389" t="str">
        <f>"062667004047"</f>
        <v>062667004047</v>
      </c>
    </row>
    <row r="5390" spans="1:9" x14ac:dyDescent="0.25">
      <c r="A5390" t="s">
        <v>4741</v>
      </c>
      <c r="B5390" t="s">
        <v>13</v>
      </c>
      <c r="C5390">
        <v>37</v>
      </c>
      <c r="D5390">
        <v>39</v>
      </c>
      <c r="E5390" t="s">
        <v>17</v>
      </c>
      <c r="F5390">
        <v>27.54</v>
      </c>
      <c r="G5390">
        <v>27.64</v>
      </c>
      <c r="H5390" t="s">
        <v>17</v>
      </c>
      <c r="I5390" t="str">
        <f>"060985001058"</f>
        <v>060985001058</v>
      </c>
    </row>
    <row r="5391" spans="1:9" x14ac:dyDescent="0.25">
      <c r="A5391" t="s">
        <v>4742</v>
      </c>
      <c r="B5391" t="s">
        <v>13</v>
      </c>
      <c r="C5391">
        <v>1.34</v>
      </c>
      <c r="D5391">
        <v>1.1299999999999999</v>
      </c>
      <c r="E5391" t="s">
        <v>17</v>
      </c>
      <c r="F5391">
        <v>6.72</v>
      </c>
      <c r="G5391">
        <v>7.96</v>
      </c>
      <c r="H5391" t="s">
        <v>17</v>
      </c>
      <c r="I5391" t="str">
        <f>"060006811680"</f>
        <v>060006811680</v>
      </c>
    </row>
    <row r="5392" spans="1:9" x14ac:dyDescent="0.25">
      <c r="A5392" t="s">
        <v>4743</v>
      </c>
      <c r="B5392" t="s">
        <v>13</v>
      </c>
      <c r="C5392">
        <v>27.15</v>
      </c>
      <c r="D5392">
        <v>26.8</v>
      </c>
      <c r="E5392" t="s">
        <v>17</v>
      </c>
      <c r="F5392">
        <v>25.34</v>
      </c>
      <c r="G5392">
        <v>23.51</v>
      </c>
      <c r="H5392" t="s">
        <v>17</v>
      </c>
      <c r="I5392" t="str">
        <f>"064214011847"</f>
        <v>064214011847</v>
      </c>
    </row>
    <row r="5393" spans="1:9" x14ac:dyDescent="0.25">
      <c r="A5393" t="s">
        <v>4744</v>
      </c>
      <c r="B5393" t="s">
        <v>13</v>
      </c>
      <c r="C5393">
        <v>14</v>
      </c>
      <c r="D5393">
        <v>16.5</v>
      </c>
      <c r="E5393" t="s">
        <v>17</v>
      </c>
      <c r="F5393">
        <v>27</v>
      </c>
      <c r="G5393">
        <v>26.12</v>
      </c>
      <c r="H5393" t="s">
        <v>17</v>
      </c>
      <c r="I5393" t="str">
        <f>"061203001337"</f>
        <v>061203001337</v>
      </c>
    </row>
    <row r="5394" spans="1:9" x14ac:dyDescent="0.25">
      <c r="A5394" t="s">
        <v>4744</v>
      </c>
      <c r="B5394" t="s">
        <v>13</v>
      </c>
      <c r="C5394">
        <v>23</v>
      </c>
      <c r="D5394">
        <v>22</v>
      </c>
      <c r="E5394" t="s">
        <v>17</v>
      </c>
      <c r="F5394">
        <v>25.91</v>
      </c>
      <c r="G5394">
        <v>25.82</v>
      </c>
      <c r="H5394" t="s">
        <v>17</v>
      </c>
      <c r="I5394" t="str">
        <f>"060003204957"</f>
        <v>060003204957</v>
      </c>
    </row>
    <row r="5395" spans="1:9" x14ac:dyDescent="0.25">
      <c r="A5395" t="s">
        <v>4744</v>
      </c>
      <c r="B5395" t="s">
        <v>13</v>
      </c>
      <c r="C5395">
        <v>24</v>
      </c>
      <c r="D5395">
        <v>23.5</v>
      </c>
      <c r="E5395" t="s">
        <v>17</v>
      </c>
      <c r="F5395">
        <v>29.13</v>
      </c>
      <c r="G5395">
        <v>28.3</v>
      </c>
      <c r="H5395" t="s">
        <v>17</v>
      </c>
      <c r="I5395" t="str">
        <f>"060903000913"</f>
        <v>060903000913</v>
      </c>
    </row>
    <row r="5396" spans="1:9" x14ac:dyDescent="0.25">
      <c r="A5396" t="s">
        <v>4744</v>
      </c>
      <c r="B5396" t="s">
        <v>13</v>
      </c>
      <c r="C5396">
        <v>24</v>
      </c>
      <c r="D5396">
        <v>24.5</v>
      </c>
      <c r="E5396" t="s">
        <v>17</v>
      </c>
      <c r="F5396">
        <v>19.96</v>
      </c>
      <c r="G5396">
        <v>20.41</v>
      </c>
      <c r="H5396" t="s">
        <v>17</v>
      </c>
      <c r="I5396" t="str">
        <f>"061455001748"</f>
        <v>061455001748</v>
      </c>
    </row>
    <row r="5397" spans="1:9" x14ac:dyDescent="0.25">
      <c r="A5397" t="s">
        <v>4744</v>
      </c>
      <c r="B5397" t="s">
        <v>13</v>
      </c>
      <c r="C5397">
        <v>27</v>
      </c>
      <c r="D5397">
        <v>26.5</v>
      </c>
      <c r="E5397" t="s">
        <v>17</v>
      </c>
      <c r="F5397">
        <v>17.59</v>
      </c>
      <c r="G5397">
        <v>18.57</v>
      </c>
      <c r="H5397" t="s">
        <v>17</v>
      </c>
      <c r="I5397" t="str">
        <f>"061647002080"</f>
        <v>061647002080</v>
      </c>
    </row>
    <row r="5398" spans="1:9" x14ac:dyDescent="0.25">
      <c r="A5398" t="s">
        <v>4744</v>
      </c>
      <c r="B5398" t="s">
        <v>13</v>
      </c>
      <c r="C5398">
        <v>21</v>
      </c>
      <c r="D5398">
        <v>21.74</v>
      </c>
      <c r="E5398" t="s">
        <v>17</v>
      </c>
      <c r="F5398">
        <v>17.899999999999999</v>
      </c>
      <c r="G5398">
        <v>17.34</v>
      </c>
      <c r="H5398" t="s">
        <v>17</v>
      </c>
      <c r="I5398" t="str">
        <f>"063525005975"</f>
        <v>063525005975</v>
      </c>
    </row>
    <row r="5399" spans="1:9" x14ac:dyDescent="0.25">
      <c r="A5399" t="s">
        <v>4744</v>
      </c>
      <c r="B5399" t="s">
        <v>13</v>
      </c>
      <c r="C5399">
        <v>22.27</v>
      </c>
      <c r="D5399">
        <v>24.25</v>
      </c>
      <c r="E5399" t="s">
        <v>17</v>
      </c>
      <c r="F5399">
        <v>21.64</v>
      </c>
      <c r="G5399">
        <v>19.55</v>
      </c>
      <c r="H5399" t="s">
        <v>17</v>
      </c>
      <c r="I5399" t="str">
        <f>"061980002380"</f>
        <v>061980002380</v>
      </c>
    </row>
    <row r="5400" spans="1:9" x14ac:dyDescent="0.25">
      <c r="A5400" t="s">
        <v>4744</v>
      </c>
      <c r="B5400" t="s">
        <v>13</v>
      </c>
      <c r="C5400">
        <v>14.5</v>
      </c>
      <c r="D5400">
        <v>13</v>
      </c>
      <c r="E5400" t="s">
        <v>17</v>
      </c>
      <c r="F5400">
        <v>27.24</v>
      </c>
      <c r="G5400">
        <v>27.62</v>
      </c>
      <c r="H5400" t="s">
        <v>17</v>
      </c>
      <c r="I5400" t="str">
        <f>"061970002370"</f>
        <v>061970002370</v>
      </c>
    </row>
    <row r="5401" spans="1:9" x14ac:dyDescent="0.25">
      <c r="A5401" t="s">
        <v>4744</v>
      </c>
      <c r="B5401" t="s">
        <v>13</v>
      </c>
      <c r="C5401">
        <v>15</v>
      </c>
      <c r="D5401">
        <v>16</v>
      </c>
      <c r="E5401" t="s">
        <v>17</v>
      </c>
      <c r="F5401">
        <v>18.07</v>
      </c>
      <c r="G5401">
        <v>16.309999999999999</v>
      </c>
      <c r="H5401" t="s">
        <v>17</v>
      </c>
      <c r="I5401" t="str">
        <f>"060962000988"</f>
        <v>060962000988</v>
      </c>
    </row>
    <row r="5402" spans="1:9" x14ac:dyDescent="0.25">
      <c r="A5402" t="s">
        <v>4744</v>
      </c>
      <c r="B5402" t="s">
        <v>13</v>
      </c>
      <c r="C5402">
        <v>24.5</v>
      </c>
      <c r="D5402">
        <v>25</v>
      </c>
      <c r="E5402" t="s">
        <v>17</v>
      </c>
      <c r="F5402">
        <v>31.35</v>
      </c>
      <c r="G5402">
        <v>30.8</v>
      </c>
      <c r="H5402" t="s">
        <v>17</v>
      </c>
      <c r="I5402" t="str">
        <f>"062088009560"</f>
        <v>062088009560</v>
      </c>
    </row>
    <row r="5403" spans="1:9" x14ac:dyDescent="0.25">
      <c r="A5403" t="s">
        <v>4744</v>
      </c>
      <c r="B5403" t="s">
        <v>13</v>
      </c>
      <c r="C5403">
        <v>38</v>
      </c>
      <c r="D5403">
        <v>37.799999999999997</v>
      </c>
      <c r="E5403" t="s">
        <v>17</v>
      </c>
      <c r="F5403">
        <v>29.97</v>
      </c>
      <c r="G5403">
        <v>29.68</v>
      </c>
      <c r="H5403" t="s">
        <v>17</v>
      </c>
      <c r="I5403" t="str">
        <f>"062250002735"</f>
        <v>062250002735</v>
      </c>
    </row>
    <row r="5404" spans="1:9" x14ac:dyDescent="0.25">
      <c r="A5404" t="s">
        <v>4744</v>
      </c>
      <c r="B5404" t="s">
        <v>13</v>
      </c>
      <c r="C5404">
        <v>26</v>
      </c>
      <c r="D5404">
        <v>28</v>
      </c>
      <c r="E5404" t="s">
        <v>17</v>
      </c>
      <c r="F5404">
        <v>29.69</v>
      </c>
      <c r="G5404">
        <v>28.93</v>
      </c>
      <c r="H5404" t="s">
        <v>17</v>
      </c>
      <c r="I5404" t="str">
        <f>"062334003282"</f>
        <v>062334003282</v>
      </c>
    </row>
    <row r="5405" spans="1:9" x14ac:dyDescent="0.25">
      <c r="A5405" t="s">
        <v>4744</v>
      </c>
      <c r="B5405" t="s">
        <v>13</v>
      </c>
      <c r="C5405">
        <v>12</v>
      </c>
      <c r="D5405">
        <v>14</v>
      </c>
      <c r="E5405" t="s">
        <v>17</v>
      </c>
      <c r="F5405">
        <v>24.5</v>
      </c>
      <c r="G5405">
        <v>22</v>
      </c>
      <c r="H5405" t="s">
        <v>17</v>
      </c>
      <c r="I5405" t="str">
        <f>"063684006260"</f>
        <v>063684006260</v>
      </c>
    </row>
    <row r="5406" spans="1:9" x14ac:dyDescent="0.25">
      <c r="A5406" t="s">
        <v>4744</v>
      </c>
      <c r="B5406" t="s">
        <v>13</v>
      </c>
      <c r="C5406">
        <v>11.1</v>
      </c>
      <c r="D5406">
        <v>11.1</v>
      </c>
      <c r="E5406" t="s">
        <v>17</v>
      </c>
      <c r="F5406">
        <v>27.75</v>
      </c>
      <c r="G5406">
        <v>27.03</v>
      </c>
      <c r="H5406" t="s">
        <v>17</v>
      </c>
      <c r="I5406" t="str">
        <f>"064098009004"</f>
        <v>064098009004</v>
      </c>
    </row>
    <row r="5407" spans="1:9" x14ac:dyDescent="0.25">
      <c r="A5407" t="s">
        <v>4744</v>
      </c>
      <c r="B5407" t="s">
        <v>13</v>
      </c>
      <c r="C5407">
        <v>19</v>
      </c>
      <c r="D5407">
        <v>21.5</v>
      </c>
      <c r="E5407" t="s">
        <v>17</v>
      </c>
      <c r="F5407">
        <v>25.11</v>
      </c>
      <c r="G5407">
        <v>22.47</v>
      </c>
      <c r="H5407" t="s">
        <v>17</v>
      </c>
      <c r="I5407" t="str">
        <f>"063132004850"</f>
        <v>063132004850</v>
      </c>
    </row>
    <row r="5408" spans="1:9" x14ac:dyDescent="0.25">
      <c r="A5408" t="s">
        <v>4744</v>
      </c>
      <c r="B5408" t="s">
        <v>13</v>
      </c>
      <c r="C5408">
        <v>17.62</v>
      </c>
      <c r="D5408">
        <v>15.87</v>
      </c>
      <c r="E5408" t="s">
        <v>17</v>
      </c>
      <c r="F5408">
        <v>24.29</v>
      </c>
      <c r="G5408">
        <v>24.26</v>
      </c>
      <c r="H5408" t="s">
        <v>17</v>
      </c>
      <c r="I5408" t="str">
        <f>"063942006563"</f>
        <v>063942006563</v>
      </c>
    </row>
    <row r="5409" spans="1:9" x14ac:dyDescent="0.25">
      <c r="A5409" t="s">
        <v>4744</v>
      </c>
      <c r="B5409" t="s">
        <v>13</v>
      </c>
      <c r="C5409">
        <v>18</v>
      </c>
      <c r="D5409">
        <v>20</v>
      </c>
      <c r="E5409" t="s">
        <v>17</v>
      </c>
      <c r="F5409">
        <v>30.78</v>
      </c>
      <c r="G5409">
        <v>28.55</v>
      </c>
      <c r="H5409" t="s">
        <v>17</v>
      </c>
      <c r="I5409" t="str">
        <f>"062316003533"</f>
        <v>062316003533</v>
      </c>
    </row>
    <row r="5410" spans="1:9" x14ac:dyDescent="0.25">
      <c r="A5410" t="s">
        <v>4744</v>
      </c>
      <c r="B5410" t="s">
        <v>13</v>
      </c>
      <c r="C5410">
        <v>43</v>
      </c>
      <c r="D5410">
        <v>43</v>
      </c>
      <c r="E5410" t="s">
        <v>17</v>
      </c>
      <c r="F5410">
        <v>20</v>
      </c>
      <c r="G5410">
        <v>19.88</v>
      </c>
      <c r="H5410" t="s">
        <v>17</v>
      </c>
      <c r="I5410" t="str">
        <f>"063417005366"</f>
        <v>063417005366</v>
      </c>
    </row>
    <row r="5411" spans="1:9" x14ac:dyDescent="0.25">
      <c r="A5411" t="s">
        <v>4744</v>
      </c>
      <c r="B5411" t="s">
        <v>13</v>
      </c>
      <c r="C5411">
        <v>40.4</v>
      </c>
      <c r="D5411">
        <v>38.5</v>
      </c>
      <c r="E5411" t="s">
        <v>17</v>
      </c>
      <c r="F5411">
        <v>15.77</v>
      </c>
      <c r="G5411">
        <v>16.21</v>
      </c>
      <c r="H5411" t="s">
        <v>17</v>
      </c>
      <c r="I5411" t="str">
        <f>"062847007806"</f>
        <v>062847007806</v>
      </c>
    </row>
    <row r="5412" spans="1:9" x14ac:dyDescent="0.25">
      <c r="A5412" t="s">
        <v>4744</v>
      </c>
      <c r="B5412" t="s">
        <v>13</v>
      </c>
      <c r="C5412">
        <v>26</v>
      </c>
      <c r="D5412">
        <v>27</v>
      </c>
      <c r="E5412" t="s">
        <v>17</v>
      </c>
      <c r="F5412">
        <v>26.65</v>
      </c>
      <c r="G5412">
        <v>25.26</v>
      </c>
      <c r="H5412" t="s">
        <v>17</v>
      </c>
      <c r="I5412" t="str">
        <f>"061288001459"</f>
        <v>061288001459</v>
      </c>
    </row>
    <row r="5413" spans="1:9" x14ac:dyDescent="0.25">
      <c r="A5413" t="s">
        <v>4744</v>
      </c>
      <c r="B5413" t="s">
        <v>13</v>
      </c>
      <c r="C5413">
        <v>28</v>
      </c>
      <c r="D5413">
        <v>27</v>
      </c>
      <c r="E5413" t="s">
        <v>17</v>
      </c>
      <c r="F5413">
        <v>25.07</v>
      </c>
      <c r="G5413">
        <v>25.33</v>
      </c>
      <c r="H5413" t="s">
        <v>17</v>
      </c>
      <c r="I5413" t="str">
        <f>"062805004289"</f>
        <v>062805004289</v>
      </c>
    </row>
    <row r="5414" spans="1:9" x14ac:dyDescent="0.25">
      <c r="A5414" t="s">
        <v>4744</v>
      </c>
      <c r="B5414" t="s">
        <v>13</v>
      </c>
      <c r="C5414">
        <v>15.54</v>
      </c>
      <c r="D5414">
        <v>15.53</v>
      </c>
      <c r="E5414" t="s">
        <v>17</v>
      </c>
      <c r="F5414">
        <v>24.32</v>
      </c>
      <c r="G5414">
        <v>24.92</v>
      </c>
      <c r="H5414" t="s">
        <v>17</v>
      </c>
      <c r="I5414" t="str">
        <f>"062706004083"</f>
        <v>062706004083</v>
      </c>
    </row>
    <row r="5415" spans="1:9" x14ac:dyDescent="0.25">
      <c r="A5415" t="s">
        <v>4744</v>
      </c>
      <c r="B5415" t="s">
        <v>13</v>
      </c>
      <c r="C5415">
        <v>17</v>
      </c>
      <c r="D5415">
        <v>18</v>
      </c>
      <c r="E5415" t="s">
        <v>17</v>
      </c>
      <c r="F5415">
        <v>27.53</v>
      </c>
      <c r="G5415">
        <v>24.17</v>
      </c>
      <c r="H5415" t="s">
        <v>17</v>
      </c>
      <c r="I5415" t="str">
        <f>"063255005042"</f>
        <v>063255005042</v>
      </c>
    </row>
    <row r="5416" spans="1:9" x14ac:dyDescent="0.25">
      <c r="A5416" t="s">
        <v>4744</v>
      </c>
      <c r="B5416" t="s">
        <v>13</v>
      </c>
      <c r="C5416">
        <v>21.45</v>
      </c>
      <c r="D5416">
        <v>20.37</v>
      </c>
      <c r="E5416" t="s">
        <v>17</v>
      </c>
      <c r="F5416">
        <v>21.54</v>
      </c>
      <c r="G5416">
        <v>21.6</v>
      </c>
      <c r="H5416" t="s">
        <v>17</v>
      </c>
      <c r="I5416" t="str">
        <f>"060648000583"</f>
        <v>060648000583</v>
      </c>
    </row>
    <row r="5417" spans="1:9" x14ac:dyDescent="0.25">
      <c r="A5417" t="s">
        <v>4744</v>
      </c>
      <c r="B5417" t="s">
        <v>13</v>
      </c>
      <c r="C5417">
        <v>1</v>
      </c>
      <c r="D5417" t="str">
        <f>"0.50"</f>
        <v>0.50</v>
      </c>
      <c r="E5417" t="s">
        <v>17</v>
      </c>
      <c r="F5417">
        <v>5</v>
      </c>
      <c r="G5417">
        <v>16</v>
      </c>
      <c r="H5417" t="s">
        <v>17</v>
      </c>
      <c r="I5417" t="str">
        <f>"062166002574"</f>
        <v>062166002574</v>
      </c>
    </row>
    <row r="5418" spans="1:9" x14ac:dyDescent="0.25">
      <c r="A5418" t="s">
        <v>4744</v>
      </c>
      <c r="B5418" t="s">
        <v>13</v>
      </c>
      <c r="C5418">
        <v>26.57</v>
      </c>
      <c r="D5418">
        <v>28.5</v>
      </c>
      <c r="E5418" t="s">
        <v>17</v>
      </c>
      <c r="F5418">
        <v>21.72</v>
      </c>
      <c r="G5418">
        <v>20.74</v>
      </c>
      <c r="H5418" t="s">
        <v>17</v>
      </c>
      <c r="I5418" t="str">
        <f>"064347007035"</f>
        <v>064347007035</v>
      </c>
    </row>
    <row r="5419" spans="1:9" x14ac:dyDescent="0.25">
      <c r="A5419" t="s">
        <v>4744</v>
      </c>
      <c r="B5419" t="s">
        <v>13</v>
      </c>
      <c r="C5419">
        <v>18</v>
      </c>
      <c r="D5419">
        <v>18</v>
      </c>
      <c r="E5419" t="s">
        <v>17</v>
      </c>
      <c r="F5419">
        <v>26.22</v>
      </c>
      <c r="G5419">
        <v>26.5</v>
      </c>
      <c r="H5419" t="s">
        <v>17</v>
      </c>
      <c r="I5419" t="str">
        <f>"062187009389"</f>
        <v>062187009389</v>
      </c>
    </row>
    <row r="5420" spans="1:9" x14ac:dyDescent="0.25">
      <c r="A5420" t="s">
        <v>4744</v>
      </c>
      <c r="B5420" t="s">
        <v>13</v>
      </c>
      <c r="C5420">
        <v>17</v>
      </c>
      <c r="D5420">
        <v>17</v>
      </c>
      <c r="E5420" t="s">
        <v>17</v>
      </c>
      <c r="F5420">
        <v>21.35</v>
      </c>
      <c r="G5420">
        <v>21</v>
      </c>
      <c r="H5420" t="s">
        <v>17</v>
      </c>
      <c r="I5420" t="str">
        <f>"063987006614"</f>
        <v>063987006614</v>
      </c>
    </row>
    <row r="5421" spans="1:9" x14ac:dyDescent="0.25">
      <c r="A5421" t="s">
        <v>4744</v>
      </c>
      <c r="B5421" t="s">
        <v>13</v>
      </c>
      <c r="C5421">
        <v>17</v>
      </c>
      <c r="D5421">
        <v>13</v>
      </c>
      <c r="E5421" t="s">
        <v>17</v>
      </c>
      <c r="F5421">
        <v>24.35</v>
      </c>
      <c r="G5421">
        <v>23.69</v>
      </c>
      <c r="H5421" t="s">
        <v>17</v>
      </c>
      <c r="I5421" t="str">
        <f>"063393012359"</f>
        <v>063393012359</v>
      </c>
    </row>
    <row r="5422" spans="1:9" x14ac:dyDescent="0.25">
      <c r="A5422" t="s">
        <v>4744</v>
      </c>
      <c r="B5422" t="s">
        <v>13</v>
      </c>
      <c r="C5422" t="s">
        <v>17</v>
      </c>
      <c r="D5422" t="s">
        <v>17</v>
      </c>
      <c r="E5422" t="s">
        <v>17</v>
      </c>
      <c r="F5422" t="s">
        <v>17</v>
      </c>
      <c r="G5422" t="s">
        <v>17</v>
      </c>
      <c r="H5422" t="s">
        <v>17</v>
      </c>
      <c r="I5422" t="str">
        <f>"061320001501"</f>
        <v>061320001501</v>
      </c>
    </row>
    <row r="5423" spans="1:9" x14ac:dyDescent="0.25">
      <c r="A5423" t="s">
        <v>4744</v>
      </c>
      <c r="B5423" t="s">
        <v>13</v>
      </c>
      <c r="C5423">
        <v>24</v>
      </c>
      <c r="D5423">
        <v>24</v>
      </c>
      <c r="E5423" t="s">
        <v>17</v>
      </c>
      <c r="F5423">
        <v>26.08</v>
      </c>
      <c r="G5423">
        <v>25.25</v>
      </c>
      <c r="H5423" t="s">
        <v>17</v>
      </c>
      <c r="I5423" t="str">
        <f>"060006501239"</f>
        <v>060006501239</v>
      </c>
    </row>
    <row r="5424" spans="1:9" x14ac:dyDescent="0.25">
      <c r="A5424" t="s">
        <v>4744</v>
      </c>
      <c r="B5424" t="s">
        <v>13</v>
      </c>
      <c r="C5424">
        <v>7.8</v>
      </c>
      <c r="D5424">
        <v>8.82</v>
      </c>
      <c r="E5424" t="s">
        <v>17</v>
      </c>
      <c r="F5424">
        <v>28.33</v>
      </c>
      <c r="G5424">
        <v>24.94</v>
      </c>
      <c r="H5424" t="s">
        <v>17</v>
      </c>
      <c r="I5424" t="str">
        <f>"064074006731"</f>
        <v>064074006731</v>
      </c>
    </row>
    <row r="5425" spans="1:9" x14ac:dyDescent="0.25">
      <c r="A5425" t="s">
        <v>4744</v>
      </c>
      <c r="B5425" t="s">
        <v>13</v>
      </c>
      <c r="C5425">
        <v>23</v>
      </c>
      <c r="D5425">
        <v>24</v>
      </c>
      <c r="E5425" t="s">
        <v>17</v>
      </c>
      <c r="F5425">
        <v>29.35</v>
      </c>
      <c r="G5425">
        <v>26.54</v>
      </c>
      <c r="H5425" t="s">
        <v>17</v>
      </c>
      <c r="I5425" t="str">
        <f>"062169002578"</f>
        <v>062169002578</v>
      </c>
    </row>
    <row r="5426" spans="1:9" x14ac:dyDescent="0.25">
      <c r="A5426" t="s">
        <v>4744</v>
      </c>
      <c r="B5426" t="s">
        <v>13</v>
      </c>
      <c r="C5426">
        <v>25.85</v>
      </c>
      <c r="D5426">
        <v>26.35</v>
      </c>
      <c r="E5426" t="s">
        <v>17</v>
      </c>
      <c r="F5426">
        <v>24.56</v>
      </c>
      <c r="G5426">
        <v>24.48</v>
      </c>
      <c r="H5426" t="s">
        <v>17</v>
      </c>
      <c r="I5426" t="str">
        <f>"062361003581"</f>
        <v>062361003581</v>
      </c>
    </row>
    <row r="5427" spans="1:9" x14ac:dyDescent="0.25">
      <c r="A5427" t="s">
        <v>4745</v>
      </c>
      <c r="B5427" t="s">
        <v>13</v>
      </c>
      <c r="C5427">
        <v>112.5</v>
      </c>
      <c r="D5427">
        <v>114.15</v>
      </c>
      <c r="E5427" t="s">
        <v>17</v>
      </c>
      <c r="F5427">
        <v>24.36</v>
      </c>
      <c r="G5427">
        <v>23.82</v>
      </c>
      <c r="H5427" t="s">
        <v>17</v>
      </c>
      <c r="I5427" t="str">
        <f>"062169002579"</f>
        <v>062169002579</v>
      </c>
    </row>
    <row r="5428" spans="1:9" x14ac:dyDescent="0.25">
      <c r="A5428" t="s">
        <v>4745</v>
      </c>
      <c r="B5428" t="s">
        <v>13</v>
      </c>
      <c r="C5428">
        <v>57.11</v>
      </c>
      <c r="D5428">
        <v>61</v>
      </c>
      <c r="E5428" t="s">
        <v>17</v>
      </c>
      <c r="F5428">
        <v>26.18</v>
      </c>
      <c r="G5428">
        <v>24.23</v>
      </c>
      <c r="H5428" t="s">
        <v>17</v>
      </c>
      <c r="I5428" t="str">
        <f>"064214006897"</f>
        <v>064214006897</v>
      </c>
    </row>
    <row r="5429" spans="1:9" x14ac:dyDescent="0.25">
      <c r="A5429" t="s">
        <v>4745</v>
      </c>
      <c r="B5429" t="s">
        <v>13</v>
      </c>
      <c r="C5429">
        <v>90.5</v>
      </c>
      <c r="D5429">
        <v>99.67</v>
      </c>
      <c r="E5429" t="s">
        <v>17</v>
      </c>
      <c r="F5429">
        <v>19.510000000000002</v>
      </c>
      <c r="G5429">
        <v>19.28</v>
      </c>
      <c r="H5429" t="s">
        <v>17</v>
      </c>
      <c r="I5429" t="str">
        <f>"063432011939"</f>
        <v>063432011939</v>
      </c>
    </row>
    <row r="5430" spans="1:9" x14ac:dyDescent="0.25">
      <c r="A5430" t="s">
        <v>4746</v>
      </c>
      <c r="B5430" t="s">
        <v>13</v>
      </c>
      <c r="C5430">
        <v>7.25</v>
      </c>
      <c r="D5430">
        <v>7.1</v>
      </c>
      <c r="E5430" t="s">
        <v>17</v>
      </c>
      <c r="F5430">
        <v>16.14</v>
      </c>
      <c r="G5430">
        <v>14.51</v>
      </c>
      <c r="H5430" t="s">
        <v>17</v>
      </c>
      <c r="I5430" t="str">
        <f>"063468005835"</f>
        <v>063468005835</v>
      </c>
    </row>
    <row r="5431" spans="1:9" x14ac:dyDescent="0.25">
      <c r="A5431" t="s">
        <v>4747</v>
      </c>
      <c r="B5431" t="s">
        <v>13</v>
      </c>
      <c r="C5431">
        <v>2.19</v>
      </c>
      <c r="D5431">
        <v>4.75</v>
      </c>
      <c r="E5431" t="s">
        <v>17</v>
      </c>
      <c r="F5431">
        <v>19.63</v>
      </c>
      <c r="G5431">
        <v>10.53</v>
      </c>
      <c r="H5431" t="s">
        <v>17</v>
      </c>
      <c r="I5431" t="str">
        <f>"061488010264"</f>
        <v>061488010264</v>
      </c>
    </row>
    <row r="5432" spans="1:9" x14ac:dyDescent="0.25">
      <c r="A5432" t="s">
        <v>4748</v>
      </c>
      <c r="B5432" t="s">
        <v>13</v>
      </c>
      <c r="C5432">
        <v>40.76</v>
      </c>
      <c r="D5432">
        <v>43.25</v>
      </c>
      <c r="E5432" t="s">
        <v>17</v>
      </c>
      <c r="F5432">
        <v>15.78</v>
      </c>
      <c r="G5432">
        <v>16.21</v>
      </c>
      <c r="H5432" t="s">
        <v>17</v>
      </c>
      <c r="I5432" t="str">
        <f>"063870006506"</f>
        <v>063870006506</v>
      </c>
    </row>
    <row r="5433" spans="1:9" x14ac:dyDescent="0.25">
      <c r="A5433" t="s">
        <v>4749</v>
      </c>
      <c r="B5433" t="s">
        <v>13</v>
      </c>
      <c r="C5433">
        <v>46.01</v>
      </c>
      <c r="D5433">
        <v>46.8</v>
      </c>
      <c r="E5433" t="s">
        <v>17</v>
      </c>
      <c r="F5433">
        <v>23.19</v>
      </c>
      <c r="G5433">
        <v>22.61</v>
      </c>
      <c r="H5433" t="s">
        <v>17</v>
      </c>
      <c r="I5433" t="str">
        <f>"063570006093"</f>
        <v>063570006093</v>
      </c>
    </row>
    <row r="5434" spans="1:9" x14ac:dyDescent="0.25">
      <c r="A5434" t="s">
        <v>4749</v>
      </c>
      <c r="B5434" t="s">
        <v>13</v>
      </c>
      <c r="C5434">
        <v>44.23</v>
      </c>
      <c r="D5434">
        <v>42.64</v>
      </c>
      <c r="E5434" t="s">
        <v>17</v>
      </c>
      <c r="F5434">
        <v>22.47</v>
      </c>
      <c r="G5434">
        <v>22.54</v>
      </c>
      <c r="H5434" t="s">
        <v>17</v>
      </c>
      <c r="I5434" t="str">
        <f>"060177000049"</f>
        <v>060177000049</v>
      </c>
    </row>
    <row r="5435" spans="1:9" x14ac:dyDescent="0.25">
      <c r="A5435" t="s">
        <v>4749</v>
      </c>
      <c r="B5435" t="s">
        <v>13</v>
      </c>
      <c r="C5435">
        <v>35.21</v>
      </c>
      <c r="D5435">
        <v>35.200000000000003</v>
      </c>
      <c r="E5435" t="s">
        <v>17</v>
      </c>
      <c r="F5435">
        <v>24.42</v>
      </c>
      <c r="G5435">
        <v>24.6</v>
      </c>
      <c r="H5435" t="s">
        <v>17</v>
      </c>
      <c r="I5435" t="str">
        <f>"062825004364"</f>
        <v>062825004364</v>
      </c>
    </row>
    <row r="5436" spans="1:9" x14ac:dyDescent="0.25">
      <c r="A5436" t="s">
        <v>4750</v>
      </c>
      <c r="B5436" t="s">
        <v>13</v>
      </c>
      <c r="C5436">
        <v>2.2999999999999998</v>
      </c>
      <c r="D5436">
        <v>2</v>
      </c>
      <c r="E5436" t="s">
        <v>17</v>
      </c>
      <c r="F5436">
        <v>17.39</v>
      </c>
      <c r="G5436">
        <v>20</v>
      </c>
      <c r="H5436" t="s">
        <v>17</v>
      </c>
      <c r="I5436" t="str">
        <f>"063459011455"</f>
        <v>063459011455</v>
      </c>
    </row>
    <row r="5437" spans="1:9" x14ac:dyDescent="0.25">
      <c r="A5437" t="s">
        <v>4751</v>
      </c>
      <c r="B5437" t="s">
        <v>13</v>
      </c>
      <c r="C5437">
        <v>3</v>
      </c>
      <c r="D5437">
        <v>2.5</v>
      </c>
      <c r="E5437" t="s">
        <v>17</v>
      </c>
      <c r="F5437">
        <v>25</v>
      </c>
      <c r="G5437">
        <v>26.8</v>
      </c>
      <c r="H5437" t="s">
        <v>17</v>
      </c>
      <c r="I5437" t="str">
        <f>"069104310442"</f>
        <v>069104310442</v>
      </c>
    </row>
    <row r="5438" spans="1:9" x14ac:dyDescent="0.25">
      <c r="A5438" t="s">
        <v>4752</v>
      </c>
      <c r="B5438" t="s">
        <v>13</v>
      </c>
      <c r="C5438">
        <v>35.020000000000003</v>
      </c>
      <c r="D5438">
        <v>33.9</v>
      </c>
      <c r="E5438" t="s">
        <v>17</v>
      </c>
      <c r="F5438">
        <v>20.85</v>
      </c>
      <c r="G5438">
        <v>22.01</v>
      </c>
      <c r="H5438" t="s">
        <v>17</v>
      </c>
      <c r="I5438" t="str">
        <f>"064347007036"</f>
        <v>064347007036</v>
      </c>
    </row>
    <row r="5439" spans="1:9" x14ac:dyDescent="0.25">
      <c r="A5439" t="s">
        <v>4753</v>
      </c>
      <c r="B5439" t="s">
        <v>13</v>
      </c>
      <c r="C5439">
        <v>27.8</v>
      </c>
      <c r="D5439">
        <v>29.8</v>
      </c>
      <c r="E5439" t="s">
        <v>17</v>
      </c>
      <c r="F5439">
        <v>24.57</v>
      </c>
      <c r="G5439">
        <v>23.59</v>
      </c>
      <c r="H5439" t="s">
        <v>17</v>
      </c>
      <c r="I5439" t="str">
        <f>"062409003629"</f>
        <v>062409003629</v>
      </c>
    </row>
    <row r="5440" spans="1:9" x14ac:dyDescent="0.25">
      <c r="A5440" t="s">
        <v>4754</v>
      </c>
      <c r="B5440" t="s">
        <v>13</v>
      </c>
      <c r="C5440">
        <v>17.16</v>
      </c>
      <c r="D5440" t="s">
        <v>14</v>
      </c>
      <c r="E5440" t="s">
        <v>14</v>
      </c>
      <c r="F5440">
        <v>26.81</v>
      </c>
      <c r="G5440" t="s">
        <v>14</v>
      </c>
      <c r="H5440" t="s">
        <v>14</v>
      </c>
      <c r="I5440" t="str">
        <f>"062271013173"</f>
        <v>062271013173</v>
      </c>
    </row>
    <row r="5441" spans="1:9" x14ac:dyDescent="0.25">
      <c r="A5441" t="s">
        <v>4755</v>
      </c>
      <c r="B5441" t="s">
        <v>13</v>
      </c>
      <c r="C5441">
        <v>15.5</v>
      </c>
      <c r="D5441" t="s">
        <v>14</v>
      </c>
      <c r="E5441" t="s">
        <v>14</v>
      </c>
      <c r="F5441">
        <v>33.549999999999997</v>
      </c>
      <c r="G5441" t="s">
        <v>14</v>
      </c>
      <c r="H5441" t="s">
        <v>14</v>
      </c>
      <c r="I5441" t="str">
        <f>"062271013203"</f>
        <v>062271013203</v>
      </c>
    </row>
    <row r="5442" spans="1:9" x14ac:dyDescent="0.25">
      <c r="A5442" t="s">
        <v>4756</v>
      </c>
      <c r="B5442" t="s">
        <v>13</v>
      </c>
      <c r="C5442">
        <v>16.16</v>
      </c>
      <c r="D5442" t="s">
        <v>14</v>
      </c>
      <c r="E5442" t="s">
        <v>14</v>
      </c>
      <c r="F5442">
        <v>27.41</v>
      </c>
      <c r="G5442" t="s">
        <v>14</v>
      </c>
      <c r="H5442" t="s">
        <v>14</v>
      </c>
      <c r="I5442" t="str">
        <f>"062271013086"</f>
        <v>062271013086</v>
      </c>
    </row>
    <row r="5443" spans="1:9" x14ac:dyDescent="0.25">
      <c r="A5443" t="s">
        <v>4757</v>
      </c>
      <c r="B5443" t="s">
        <v>13</v>
      </c>
      <c r="C5443">
        <v>1</v>
      </c>
      <c r="D5443">
        <v>1</v>
      </c>
      <c r="E5443" t="s">
        <v>17</v>
      </c>
      <c r="F5443">
        <v>26</v>
      </c>
      <c r="G5443">
        <v>37</v>
      </c>
      <c r="H5443" t="s">
        <v>17</v>
      </c>
      <c r="I5443" t="str">
        <f>"062046002460"</f>
        <v>062046002460</v>
      </c>
    </row>
    <row r="5444" spans="1:9" x14ac:dyDescent="0.25">
      <c r="A5444" t="s">
        <v>4758</v>
      </c>
      <c r="B5444" t="s">
        <v>13</v>
      </c>
      <c r="C5444">
        <v>29.11</v>
      </c>
      <c r="D5444">
        <v>24</v>
      </c>
      <c r="E5444" t="s">
        <v>17</v>
      </c>
      <c r="F5444">
        <v>26</v>
      </c>
      <c r="G5444">
        <v>27.54</v>
      </c>
      <c r="H5444" t="s">
        <v>17</v>
      </c>
      <c r="I5444" t="str">
        <f>"062088002508"</f>
        <v>062088002508</v>
      </c>
    </row>
    <row r="5445" spans="1:9" x14ac:dyDescent="0.25">
      <c r="A5445" t="s">
        <v>4759</v>
      </c>
      <c r="B5445" t="s">
        <v>13</v>
      </c>
      <c r="C5445">
        <v>18</v>
      </c>
      <c r="D5445">
        <v>18</v>
      </c>
      <c r="E5445" t="s">
        <v>17</v>
      </c>
      <c r="F5445">
        <v>28.28</v>
      </c>
      <c r="G5445">
        <v>27.33</v>
      </c>
      <c r="H5445" t="s">
        <v>17</v>
      </c>
      <c r="I5445" t="str">
        <f>"062865004437"</f>
        <v>062865004437</v>
      </c>
    </row>
    <row r="5446" spans="1:9" x14ac:dyDescent="0.25">
      <c r="A5446" t="s">
        <v>4759</v>
      </c>
      <c r="B5446" t="s">
        <v>13</v>
      </c>
      <c r="C5446">
        <v>16.649999999999999</v>
      </c>
      <c r="D5446">
        <v>15.33</v>
      </c>
      <c r="E5446" t="s">
        <v>17</v>
      </c>
      <c r="F5446">
        <v>28.71</v>
      </c>
      <c r="G5446">
        <v>30.59</v>
      </c>
      <c r="H5446" t="s">
        <v>17</v>
      </c>
      <c r="I5446" t="str">
        <f>"063066009616"</f>
        <v>063066009616</v>
      </c>
    </row>
    <row r="5447" spans="1:9" x14ac:dyDescent="0.25">
      <c r="A5447" t="s">
        <v>4759</v>
      </c>
      <c r="B5447" t="s">
        <v>13</v>
      </c>
      <c r="C5447">
        <v>17.760000000000002</v>
      </c>
      <c r="D5447">
        <v>19.420000000000002</v>
      </c>
      <c r="E5447" t="s">
        <v>17</v>
      </c>
      <c r="F5447">
        <v>24.83</v>
      </c>
      <c r="G5447">
        <v>25.95</v>
      </c>
      <c r="H5447" t="s">
        <v>17</v>
      </c>
      <c r="I5447" t="str">
        <f>"063386005304"</f>
        <v>063386005304</v>
      </c>
    </row>
    <row r="5448" spans="1:9" x14ac:dyDescent="0.25">
      <c r="A5448" t="s">
        <v>4759</v>
      </c>
      <c r="B5448" t="s">
        <v>13</v>
      </c>
      <c r="C5448">
        <v>32.380000000000003</v>
      </c>
      <c r="D5448">
        <v>33.79</v>
      </c>
      <c r="E5448" t="s">
        <v>17</v>
      </c>
      <c r="F5448">
        <v>19.7</v>
      </c>
      <c r="G5448">
        <v>19.47</v>
      </c>
      <c r="H5448" t="s">
        <v>17</v>
      </c>
      <c r="I5448" t="str">
        <f>"060231000108"</f>
        <v>060231000108</v>
      </c>
    </row>
    <row r="5449" spans="1:9" x14ac:dyDescent="0.25">
      <c r="A5449" t="s">
        <v>4759</v>
      </c>
      <c r="B5449" t="s">
        <v>13</v>
      </c>
      <c r="C5449">
        <v>27</v>
      </c>
      <c r="D5449">
        <v>29</v>
      </c>
      <c r="E5449" t="s">
        <v>17</v>
      </c>
      <c r="F5449">
        <v>18.52</v>
      </c>
      <c r="G5449">
        <v>16.93</v>
      </c>
      <c r="H5449" t="s">
        <v>17</v>
      </c>
      <c r="I5449" t="str">
        <f>"063432005501"</f>
        <v>063432005501</v>
      </c>
    </row>
    <row r="5450" spans="1:9" x14ac:dyDescent="0.25">
      <c r="A5450" t="s">
        <v>4760</v>
      </c>
      <c r="B5450" t="s">
        <v>13</v>
      </c>
      <c r="C5450">
        <v>30</v>
      </c>
      <c r="D5450">
        <v>34</v>
      </c>
      <c r="E5450" t="s">
        <v>17</v>
      </c>
      <c r="F5450">
        <v>29.23</v>
      </c>
      <c r="G5450">
        <v>28.53</v>
      </c>
      <c r="H5450" t="s">
        <v>17</v>
      </c>
      <c r="I5450" t="str">
        <f>"062316003534"</f>
        <v>062316003534</v>
      </c>
    </row>
    <row r="5451" spans="1:9" x14ac:dyDescent="0.25">
      <c r="A5451" t="s">
        <v>4761</v>
      </c>
      <c r="B5451" t="s">
        <v>13</v>
      </c>
      <c r="C5451">
        <v>26.17</v>
      </c>
      <c r="D5451">
        <v>27.33</v>
      </c>
      <c r="E5451" t="s">
        <v>17</v>
      </c>
      <c r="F5451">
        <v>25.45</v>
      </c>
      <c r="G5451">
        <v>25.91</v>
      </c>
      <c r="H5451" t="s">
        <v>17</v>
      </c>
      <c r="I5451" t="str">
        <f>"062250002736"</f>
        <v>062250002736</v>
      </c>
    </row>
    <row r="5452" spans="1:9" x14ac:dyDescent="0.25">
      <c r="A5452" t="s">
        <v>4762</v>
      </c>
      <c r="B5452" t="s">
        <v>13</v>
      </c>
      <c r="C5452">
        <v>33.5</v>
      </c>
      <c r="D5452">
        <v>33.5</v>
      </c>
      <c r="E5452" t="s">
        <v>17</v>
      </c>
      <c r="F5452">
        <v>16.45</v>
      </c>
      <c r="G5452">
        <v>16.72</v>
      </c>
      <c r="H5452" t="s">
        <v>17</v>
      </c>
      <c r="I5452" t="str">
        <f>"063432005502"</f>
        <v>063432005502</v>
      </c>
    </row>
    <row r="5453" spans="1:9" x14ac:dyDescent="0.25">
      <c r="A5453" t="s">
        <v>4763</v>
      </c>
      <c r="B5453" t="s">
        <v>13</v>
      </c>
      <c r="C5453" t="s">
        <v>17</v>
      </c>
      <c r="D5453" t="s">
        <v>17</v>
      </c>
      <c r="E5453" t="s">
        <v>17</v>
      </c>
      <c r="F5453" t="s">
        <v>17</v>
      </c>
      <c r="G5453" t="s">
        <v>17</v>
      </c>
      <c r="H5453" t="s">
        <v>17</v>
      </c>
      <c r="I5453" t="str">
        <f>"062181011773"</f>
        <v>062181011773</v>
      </c>
    </row>
    <row r="5454" spans="1:9" x14ac:dyDescent="0.25">
      <c r="A5454" t="s">
        <v>4764</v>
      </c>
      <c r="B5454" t="s">
        <v>13</v>
      </c>
      <c r="C5454">
        <v>18</v>
      </c>
      <c r="D5454">
        <v>21</v>
      </c>
      <c r="E5454" t="s">
        <v>17</v>
      </c>
      <c r="F5454">
        <v>25.22</v>
      </c>
      <c r="G5454">
        <v>21.48</v>
      </c>
      <c r="H5454" t="s">
        <v>17</v>
      </c>
      <c r="I5454" t="str">
        <f>"062181002588"</f>
        <v>062181002588</v>
      </c>
    </row>
    <row r="5455" spans="1:9" x14ac:dyDescent="0.25">
      <c r="A5455" t="s">
        <v>4765</v>
      </c>
      <c r="B5455" t="s">
        <v>13</v>
      </c>
      <c r="C5455">
        <v>31.56</v>
      </c>
      <c r="D5455">
        <v>33.67</v>
      </c>
      <c r="E5455" t="s">
        <v>17</v>
      </c>
      <c r="F5455">
        <v>22.72</v>
      </c>
      <c r="G5455">
        <v>21.35</v>
      </c>
      <c r="H5455" t="s">
        <v>17</v>
      </c>
      <c r="I5455" t="str">
        <f>"062181002589"</f>
        <v>062181002589</v>
      </c>
    </row>
    <row r="5456" spans="1:9" x14ac:dyDescent="0.25">
      <c r="A5456" t="s">
        <v>4766</v>
      </c>
      <c r="B5456" t="s">
        <v>13</v>
      </c>
      <c r="C5456" t="s">
        <v>17</v>
      </c>
      <c r="D5456">
        <v>1</v>
      </c>
      <c r="E5456" t="s">
        <v>17</v>
      </c>
      <c r="F5456" t="s">
        <v>17</v>
      </c>
      <c r="G5456">
        <v>9</v>
      </c>
      <c r="H5456" t="s">
        <v>17</v>
      </c>
      <c r="I5456" t="str">
        <f>"062181008319"</f>
        <v>062181008319</v>
      </c>
    </row>
    <row r="5457" spans="1:9" x14ac:dyDescent="0.25">
      <c r="A5457" t="s">
        <v>4767</v>
      </c>
      <c r="B5457" t="s">
        <v>13</v>
      </c>
      <c r="C5457">
        <v>37.54</v>
      </c>
      <c r="D5457">
        <v>40.4</v>
      </c>
      <c r="E5457" t="s">
        <v>17</v>
      </c>
      <c r="F5457">
        <v>26.05</v>
      </c>
      <c r="G5457">
        <v>24.75</v>
      </c>
      <c r="H5457" t="s">
        <v>17</v>
      </c>
      <c r="I5457" t="str">
        <f>"062100002522"</f>
        <v>062100002522</v>
      </c>
    </row>
    <row r="5458" spans="1:9" x14ac:dyDescent="0.25">
      <c r="A5458" t="s">
        <v>4768</v>
      </c>
      <c r="B5458" t="s">
        <v>13</v>
      </c>
      <c r="C5458">
        <v>53.6</v>
      </c>
      <c r="D5458">
        <v>56.6</v>
      </c>
      <c r="E5458" t="s">
        <v>17</v>
      </c>
      <c r="F5458">
        <v>21.75</v>
      </c>
      <c r="G5458">
        <v>21.54</v>
      </c>
      <c r="H5458" t="s">
        <v>17</v>
      </c>
      <c r="I5458" t="str">
        <f>"062409003630"</f>
        <v>062409003630</v>
      </c>
    </row>
    <row r="5459" spans="1:9" x14ac:dyDescent="0.25">
      <c r="A5459" t="s">
        <v>4769</v>
      </c>
      <c r="B5459" t="s">
        <v>13</v>
      </c>
      <c r="C5459">
        <v>25.35</v>
      </c>
      <c r="D5459">
        <v>21</v>
      </c>
      <c r="E5459" t="s">
        <v>17</v>
      </c>
      <c r="F5459">
        <v>22.33</v>
      </c>
      <c r="G5459">
        <v>24.05</v>
      </c>
      <c r="H5459" t="s">
        <v>17</v>
      </c>
      <c r="I5459" t="str">
        <f>"062079002496"</f>
        <v>062079002496</v>
      </c>
    </row>
    <row r="5460" spans="1:9" x14ac:dyDescent="0.25">
      <c r="A5460" t="s">
        <v>4770</v>
      </c>
      <c r="B5460" t="s">
        <v>13</v>
      </c>
      <c r="C5460">
        <v>1</v>
      </c>
      <c r="D5460">
        <v>1</v>
      </c>
      <c r="E5460" t="s">
        <v>17</v>
      </c>
      <c r="F5460">
        <v>8</v>
      </c>
      <c r="G5460">
        <v>11</v>
      </c>
      <c r="H5460" t="s">
        <v>17</v>
      </c>
      <c r="I5460" t="str">
        <f>"062187008420"</f>
        <v>062187008420</v>
      </c>
    </row>
    <row r="5461" spans="1:9" x14ac:dyDescent="0.25">
      <c r="A5461" t="s">
        <v>4771</v>
      </c>
      <c r="B5461" t="s">
        <v>13</v>
      </c>
      <c r="C5461">
        <v>41.01</v>
      </c>
      <c r="D5461">
        <v>45</v>
      </c>
      <c r="E5461" t="s">
        <v>17</v>
      </c>
      <c r="F5461">
        <v>24.29</v>
      </c>
      <c r="G5461">
        <v>23.33</v>
      </c>
      <c r="H5461" t="s">
        <v>17</v>
      </c>
      <c r="I5461" t="str">
        <f>"062187002595"</f>
        <v>062187002595</v>
      </c>
    </row>
    <row r="5462" spans="1:9" x14ac:dyDescent="0.25">
      <c r="A5462" t="s">
        <v>4772</v>
      </c>
      <c r="B5462" t="s">
        <v>13</v>
      </c>
      <c r="C5462">
        <v>32.83</v>
      </c>
      <c r="D5462">
        <v>33.47</v>
      </c>
      <c r="E5462" t="s">
        <v>17</v>
      </c>
      <c r="F5462">
        <v>25.74</v>
      </c>
      <c r="G5462">
        <v>25.96</v>
      </c>
      <c r="H5462" t="s">
        <v>17</v>
      </c>
      <c r="I5462" t="str">
        <f>"062250012117"</f>
        <v>062250012117</v>
      </c>
    </row>
    <row r="5463" spans="1:9" x14ac:dyDescent="0.25">
      <c r="A5463" t="s">
        <v>4773</v>
      </c>
      <c r="B5463" t="s">
        <v>13</v>
      </c>
      <c r="C5463">
        <v>2</v>
      </c>
      <c r="D5463">
        <v>1</v>
      </c>
      <c r="E5463" t="s">
        <v>17</v>
      </c>
      <c r="F5463">
        <v>15</v>
      </c>
      <c r="G5463">
        <v>24</v>
      </c>
      <c r="H5463" t="s">
        <v>17</v>
      </c>
      <c r="I5463" t="str">
        <f>"062190002597"</f>
        <v>062190002597</v>
      </c>
    </row>
    <row r="5464" spans="1:9" x14ac:dyDescent="0.25">
      <c r="A5464" t="s">
        <v>4774</v>
      </c>
      <c r="B5464" t="s">
        <v>13</v>
      </c>
      <c r="C5464">
        <v>11</v>
      </c>
      <c r="D5464">
        <v>11</v>
      </c>
      <c r="E5464" t="s">
        <v>17</v>
      </c>
      <c r="F5464">
        <v>24.73</v>
      </c>
      <c r="G5464">
        <v>24.91</v>
      </c>
      <c r="H5464" t="s">
        <v>17</v>
      </c>
      <c r="I5464" t="str">
        <f>"062949009599"</f>
        <v>062949009599</v>
      </c>
    </row>
    <row r="5465" spans="1:9" x14ac:dyDescent="0.25">
      <c r="A5465" t="s">
        <v>4775</v>
      </c>
      <c r="B5465" t="s">
        <v>13</v>
      </c>
      <c r="C5465">
        <v>15.8</v>
      </c>
      <c r="D5465">
        <v>15.8</v>
      </c>
      <c r="E5465" t="s">
        <v>17</v>
      </c>
      <c r="F5465">
        <v>25.19</v>
      </c>
      <c r="G5465">
        <v>25.76</v>
      </c>
      <c r="H5465" t="s">
        <v>17</v>
      </c>
      <c r="I5465" t="str">
        <f>"061488007588"</f>
        <v>061488007588</v>
      </c>
    </row>
    <row r="5466" spans="1:9" x14ac:dyDescent="0.25">
      <c r="A5466" t="s">
        <v>4776</v>
      </c>
      <c r="B5466" t="s">
        <v>13</v>
      </c>
      <c r="C5466" t="s">
        <v>14</v>
      </c>
      <c r="D5466" t="s">
        <v>14</v>
      </c>
      <c r="E5466" t="s">
        <v>17</v>
      </c>
      <c r="F5466" t="s">
        <v>14</v>
      </c>
      <c r="G5466" t="s">
        <v>14</v>
      </c>
      <c r="H5466" t="s">
        <v>17</v>
      </c>
      <c r="I5466" t="str">
        <f>"063732007474"</f>
        <v>063732007474</v>
      </c>
    </row>
    <row r="5467" spans="1:9" x14ac:dyDescent="0.25">
      <c r="A5467" t="s">
        <v>4777</v>
      </c>
      <c r="B5467" t="s">
        <v>13</v>
      </c>
      <c r="C5467">
        <v>26.5</v>
      </c>
      <c r="D5467">
        <v>25.5</v>
      </c>
      <c r="E5467" t="s">
        <v>17</v>
      </c>
      <c r="F5467">
        <v>20.75</v>
      </c>
      <c r="G5467">
        <v>21.18</v>
      </c>
      <c r="H5467" t="s">
        <v>17</v>
      </c>
      <c r="I5467" t="str">
        <f>"061026001120"</f>
        <v>061026001120</v>
      </c>
    </row>
    <row r="5468" spans="1:9" x14ac:dyDescent="0.25">
      <c r="A5468" t="s">
        <v>4778</v>
      </c>
      <c r="B5468" t="s">
        <v>13</v>
      </c>
      <c r="C5468">
        <v>23</v>
      </c>
      <c r="D5468">
        <v>24</v>
      </c>
      <c r="E5468" t="s">
        <v>17</v>
      </c>
      <c r="F5468">
        <v>30.13</v>
      </c>
      <c r="G5468">
        <v>27.79</v>
      </c>
      <c r="H5468" t="s">
        <v>17</v>
      </c>
      <c r="I5468" t="str">
        <f>"064116006798"</f>
        <v>064116006798</v>
      </c>
    </row>
    <row r="5469" spans="1:9" x14ac:dyDescent="0.25">
      <c r="A5469" t="s">
        <v>4779</v>
      </c>
      <c r="B5469" t="s">
        <v>13</v>
      </c>
      <c r="C5469">
        <v>11.4</v>
      </c>
      <c r="D5469">
        <v>9.1999999999999993</v>
      </c>
      <c r="E5469" t="s">
        <v>17</v>
      </c>
      <c r="F5469">
        <v>14.91</v>
      </c>
      <c r="G5469">
        <v>19.670000000000002</v>
      </c>
      <c r="H5469" t="s">
        <v>17</v>
      </c>
      <c r="I5469" t="str">
        <f>"060606000542"</f>
        <v>060606000542</v>
      </c>
    </row>
    <row r="5470" spans="1:9" x14ac:dyDescent="0.25">
      <c r="A5470" t="s">
        <v>4780</v>
      </c>
      <c r="B5470" t="s">
        <v>13</v>
      </c>
      <c r="C5470">
        <v>32.799999999999997</v>
      </c>
      <c r="D5470">
        <v>40.799999999999997</v>
      </c>
      <c r="E5470" t="s">
        <v>17</v>
      </c>
      <c r="F5470">
        <v>29.76</v>
      </c>
      <c r="G5470">
        <v>24.85</v>
      </c>
      <c r="H5470" t="s">
        <v>17</v>
      </c>
      <c r="I5470" t="str">
        <f>"060002911921"</f>
        <v>060002911921</v>
      </c>
    </row>
    <row r="5471" spans="1:9" x14ac:dyDescent="0.25">
      <c r="A5471" t="s">
        <v>4781</v>
      </c>
      <c r="B5471" t="s">
        <v>13</v>
      </c>
      <c r="C5471">
        <v>64.900000000000006</v>
      </c>
      <c r="D5471">
        <v>51.5</v>
      </c>
      <c r="E5471" t="s">
        <v>17</v>
      </c>
      <c r="F5471">
        <v>22.96</v>
      </c>
      <c r="G5471">
        <v>23.67</v>
      </c>
      <c r="H5471" t="s">
        <v>17</v>
      </c>
      <c r="I5471" t="str">
        <f>"069103010374"</f>
        <v>069103010374</v>
      </c>
    </row>
    <row r="5472" spans="1:9" x14ac:dyDescent="0.25">
      <c r="A5472" t="s">
        <v>4782</v>
      </c>
      <c r="B5472" t="s">
        <v>13</v>
      </c>
      <c r="C5472">
        <v>26.12</v>
      </c>
      <c r="D5472">
        <v>22.05</v>
      </c>
      <c r="E5472" t="s">
        <v>17</v>
      </c>
      <c r="F5472">
        <v>23.35</v>
      </c>
      <c r="G5472">
        <v>26.44</v>
      </c>
      <c r="H5472" t="s">
        <v>17</v>
      </c>
      <c r="I5472" t="str">
        <f>"060837010191"</f>
        <v>060837010191</v>
      </c>
    </row>
    <row r="5473" spans="1:9" x14ac:dyDescent="0.25">
      <c r="A5473" t="s">
        <v>4783</v>
      </c>
      <c r="B5473" t="s">
        <v>13</v>
      </c>
      <c r="C5473" t="s">
        <v>14</v>
      </c>
      <c r="D5473" t="s">
        <v>14</v>
      </c>
      <c r="E5473" t="s">
        <v>14</v>
      </c>
      <c r="F5473" t="s">
        <v>17</v>
      </c>
      <c r="G5473" t="s">
        <v>14</v>
      </c>
      <c r="H5473" t="s">
        <v>14</v>
      </c>
      <c r="I5473" t="str">
        <f>"064256012923"</f>
        <v>064256012923</v>
      </c>
    </row>
    <row r="5474" spans="1:9" x14ac:dyDescent="0.25">
      <c r="A5474" t="s">
        <v>4784</v>
      </c>
      <c r="B5474" t="s">
        <v>13</v>
      </c>
      <c r="C5474">
        <v>37</v>
      </c>
      <c r="D5474">
        <v>36.9</v>
      </c>
      <c r="E5474" t="s">
        <v>17</v>
      </c>
      <c r="F5474">
        <v>22.78</v>
      </c>
      <c r="G5474">
        <v>22.33</v>
      </c>
      <c r="H5474" t="s">
        <v>17</v>
      </c>
      <c r="I5474" t="str">
        <f>"061692002156"</f>
        <v>061692002156</v>
      </c>
    </row>
    <row r="5475" spans="1:9" x14ac:dyDescent="0.25">
      <c r="A5475" t="s">
        <v>4785</v>
      </c>
      <c r="B5475" t="s">
        <v>13</v>
      </c>
      <c r="C5475" t="s">
        <v>17</v>
      </c>
      <c r="D5475" t="s">
        <v>14</v>
      </c>
      <c r="E5475" t="s">
        <v>14</v>
      </c>
      <c r="F5475" t="s">
        <v>17</v>
      </c>
      <c r="G5475" t="s">
        <v>14</v>
      </c>
      <c r="H5475" t="s">
        <v>14</v>
      </c>
      <c r="I5475" t="str">
        <f>"063417013056"</f>
        <v>063417013056</v>
      </c>
    </row>
    <row r="5476" spans="1:9" x14ac:dyDescent="0.25">
      <c r="A5476" t="s">
        <v>4786</v>
      </c>
      <c r="B5476" t="s">
        <v>13</v>
      </c>
      <c r="C5476">
        <v>2</v>
      </c>
      <c r="D5476">
        <v>2</v>
      </c>
      <c r="E5476" t="s">
        <v>17</v>
      </c>
      <c r="F5476">
        <v>13</v>
      </c>
      <c r="G5476">
        <v>15</v>
      </c>
      <c r="H5476" t="s">
        <v>17</v>
      </c>
      <c r="I5476" t="str">
        <f>"062196002609"</f>
        <v>062196002609</v>
      </c>
    </row>
    <row r="5477" spans="1:9" x14ac:dyDescent="0.25">
      <c r="A5477" t="s">
        <v>4787</v>
      </c>
      <c r="B5477" t="s">
        <v>13</v>
      </c>
      <c r="C5477">
        <v>69.900000000000006</v>
      </c>
      <c r="D5477">
        <v>74.400000000000006</v>
      </c>
      <c r="E5477" t="s">
        <v>17</v>
      </c>
      <c r="F5477">
        <v>22.86</v>
      </c>
      <c r="G5477">
        <v>22.49</v>
      </c>
      <c r="H5477" t="s">
        <v>17</v>
      </c>
      <c r="I5477" t="str">
        <f>"060282009516"</f>
        <v>060282009516</v>
      </c>
    </row>
    <row r="5478" spans="1:9" x14ac:dyDescent="0.25">
      <c r="A5478" t="s">
        <v>4788</v>
      </c>
      <c r="B5478" t="s">
        <v>13</v>
      </c>
      <c r="C5478">
        <v>1.9</v>
      </c>
      <c r="D5478">
        <v>1.9</v>
      </c>
      <c r="E5478" t="s">
        <v>17</v>
      </c>
      <c r="F5478">
        <v>8.42</v>
      </c>
      <c r="G5478">
        <v>10</v>
      </c>
      <c r="H5478" t="s">
        <v>17</v>
      </c>
      <c r="I5478" t="str">
        <f>"062205009891"</f>
        <v>062205009891</v>
      </c>
    </row>
    <row r="5479" spans="1:9" x14ac:dyDescent="0.25">
      <c r="A5479" t="s">
        <v>4789</v>
      </c>
      <c r="B5479" t="s">
        <v>13</v>
      </c>
      <c r="C5479">
        <v>12.5</v>
      </c>
      <c r="D5479">
        <v>12.5</v>
      </c>
      <c r="E5479" t="s">
        <v>17</v>
      </c>
      <c r="F5479">
        <v>20.8</v>
      </c>
      <c r="G5479">
        <v>21.44</v>
      </c>
      <c r="H5479" t="s">
        <v>17</v>
      </c>
      <c r="I5479" t="str">
        <f>"063023010431"</f>
        <v>063023010431</v>
      </c>
    </row>
    <row r="5480" spans="1:9" x14ac:dyDescent="0.25">
      <c r="A5480" t="s">
        <v>4790</v>
      </c>
      <c r="B5480" t="s">
        <v>13</v>
      </c>
      <c r="C5480">
        <v>12.44</v>
      </c>
      <c r="D5480">
        <v>12.64</v>
      </c>
      <c r="E5480" t="s">
        <v>17</v>
      </c>
      <c r="F5480">
        <v>22.51</v>
      </c>
      <c r="G5480">
        <v>21.28</v>
      </c>
      <c r="H5480" t="s">
        <v>17</v>
      </c>
      <c r="I5480" t="str">
        <f>"062223002656"</f>
        <v>062223002656</v>
      </c>
    </row>
    <row r="5481" spans="1:9" x14ac:dyDescent="0.25">
      <c r="A5481" t="s">
        <v>4790</v>
      </c>
      <c r="B5481" t="s">
        <v>13</v>
      </c>
      <c r="C5481">
        <v>19</v>
      </c>
      <c r="D5481">
        <v>17</v>
      </c>
      <c r="E5481" t="s">
        <v>17</v>
      </c>
      <c r="F5481">
        <v>20.95</v>
      </c>
      <c r="G5481">
        <v>20.88</v>
      </c>
      <c r="H5481" t="s">
        <v>17</v>
      </c>
      <c r="I5481" t="str">
        <f>"062199002612"</f>
        <v>062199002612</v>
      </c>
    </row>
    <row r="5482" spans="1:9" x14ac:dyDescent="0.25">
      <c r="A5482" t="s">
        <v>4790</v>
      </c>
      <c r="B5482" t="s">
        <v>13</v>
      </c>
      <c r="C5482">
        <v>23.68</v>
      </c>
      <c r="D5482">
        <v>23.83</v>
      </c>
      <c r="E5482" t="s">
        <v>17</v>
      </c>
      <c r="F5482">
        <v>27.03</v>
      </c>
      <c r="G5482">
        <v>26.9</v>
      </c>
      <c r="H5482" t="s">
        <v>17</v>
      </c>
      <c r="I5482" t="str">
        <f>"061392001593"</f>
        <v>061392001593</v>
      </c>
    </row>
    <row r="5483" spans="1:9" x14ac:dyDescent="0.25">
      <c r="A5483" t="s">
        <v>4790</v>
      </c>
      <c r="B5483" t="s">
        <v>13</v>
      </c>
      <c r="C5483">
        <v>28.15</v>
      </c>
      <c r="D5483">
        <v>25.5</v>
      </c>
      <c r="E5483" t="s">
        <v>17</v>
      </c>
      <c r="F5483">
        <v>25.83</v>
      </c>
      <c r="G5483">
        <v>28.27</v>
      </c>
      <c r="H5483" t="s">
        <v>17</v>
      </c>
      <c r="I5483" t="str">
        <f>"061350009817"</f>
        <v>061350009817</v>
      </c>
    </row>
    <row r="5484" spans="1:9" x14ac:dyDescent="0.25">
      <c r="A5484" t="s">
        <v>4790</v>
      </c>
      <c r="B5484" t="s">
        <v>13</v>
      </c>
      <c r="C5484">
        <v>28</v>
      </c>
      <c r="D5484">
        <v>31.5</v>
      </c>
      <c r="E5484" t="s">
        <v>17</v>
      </c>
      <c r="F5484">
        <v>22.43</v>
      </c>
      <c r="G5484">
        <v>20.51</v>
      </c>
      <c r="H5484" t="s">
        <v>17</v>
      </c>
      <c r="I5484" t="str">
        <f>"060774009341"</f>
        <v>060774009341</v>
      </c>
    </row>
    <row r="5485" spans="1:9" x14ac:dyDescent="0.25">
      <c r="A5485" t="s">
        <v>4790</v>
      </c>
      <c r="B5485" t="s">
        <v>13</v>
      </c>
      <c r="C5485">
        <v>46.25</v>
      </c>
      <c r="D5485">
        <v>45.73</v>
      </c>
      <c r="E5485" t="s">
        <v>17</v>
      </c>
      <c r="F5485">
        <v>24.32</v>
      </c>
      <c r="G5485">
        <v>24.47</v>
      </c>
      <c r="H5485" t="s">
        <v>17</v>
      </c>
      <c r="I5485" t="str">
        <f>"063513011880"</f>
        <v>063513011880</v>
      </c>
    </row>
    <row r="5486" spans="1:9" x14ac:dyDescent="0.25">
      <c r="A5486" t="s">
        <v>4791</v>
      </c>
      <c r="B5486" t="s">
        <v>13</v>
      </c>
      <c r="C5486">
        <v>46.25</v>
      </c>
      <c r="D5486">
        <v>48.63</v>
      </c>
      <c r="E5486" t="s">
        <v>17</v>
      </c>
      <c r="F5486">
        <v>24.89</v>
      </c>
      <c r="G5486">
        <v>24.9</v>
      </c>
      <c r="H5486" t="s">
        <v>17</v>
      </c>
      <c r="I5486" t="str">
        <f>"062583003877"</f>
        <v>062583003877</v>
      </c>
    </row>
    <row r="5487" spans="1:9" x14ac:dyDescent="0.25">
      <c r="A5487" t="s">
        <v>4791</v>
      </c>
      <c r="B5487" t="s">
        <v>13</v>
      </c>
      <c r="C5487">
        <v>22.25</v>
      </c>
      <c r="D5487">
        <v>22.1</v>
      </c>
      <c r="E5487" t="s">
        <v>17</v>
      </c>
      <c r="F5487">
        <v>23.73</v>
      </c>
      <c r="G5487">
        <v>23.53</v>
      </c>
      <c r="H5487" t="s">
        <v>17</v>
      </c>
      <c r="I5487" t="str">
        <f>"062205002615"</f>
        <v>062205002615</v>
      </c>
    </row>
    <row r="5488" spans="1:9" x14ac:dyDescent="0.25">
      <c r="A5488" t="s">
        <v>4792</v>
      </c>
      <c r="B5488" t="s">
        <v>13</v>
      </c>
      <c r="C5488">
        <v>10</v>
      </c>
      <c r="D5488">
        <v>10</v>
      </c>
      <c r="E5488" t="s">
        <v>17</v>
      </c>
      <c r="F5488">
        <v>17.399999999999999</v>
      </c>
      <c r="G5488">
        <v>17.5</v>
      </c>
      <c r="H5488" t="s">
        <v>17</v>
      </c>
      <c r="I5488" t="str">
        <f>"060285000213"</f>
        <v>060285000213</v>
      </c>
    </row>
    <row r="5489" spans="1:9" x14ac:dyDescent="0.25">
      <c r="A5489" t="s">
        <v>4793</v>
      </c>
      <c r="B5489" t="s">
        <v>13</v>
      </c>
      <c r="C5489">
        <v>21.87</v>
      </c>
      <c r="D5489">
        <v>21.52</v>
      </c>
      <c r="E5489" t="s">
        <v>17</v>
      </c>
      <c r="F5489">
        <v>21.58</v>
      </c>
      <c r="G5489">
        <v>22.58</v>
      </c>
      <c r="H5489" t="s">
        <v>17</v>
      </c>
      <c r="I5489" t="str">
        <f>"062205002614"</f>
        <v>062205002614</v>
      </c>
    </row>
    <row r="5490" spans="1:9" x14ac:dyDescent="0.25">
      <c r="A5490" t="s">
        <v>4793</v>
      </c>
      <c r="B5490" t="s">
        <v>13</v>
      </c>
      <c r="C5490">
        <v>29</v>
      </c>
      <c r="D5490">
        <v>29</v>
      </c>
      <c r="E5490" t="s">
        <v>17</v>
      </c>
      <c r="F5490">
        <v>25.55</v>
      </c>
      <c r="G5490">
        <v>24.72</v>
      </c>
      <c r="H5490" t="s">
        <v>17</v>
      </c>
      <c r="I5490" t="str">
        <f>"063987009647"</f>
        <v>063987009647</v>
      </c>
    </row>
    <row r="5491" spans="1:9" x14ac:dyDescent="0.25">
      <c r="A5491" t="s">
        <v>4794</v>
      </c>
      <c r="B5491" t="s">
        <v>13</v>
      </c>
      <c r="C5491">
        <v>76.180000000000007</v>
      </c>
      <c r="D5491">
        <v>81.13</v>
      </c>
      <c r="E5491" t="s">
        <v>17</v>
      </c>
      <c r="F5491">
        <v>23.76</v>
      </c>
      <c r="G5491">
        <v>23.78</v>
      </c>
      <c r="H5491" t="s">
        <v>17</v>
      </c>
      <c r="I5491" t="str">
        <f>"062211002630"</f>
        <v>062211002630</v>
      </c>
    </row>
    <row r="5492" spans="1:9" x14ac:dyDescent="0.25">
      <c r="A5492" t="s">
        <v>4795</v>
      </c>
      <c r="B5492" t="s">
        <v>13</v>
      </c>
      <c r="C5492">
        <v>46.53</v>
      </c>
      <c r="D5492">
        <v>45.53</v>
      </c>
      <c r="E5492" t="s">
        <v>17</v>
      </c>
      <c r="F5492">
        <v>23.4</v>
      </c>
      <c r="G5492">
        <v>20.45</v>
      </c>
      <c r="H5492" t="s">
        <v>17</v>
      </c>
      <c r="I5492" t="str">
        <f>"060015110736"</f>
        <v>060015110736</v>
      </c>
    </row>
    <row r="5493" spans="1:9" x14ac:dyDescent="0.25">
      <c r="A5493" t="s">
        <v>4796</v>
      </c>
      <c r="B5493" t="s">
        <v>13</v>
      </c>
      <c r="C5493">
        <v>22.3</v>
      </c>
      <c r="D5493">
        <v>14.19</v>
      </c>
      <c r="E5493" t="s">
        <v>17</v>
      </c>
      <c r="F5493">
        <v>14.8</v>
      </c>
      <c r="G5493">
        <v>13.46</v>
      </c>
      <c r="H5493" t="s">
        <v>17</v>
      </c>
      <c r="I5493" t="str">
        <f>"060134412554"</f>
        <v>060134412554</v>
      </c>
    </row>
    <row r="5494" spans="1:9" x14ac:dyDescent="0.25">
      <c r="A5494" t="s">
        <v>4797</v>
      </c>
      <c r="B5494" t="s">
        <v>13</v>
      </c>
      <c r="C5494">
        <v>44.57</v>
      </c>
      <c r="D5494">
        <v>47.1</v>
      </c>
      <c r="E5494" t="s">
        <v>17</v>
      </c>
      <c r="F5494">
        <v>25.04</v>
      </c>
      <c r="G5494">
        <v>24.42</v>
      </c>
      <c r="H5494" t="s">
        <v>17</v>
      </c>
      <c r="I5494" t="str">
        <f>"062466003700"</f>
        <v>062466003700</v>
      </c>
    </row>
    <row r="5495" spans="1:9" x14ac:dyDescent="0.25">
      <c r="A5495" t="s">
        <v>4798</v>
      </c>
      <c r="B5495" t="s">
        <v>13</v>
      </c>
      <c r="C5495">
        <v>33</v>
      </c>
      <c r="D5495">
        <v>34</v>
      </c>
      <c r="E5495" t="s">
        <v>17</v>
      </c>
      <c r="F5495">
        <v>25.09</v>
      </c>
      <c r="G5495">
        <v>23.74</v>
      </c>
      <c r="H5495" t="s">
        <v>17</v>
      </c>
      <c r="I5495" t="str">
        <f>"062217002639"</f>
        <v>062217002639</v>
      </c>
    </row>
    <row r="5496" spans="1:9" x14ac:dyDescent="0.25">
      <c r="A5496" t="s">
        <v>4799</v>
      </c>
      <c r="B5496" t="s">
        <v>13</v>
      </c>
      <c r="C5496" t="s">
        <v>17</v>
      </c>
      <c r="D5496" t="s">
        <v>14</v>
      </c>
      <c r="E5496" t="s">
        <v>14</v>
      </c>
      <c r="F5496" t="s">
        <v>17</v>
      </c>
      <c r="G5496" t="s">
        <v>14</v>
      </c>
      <c r="H5496" t="s">
        <v>14</v>
      </c>
      <c r="I5496" t="str">
        <f>"062217013575"</f>
        <v>062217013575</v>
      </c>
    </row>
    <row r="5497" spans="1:9" x14ac:dyDescent="0.25">
      <c r="A5497" t="s">
        <v>4800</v>
      </c>
      <c r="B5497" t="s">
        <v>13</v>
      </c>
      <c r="C5497">
        <v>16.75</v>
      </c>
      <c r="D5497">
        <v>17</v>
      </c>
      <c r="E5497" t="s">
        <v>17</v>
      </c>
      <c r="F5497">
        <v>18.39</v>
      </c>
      <c r="G5497">
        <v>19.71</v>
      </c>
      <c r="H5497" t="s">
        <v>17</v>
      </c>
      <c r="I5497" t="str">
        <f>"063036008941"</f>
        <v>063036008941</v>
      </c>
    </row>
    <row r="5498" spans="1:9" x14ac:dyDescent="0.25">
      <c r="A5498" t="s">
        <v>4801</v>
      </c>
      <c r="B5498" t="s">
        <v>13</v>
      </c>
      <c r="C5498">
        <v>2</v>
      </c>
      <c r="D5498">
        <v>1</v>
      </c>
      <c r="E5498" t="s">
        <v>17</v>
      </c>
      <c r="F5498">
        <v>17</v>
      </c>
      <c r="G5498">
        <v>18</v>
      </c>
      <c r="H5498" t="s">
        <v>17</v>
      </c>
      <c r="I5498" t="str">
        <f>"069101410510"</f>
        <v>069101410510</v>
      </c>
    </row>
    <row r="5499" spans="1:9" x14ac:dyDescent="0.25">
      <c r="A5499" t="s">
        <v>4802</v>
      </c>
      <c r="B5499" t="s">
        <v>13</v>
      </c>
      <c r="C5499">
        <v>11.5</v>
      </c>
      <c r="D5499">
        <v>13.2</v>
      </c>
      <c r="E5499" t="s">
        <v>17</v>
      </c>
      <c r="F5499">
        <v>23.22</v>
      </c>
      <c r="G5499">
        <v>19.39</v>
      </c>
      <c r="H5499" t="s">
        <v>17</v>
      </c>
      <c r="I5499" t="str">
        <f>"062244002692"</f>
        <v>062244002692</v>
      </c>
    </row>
    <row r="5500" spans="1:9" x14ac:dyDescent="0.25">
      <c r="A5500" t="s">
        <v>4803</v>
      </c>
      <c r="B5500" t="s">
        <v>13</v>
      </c>
      <c r="C5500" t="s">
        <v>17</v>
      </c>
      <c r="D5500" t="s">
        <v>17</v>
      </c>
      <c r="E5500" t="s">
        <v>17</v>
      </c>
      <c r="F5500" t="s">
        <v>17</v>
      </c>
      <c r="G5500" t="s">
        <v>17</v>
      </c>
      <c r="H5500" t="s">
        <v>17</v>
      </c>
      <c r="I5500" t="str">
        <f>"062244011596"</f>
        <v>062244011596</v>
      </c>
    </row>
    <row r="5501" spans="1:9" x14ac:dyDescent="0.25">
      <c r="A5501" t="s">
        <v>4804</v>
      </c>
      <c r="B5501" t="s">
        <v>13</v>
      </c>
      <c r="C5501">
        <v>24.48</v>
      </c>
      <c r="D5501">
        <v>25.1</v>
      </c>
      <c r="E5501" t="s">
        <v>17</v>
      </c>
      <c r="F5501">
        <v>23</v>
      </c>
      <c r="G5501">
        <v>23.94</v>
      </c>
      <c r="H5501" t="s">
        <v>17</v>
      </c>
      <c r="I5501" t="str">
        <f>"060261000158"</f>
        <v>060261000158</v>
      </c>
    </row>
    <row r="5502" spans="1:9" x14ac:dyDescent="0.25">
      <c r="A5502" t="s">
        <v>4805</v>
      </c>
      <c r="B5502" t="s">
        <v>13</v>
      </c>
      <c r="C5502">
        <v>95.85</v>
      </c>
      <c r="D5502">
        <v>96.64</v>
      </c>
      <c r="E5502" t="s">
        <v>17</v>
      </c>
      <c r="F5502">
        <v>27.38</v>
      </c>
      <c r="G5502">
        <v>28.36</v>
      </c>
      <c r="H5502" t="s">
        <v>17</v>
      </c>
      <c r="I5502" t="str">
        <f>"060263000180"</f>
        <v>060263000180</v>
      </c>
    </row>
    <row r="5503" spans="1:9" x14ac:dyDescent="0.25">
      <c r="A5503" t="s">
        <v>4806</v>
      </c>
      <c r="B5503" t="s">
        <v>13</v>
      </c>
      <c r="C5503">
        <v>21.43</v>
      </c>
      <c r="D5503">
        <v>17.350000000000001</v>
      </c>
      <c r="E5503" t="s">
        <v>17</v>
      </c>
      <c r="F5503">
        <v>22.4</v>
      </c>
      <c r="G5503">
        <v>23.46</v>
      </c>
      <c r="H5503" t="s">
        <v>17</v>
      </c>
      <c r="I5503" t="str">
        <f>"062223002657"</f>
        <v>062223002657</v>
      </c>
    </row>
    <row r="5504" spans="1:9" x14ac:dyDescent="0.25">
      <c r="A5504" t="s">
        <v>4807</v>
      </c>
      <c r="B5504" t="s">
        <v>13</v>
      </c>
      <c r="C5504">
        <v>16</v>
      </c>
      <c r="D5504">
        <v>14</v>
      </c>
      <c r="E5504" t="s">
        <v>17</v>
      </c>
      <c r="F5504">
        <v>18.809999999999999</v>
      </c>
      <c r="G5504">
        <v>21.57</v>
      </c>
      <c r="H5504" t="s">
        <v>17</v>
      </c>
      <c r="I5504" t="str">
        <f>"062271003141"</f>
        <v>062271003141</v>
      </c>
    </row>
    <row r="5505" spans="1:9" x14ac:dyDescent="0.25">
      <c r="A5505" t="s">
        <v>4808</v>
      </c>
      <c r="B5505" t="s">
        <v>13</v>
      </c>
      <c r="C5505">
        <v>21</v>
      </c>
      <c r="D5505">
        <v>24</v>
      </c>
      <c r="E5505" t="s">
        <v>17</v>
      </c>
      <c r="F5505">
        <v>23.48</v>
      </c>
      <c r="G5505">
        <v>21.33</v>
      </c>
      <c r="H5505" t="s">
        <v>17</v>
      </c>
      <c r="I5505" t="str">
        <f>"062271003142"</f>
        <v>062271003142</v>
      </c>
    </row>
    <row r="5506" spans="1:9" x14ac:dyDescent="0.25">
      <c r="A5506" t="s">
        <v>4809</v>
      </c>
      <c r="B5506" t="s">
        <v>13</v>
      </c>
      <c r="C5506" t="str">
        <f>"0.33"</f>
        <v>0.33</v>
      </c>
      <c r="D5506" t="str">
        <f>"0.50"</f>
        <v>0.50</v>
      </c>
      <c r="E5506" t="s">
        <v>17</v>
      </c>
      <c r="F5506">
        <v>54.55</v>
      </c>
      <c r="G5506">
        <v>38</v>
      </c>
      <c r="H5506" t="s">
        <v>17</v>
      </c>
      <c r="I5506" t="str">
        <f>"062475003707"</f>
        <v>062475003707</v>
      </c>
    </row>
    <row r="5507" spans="1:9" x14ac:dyDescent="0.25">
      <c r="A5507" t="s">
        <v>4810</v>
      </c>
      <c r="B5507" t="s">
        <v>13</v>
      </c>
      <c r="C5507">
        <v>20.5</v>
      </c>
      <c r="D5507">
        <v>18.5</v>
      </c>
      <c r="E5507" t="s">
        <v>17</v>
      </c>
      <c r="F5507">
        <v>25.17</v>
      </c>
      <c r="G5507">
        <v>28.05</v>
      </c>
      <c r="H5507" t="s">
        <v>17</v>
      </c>
      <c r="I5507" t="str">
        <f>"061392009136"</f>
        <v>061392009136</v>
      </c>
    </row>
    <row r="5508" spans="1:9" x14ac:dyDescent="0.25">
      <c r="A5508" t="s">
        <v>4811</v>
      </c>
      <c r="B5508" t="s">
        <v>13</v>
      </c>
      <c r="C5508" t="str">
        <f>"0.50"</f>
        <v>0.50</v>
      </c>
      <c r="D5508" t="str">
        <f>"0.50"</f>
        <v>0.50</v>
      </c>
      <c r="E5508" t="s">
        <v>17</v>
      </c>
      <c r="F5508">
        <v>10</v>
      </c>
      <c r="G5508">
        <v>14</v>
      </c>
      <c r="H5508" t="s">
        <v>17</v>
      </c>
      <c r="I5508" t="str">
        <f>"063680503059"</f>
        <v>063680503059</v>
      </c>
    </row>
    <row r="5509" spans="1:9" x14ac:dyDescent="0.25">
      <c r="A5509" t="s">
        <v>4812</v>
      </c>
      <c r="B5509" t="s">
        <v>13</v>
      </c>
      <c r="C5509">
        <v>86.6</v>
      </c>
      <c r="D5509">
        <v>81</v>
      </c>
      <c r="E5509" t="s">
        <v>17</v>
      </c>
      <c r="F5509">
        <v>23.94</v>
      </c>
      <c r="G5509">
        <v>25</v>
      </c>
      <c r="H5509" t="s">
        <v>17</v>
      </c>
      <c r="I5509" t="str">
        <f>"062223002658"</f>
        <v>062223002658</v>
      </c>
    </row>
    <row r="5510" spans="1:9" x14ac:dyDescent="0.25">
      <c r="A5510" t="s">
        <v>4813</v>
      </c>
      <c r="B5510" t="s">
        <v>13</v>
      </c>
      <c r="C5510">
        <v>35.71</v>
      </c>
      <c r="D5510">
        <v>36.299999999999997</v>
      </c>
      <c r="E5510" t="s">
        <v>17</v>
      </c>
      <c r="F5510">
        <v>24.03</v>
      </c>
      <c r="G5510">
        <v>23.99</v>
      </c>
      <c r="H5510" t="s">
        <v>17</v>
      </c>
      <c r="I5510" t="str">
        <f>"062223002663"</f>
        <v>062223002663</v>
      </c>
    </row>
    <row r="5511" spans="1:9" x14ac:dyDescent="0.25">
      <c r="A5511" t="s">
        <v>4814</v>
      </c>
      <c r="B5511" t="s">
        <v>13</v>
      </c>
      <c r="C5511">
        <v>38.51</v>
      </c>
      <c r="D5511">
        <v>37.799999999999997</v>
      </c>
      <c r="E5511" t="s">
        <v>17</v>
      </c>
      <c r="F5511">
        <v>18.05</v>
      </c>
      <c r="G5511">
        <v>16.59</v>
      </c>
      <c r="H5511" t="s">
        <v>17</v>
      </c>
      <c r="I5511" t="str">
        <f>"063432005503"</f>
        <v>063432005503</v>
      </c>
    </row>
    <row r="5512" spans="1:9" x14ac:dyDescent="0.25">
      <c r="A5512" t="s">
        <v>4815</v>
      </c>
      <c r="B5512" t="s">
        <v>13</v>
      </c>
      <c r="C5512">
        <v>24</v>
      </c>
      <c r="D5512">
        <v>22</v>
      </c>
      <c r="E5512" t="s">
        <v>17</v>
      </c>
      <c r="F5512">
        <v>22.04</v>
      </c>
      <c r="G5512">
        <v>22</v>
      </c>
      <c r="H5512" t="s">
        <v>17</v>
      </c>
      <c r="I5512" t="str">
        <f>"062271003143"</f>
        <v>062271003143</v>
      </c>
    </row>
    <row r="5513" spans="1:9" x14ac:dyDescent="0.25">
      <c r="A5513" t="s">
        <v>4816</v>
      </c>
      <c r="B5513" t="s">
        <v>13</v>
      </c>
      <c r="C5513">
        <v>33.44</v>
      </c>
      <c r="D5513">
        <v>32.93</v>
      </c>
      <c r="E5513" t="s">
        <v>17</v>
      </c>
      <c r="F5513">
        <v>24.82</v>
      </c>
      <c r="G5513">
        <v>24.99</v>
      </c>
      <c r="H5513" t="s">
        <v>17</v>
      </c>
      <c r="I5513" t="str">
        <f>"062223011356"</f>
        <v>062223011356</v>
      </c>
    </row>
    <row r="5514" spans="1:9" x14ac:dyDescent="0.25">
      <c r="A5514" t="s">
        <v>4817</v>
      </c>
      <c r="B5514" t="s">
        <v>13</v>
      </c>
      <c r="C5514">
        <v>6</v>
      </c>
      <c r="D5514">
        <v>6</v>
      </c>
      <c r="E5514" t="s">
        <v>17</v>
      </c>
      <c r="F5514">
        <v>19.829999999999998</v>
      </c>
      <c r="G5514">
        <v>13.83</v>
      </c>
      <c r="H5514" t="s">
        <v>17</v>
      </c>
      <c r="I5514" t="str">
        <f>"062232002671"</f>
        <v>062232002671</v>
      </c>
    </row>
    <row r="5515" spans="1:9" x14ac:dyDescent="0.25">
      <c r="A5515" t="s">
        <v>4818</v>
      </c>
      <c r="B5515" t="s">
        <v>13</v>
      </c>
      <c r="C5515" t="s">
        <v>14</v>
      </c>
      <c r="D5515" t="s">
        <v>14</v>
      </c>
      <c r="E5515" t="s">
        <v>17</v>
      </c>
      <c r="F5515" t="s">
        <v>14</v>
      </c>
      <c r="G5515" t="s">
        <v>14</v>
      </c>
      <c r="H5515" t="s">
        <v>17</v>
      </c>
      <c r="I5515" t="str">
        <f>"062994004676"</f>
        <v>062994004676</v>
      </c>
    </row>
    <row r="5516" spans="1:9" x14ac:dyDescent="0.25">
      <c r="A5516" t="s">
        <v>4819</v>
      </c>
      <c r="B5516" t="s">
        <v>13</v>
      </c>
      <c r="C5516">
        <v>18</v>
      </c>
      <c r="D5516">
        <v>20.25</v>
      </c>
      <c r="E5516" t="s">
        <v>17</v>
      </c>
      <c r="F5516">
        <v>27.22</v>
      </c>
      <c r="G5516">
        <v>26.72</v>
      </c>
      <c r="H5516" t="s">
        <v>17</v>
      </c>
      <c r="I5516" t="str">
        <f>"062025002436"</f>
        <v>062025002436</v>
      </c>
    </row>
    <row r="5517" spans="1:9" x14ac:dyDescent="0.25">
      <c r="A5517" t="s">
        <v>4820</v>
      </c>
      <c r="B5517" t="s">
        <v>13</v>
      </c>
      <c r="C5517">
        <v>19</v>
      </c>
      <c r="D5517">
        <v>18</v>
      </c>
      <c r="E5517" t="s">
        <v>17</v>
      </c>
      <c r="F5517">
        <v>22.32</v>
      </c>
      <c r="G5517">
        <v>23.67</v>
      </c>
      <c r="H5517" t="s">
        <v>17</v>
      </c>
      <c r="I5517" t="str">
        <f>"063432005504"</f>
        <v>063432005504</v>
      </c>
    </row>
    <row r="5518" spans="1:9" x14ac:dyDescent="0.25">
      <c r="A5518" t="s">
        <v>4821</v>
      </c>
      <c r="B5518" t="s">
        <v>13</v>
      </c>
      <c r="C5518">
        <v>13.5</v>
      </c>
      <c r="D5518">
        <v>12.5</v>
      </c>
      <c r="E5518" t="s">
        <v>17</v>
      </c>
      <c r="F5518">
        <v>20.96</v>
      </c>
      <c r="G5518">
        <v>26.56</v>
      </c>
      <c r="H5518" t="s">
        <v>17</v>
      </c>
      <c r="I5518" t="str">
        <f>"062235002673"</f>
        <v>062235002673</v>
      </c>
    </row>
    <row r="5519" spans="1:9" x14ac:dyDescent="0.25">
      <c r="A5519" t="s">
        <v>4822</v>
      </c>
      <c r="B5519" t="s">
        <v>13</v>
      </c>
      <c r="C5519">
        <v>7</v>
      </c>
      <c r="D5519">
        <v>8</v>
      </c>
      <c r="E5519" t="s">
        <v>17</v>
      </c>
      <c r="F5519">
        <v>16.43</v>
      </c>
      <c r="G5519">
        <v>16.63</v>
      </c>
      <c r="H5519" t="s">
        <v>17</v>
      </c>
      <c r="I5519" t="str">
        <f>"062409003631"</f>
        <v>062409003631</v>
      </c>
    </row>
    <row r="5520" spans="1:9" x14ac:dyDescent="0.25">
      <c r="A5520" t="s">
        <v>4823</v>
      </c>
      <c r="B5520" t="s">
        <v>13</v>
      </c>
      <c r="C5520">
        <v>24.9</v>
      </c>
      <c r="D5520">
        <v>23.9</v>
      </c>
      <c r="E5520" t="s">
        <v>17</v>
      </c>
      <c r="F5520">
        <v>18.23</v>
      </c>
      <c r="G5520">
        <v>18.579999999999998</v>
      </c>
      <c r="H5520" t="s">
        <v>17</v>
      </c>
      <c r="I5520" t="str">
        <f>"062772004187"</f>
        <v>062772004187</v>
      </c>
    </row>
    <row r="5521" spans="1:9" x14ac:dyDescent="0.25">
      <c r="A5521" t="s">
        <v>4823</v>
      </c>
      <c r="B5521" t="s">
        <v>13</v>
      </c>
      <c r="C5521">
        <v>25</v>
      </c>
      <c r="D5521">
        <v>22.2</v>
      </c>
      <c r="E5521" t="s">
        <v>17</v>
      </c>
      <c r="F5521">
        <v>20.32</v>
      </c>
      <c r="G5521">
        <v>22.21</v>
      </c>
      <c r="H5521" t="s">
        <v>17</v>
      </c>
      <c r="I5521" t="str">
        <f>"060861000866"</f>
        <v>060861000866</v>
      </c>
    </row>
    <row r="5522" spans="1:9" x14ac:dyDescent="0.25">
      <c r="A5522" t="s">
        <v>4824</v>
      </c>
      <c r="B5522" t="s">
        <v>13</v>
      </c>
      <c r="C5522">
        <v>7</v>
      </c>
      <c r="D5522">
        <v>7.4</v>
      </c>
      <c r="E5522" t="s">
        <v>17</v>
      </c>
      <c r="F5522">
        <v>1.43</v>
      </c>
      <c r="G5522">
        <v>2.84</v>
      </c>
      <c r="H5522" t="s">
        <v>17</v>
      </c>
      <c r="I5522" t="str">
        <f>"060837010469"</f>
        <v>060837010469</v>
      </c>
    </row>
    <row r="5523" spans="1:9" x14ac:dyDescent="0.25">
      <c r="A5523" t="s">
        <v>4825</v>
      </c>
      <c r="B5523" t="s">
        <v>13</v>
      </c>
      <c r="C5523">
        <v>2</v>
      </c>
      <c r="D5523" t="str">
        <f>"0.50"</f>
        <v>0.50</v>
      </c>
      <c r="E5523" t="s">
        <v>14</v>
      </c>
      <c r="F5523">
        <v>27</v>
      </c>
      <c r="G5523">
        <v>54</v>
      </c>
      <c r="H5523" t="s">
        <v>14</v>
      </c>
      <c r="I5523" t="str">
        <f>"062187012847"</f>
        <v>062187012847</v>
      </c>
    </row>
    <row r="5524" spans="1:9" x14ac:dyDescent="0.25">
      <c r="A5524" t="s">
        <v>4826</v>
      </c>
      <c r="B5524" t="s">
        <v>13</v>
      </c>
      <c r="C5524">
        <v>18</v>
      </c>
      <c r="D5524">
        <v>18</v>
      </c>
      <c r="E5524" t="s">
        <v>17</v>
      </c>
      <c r="F5524">
        <v>30.22</v>
      </c>
      <c r="G5524">
        <v>30.61</v>
      </c>
      <c r="H5524" t="s">
        <v>17</v>
      </c>
      <c r="I5524" t="str">
        <f>"063756006359"</f>
        <v>063756006359</v>
      </c>
    </row>
    <row r="5525" spans="1:9" x14ac:dyDescent="0.25">
      <c r="A5525" t="s">
        <v>4826</v>
      </c>
      <c r="B5525" t="s">
        <v>13</v>
      </c>
      <c r="C5525">
        <v>36</v>
      </c>
      <c r="D5525">
        <v>38</v>
      </c>
      <c r="E5525" t="s">
        <v>17</v>
      </c>
      <c r="F5525">
        <v>24.67</v>
      </c>
      <c r="G5525">
        <v>23.63</v>
      </c>
      <c r="H5525" t="s">
        <v>17</v>
      </c>
      <c r="I5525" t="str">
        <f>"062271003144"</f>
        <v>062271003144</v>
      </c>
    </row>
    <row r="5526" spans="1:9" x14ac:dyDescent="0.25">
      <c r="A5526" t="s">
        <v>4826</v>
      </c>
      <c r="B5526" t="s">
        <v>13</v>
      </c>
      <c r="C5526">
        <v>17.100000000000001</v>
      </c>
      <c r="D5526">
        <v>17.670000000000002</v>
      </c>
      <c r="E5526" t="s">
        <v>17</v>
      </c>
      <c r="F5526">
        <v>31.64</v>
      </c>
      <c r="G5526">
        <v>30.56</v>
      </c>
      <c r="H5526" t="s">
        <v>17</v>
      </c>
      <c r="I5526" t="str">
        <f>"064015006642"</f>
        <v>064015006642</v>
      </c>
    </row>
    <row r="5527" spans="1:9" x14ac:dyDescent="0.25">
      <c r="A5527" t="s">
        <v>4826</v>
      </c>
      <c r="B5527" t="s">
        <v>13</v>
      </c>
      <c r="C5527">
        <v>17</v>
      </c>
      <c r="D5527">
        <v>17.8</v>
      </c>
      <c r="E5527" t="s">
        <v>17</v>
      </c>
      <c r="F5527">
        <v>21.94</v>
      </c>
      <c r="G5527">
        <v>20.34</v>
      </c>
      <c r="H5527" t="s">
        <v>17</v>
      </c>
      <c r="I5527" t="str">
        <f>"064098006755"</f>
        <v>064098006755</v>
      </c>
    </row>
    <row r="5528" spans="1:9" x14ac:dyDescent="0.25">
      <c r="A5528" t="s">
        <v>4826</v>
      </c>
      <c r="B5528" t="s">
        <v>13</v>
      </c>
      <c r="C5528">
        <v>21</v>
      </c>
      <c r="D5528">
        <v>23</v>
      </c>
      <c r="E5528" t="s">
        <v>17</v>
      </c>
      <c r="F5528">
        <v>29.38</v>
      </c>
      <c r="G5528">
        <v>25.83</v>
      </c>
      <c r="H5528" t="s">
        <v>17</v>
      </c>
      <c r="I5528" t="str">
        <f>"063393005323"</f>
        <v>063393005323</v>
      </c>
    </row>
    <row r="5529" spans="1:9" x14ac:dyDescent="0.25">
      <c r="A5529" t="s">
        <v>4826</v>
      </c>
      <c r="B5529" t="s">
        <v>13</v>
      </c>
      <c r="C5529">
        <v>26.7</v>
      </c>
      <c r="D5529">
        <v>26.9</v>
      </c>
      <c r="E5529" t="s">
        <v>17</v>
      </c>
      <c r="F5529">
        <v>23.82</v>
      </c>
      <c r="G5529">
        <v>23.87</v>
      </c>
      <c r="H5529" t="s">
        <v>17</v>
      </c>
      <c r="I5529" t="str">
        <f>"060591008455"</f>
        <v>060591008455</v>
      </c>
    </row>
    <row r="5530" spans="1:9" x14ac:dyDescent="0.25">
      <c r="A5530" t="s">
        <v>4827</v>
      </c>
      <c r="B5530" t="s">
        <v>13</v>
      </c>
      <c r="C5530">
        <v>16.61</v>
      </c>
      <c r="D5530">
        <v>16.690000000000001</v>
      </c>
      <c r="E5530" t="s">
        <v>17</v>
      </c>
      <c r="F5530">
        <v>27.03</v>
      </c>
      <c r="G5530">
        <v>21.75</v>
      </c>
      <c r="H5530" t="s">
        <v>17</v>
      </c>
      <c r="I5530" t="str">
        <f>"064074006732"</f>
        <v>064074006732</v>
      </c>
    </row>
    <row r="5531" spans="1:9" x14ac:dyDescent="0.25">
      <c r="A5531" t="s">
        <v>4828</v>
      </c>
      <c r="B5531" t="s">
        <v>13</v>
      </c>
      <c r="C5531" t="s">
        <v>17</v>
      </c>
      <c r="D5531" t="s">
        <v>14</v>
      </c>
      <c r="E5531" t="s">
        <v>14</v>
      </c>
      <c r="F5531" t="s">
        <v>17</v>
      </c>
      <c r="G5531" t="s">
        <v>14</v>
      </c>
      <c r="H5531" t="s">
        <v>14</v>
      </c>
      <c r="I5531" t="str">
        <f>"062832013259"</f>
        <v>062832013259</v>
      </c>
    </row>
    <row r="5532" spans="1:9" x14ac:dyDescent="0.25">
      <c r="A5532" t="s">
        <v>4829</v>
      </c>
      <c r="B5532" t="s">
        <v>13</v>
      </c>
      <c r="C5532">
        <v>42.6</v>
      </c>
      <c r="D5532">
        <v>42.8</v>
      </c>
      <c r="E5532" t="s">
        <v>17</v>
      </c>
      <c r="F5532">
        <v>25.38</v>
      </c>
      <c r="G5532">
        <v>25.37</v>
      </c>
      <c r="H5532" t="s">
        <v>17</v>
      </c>
      <c r="I5532" t="str">
        <f>"060243000135"</f>
        <v>060243000135</v>
      </c>
    </row>
    <row r="5533" spans="1:9" x14ac:dyDescent="0.25">
      <c r="A5533" t="s">
        <v>4830</v>
      </c>
      <c r="B5533" t="s">
        <v>13</v>
      </c>
      <c r="C5533">
        <v>17.399999999999999</v>
      </c>
      <c r="D5533">
        <v>16.3</v>
      </c>
      <c r="E5533" t="s">
        <v>17</v>
      </c>
      <c r="F5533">
        <v>28.39</v>
      </c>
      <c r="G5533">
        <v>27.67</v>
      </c>
      <c r="H5533" t="s">
        <v>17</v>
      </c>
      <c r="I5533" t="str">
        <f>"063386005305"</f>
        <v>063386005305</v>
      </c>
    </row>
    <row r="5534" spans="1:9" x14ac:dyDescent="0.25">
      <c r="A5534" t="s">
        <v>4831</v>
      </c>
      <c r="B5534" t="s">
        <v>13</v>
      </c>
      <c r="C5534">
        <v>38</v>
      </c>
      <c r="D5534">
        <v>36.5</v>
      </c>
      <c r="E5534" t="s">
        <v>17</v>
      </c>
      <c r="F5534">
        <v>25.05</v>
      </c>
      <c r="G5534">
        <v>26.08</v>
      </c>
      <c r="H5534" t="s">
        <v>17</v>
      </c>
      <c r="I5534" t="str">
        <f>"062271003145"</f>
        <v>062271003145</v>
      </c>
    </row>
    <row r="5535" spans="1:9" x14ac:dyDescent="0.25">
      <c r="A5535" t="s">
        <v>4832</v>
      </c>
      <c r="B5535" t="s">
        <v>13</v>
      </c>
      <c r="C5535">
        <v>12</v>
      </c>
      <c r="D5535">
        <v>12</v>
      </c>
      <c r="E5535" t="s">
        <v>17</v>
      </c>
      <c r="F5535">
        <v>27.08</v>
      </c>
      <c r="G5535">
        <v>26.33</v>
      </c>
      <c r="H5535" t="s">
        <v>17</v>
      </c>
      <c r="I5535" t="str">
        <f>"062490003718"</f>
        <v>062490003718</v>
      </c>
    </row>
    <row r="5536" spans="1:9" x14ac:dyDescent="0.25">
      <c r="A5536" t="s">
        <v>4833</v>
      </c>
      <c r="B5536" t="s">
        <v>13</v>
      </c>
      <c r="C5536">
        <v>22</v>
      </c>
      <c r="D5536">
        <v>24</v>
      </c>
      <c r="E5536" t="s">
        <v>17</v>
      </c>
      <c r="F5536">
        <v>30.64</v>
      </c>
      <c r="G5536">
        <v>29.83</v>
      </c>
      <c r="H5536" t="s">
        <v>17</v>
      </c>
      <c r="I5536" t="str">
        <f>"064104010132"</f>
        <v>064104010132</v>
      </c>
    </row>
    <row r="5537" spans="1:9" x14ac:dyDescent="0.25">
      <c r="A5537" t="s">
        <v>4834</v>
      </c>
      <c r="B5537" t="s">
        <v>13</v>
      </c>
      <c r="C5537">
        <v>59.27</v>
      </c>
      <c r="D5537">
        <v>64.41</v>
      </c>
      <c r="E5537" t="s">
        <v>17</v>
      </c>
      <c r="F5537">
        <v>22.95</v>
      </c>
      <c r="G5537">
        <v>20.96</v>
      </c>
      <c r="H5537" t="s">
        <v>17</v>
      </c>
      <c r="I5537" t="str">
        <f>"062241002684"</f>
        <v>062241002684</v>
      </c>
    </row>
    <row r="5538" spans="1:9" x14ac:dyDescent="0.25">
      <c r="A5538" t="s">
        <v>4835</v>
      </c>
      <c r="B5538" t="s">
        <v>13</v>
      </c>
      <c r="C5538">
        <v>28.42</v>
      </c>
      <c r="D5538">
        <v>32.409999999999997</v>
      </c>
      <c r="E5538" t="s">
        <v>17</v>
      </c>
      <c r="F5538">
        <v>18.75</v>
      </c>
      <c r="G5538">
        <v>19.649999999999999</v>
      </c>
      <c r="H5538" t="s">
        <v>17</v>
      </c>
      <c r="I5538" t="str">
        <f>"062241002683"</f>
        <v>062241002683</v>
      </c>
    </row>
    <row r="5539" spans="1:9" x14ac:dyDescent="0.25">
      <c r="A5539" t="s">
        <v>4836</v>
      </c>
      <c r="B5539" t="s">
        <v>13</v>
      </c>
      <c r="C5539">
        <v>33.4</v>
      </c>
      <c r="D5539">
        <v>34.200000000000003</v>
      </c>
      <c r="E5539" t="s">
        <v>17</v>
      </c>
      <c r="F5539">
        <v>27.66</v>
      </c>
      <c r="G5539">
        <v>27.11</v>
      </c>
      <c r="H5539" t="s">
        <v>17</v>
      </c>
      <c r="I5539" t="str">
        <f>"060561000512"</f>
        <v>060561000512</v>
      </c>
    </row>
    <row r="5540" spans="1:9" x14ac:dyDescent="0.25">
      <c r="A5540" t="s">
        <v>4837</v>
      </c>
      <c r="B5540" t="s">
        <v>13</v>
      </c>
      <c r="C5540">
        <v>7.2</v>
      </c>
      <c r="D5540">
        <v>8.4</v>
      </c>
      <c r="E5540" t="s">
        <v>17</v>
      </c>
      <c r="F5540">
        <v>15.69</v>
      </c>
      <c r="G5540">
        <v>12.74</v>
      </c>
      <c r="H5540" t="s">
        <v>17</v>
      </c>
      <c r="I5540" t="str">
        <f>"062244002693"</f>
        <v>062244002693</v>
      </c>
    </row>
    <row r="5541" spans="1:9" x14ac:dyDescent="0.25">
      <c r="A5541" t="s">
        <v>4838</v>
      </c>
      <c r="B5541" t="s">
        <v>13</v>
      </c>
      <c r="C5541">
        <v>17.399999999999999</v>
      </c>
      <c r="D5541">
        <v>18.399999999999999</v>
      </c>
      <c r="E5541" t="s">
        <v>17</v>
      </c>
      <c r="F5541">
        <v>20.63</v>
      </c>
      <c r="G5541">
        <v>21.2</v>
      </c>
      <c r="H5541" t="s">
        <v>17</v>
      </c>
      <c r="I5541" t="str">
        <f>"063525005976"</f>
        <v>063525005976</v>
      </c>
    </row>
    <row r="5542" spans="1:9" x14ac:dyDescent="0.25">
      <c r="A5542" t="s">
        <v>4839</v>
      </c>
      <c r="B5542" t="s">
        <v>13</v>
      </c>
      <c r="C5542">
        <v>16</v>
      </c>
      <c r="D5542">
        <v>15</v>
      </c>
      <c r="E5542" t="s">
        <v>17</v>
      </c>
      <c r="F5542">
        <v>20.81</v>
      </c>
      <c r="G5542">
        <v>23.33</v>
      </c>
      <c r="H5542" t="s">
        <v>17</v>
      </c>
      <c r="I5542" t="str">
        <f>"064233006927"</f>
        <v>064233006927</v>
      </c>
    </row>
    <row r="5543" spans="1:9" x14ac:dyDescent="0.25">
      <c r="A5543" t="s">
        <v>4839</v>
      </c>
      <c r="B5543" t="s">
        <v>13</v>
      </c>
      <c r="C5543">
        <v>29</v>
      </c>
      <c r="D5543">
        <v>29.1</v>
      </c>
      <c r="E5543" t="s">
        <v>17</v>
      </c>
      <c r="F5543">
        <v>25.34</v>
      </c>
      <c r="G5543">
        <v>25.67</v>
      </c>
      <c r="H5543" t="s">
        <v>17</v>
      </c>
      <c r="I5543" t="str">
        <f>"060285011276"</f>
        <v>060285011276</v>
      </c>
    </row>
    <row r="5544" spans="1:9" x14ac:dyDescent="0.25">
      <c r="A5544" t="s">
        <v>4840</v>
      </c>
      <c r="B5544" t="s">
        <v>13</v>
      </c>
      <c r="C5544">
        <v>1</v>
      </c>
      <c r="D5544">
        <v>1</v>
      </c>
      <c r="E5544" t="s">
        <v>17</v>
      </c>
      <c r="F5544">
        <v>11</v>
      </c>
      <c r="G5544">
        <v>5</v>
      </c>
      <c r="H5544" t="s">
        <v>17</v>
      </c>
      <c r="I5544" t="str">
        <f>"063828009645"</f>
        <v>063828009645</v>
      </c>
    </row>
    <row r="5545" spans="1:9" x14ac:dyDescent="0.25">
      <c r="A5545" t="s">
        <v>4841</v>
      </c>
      <c r="B5545" t="s">
        <v>13</v>
      </c>
      <c r="C5545" t="s">
        <v>17</v>
      </c>
      <c r="D5545" t="s">
        <v>17</v>
      </c>
      <c r="E5545" t="s">
        <v>17</v>
      </c>
      <c r="F5545" t="s">
        <v>17</v>
      </c>
      <c r="G5545" t="s">
        <v>17</v>
      </c>
      <c r="H5545" t="s">
        <v>17</v>
      </c>
      <c r="I5545" t="str">
        <f>"060010810921"</f>
        <v>060010810921</v>
      </c>
    </row>
    <row r="5546" spans="1:9" x14ac:dyDescent="0.25">
      <c r="A5546" t="s">
        <v>4842</v>
      </c>
      <c r="B5546" t="s">
        <v>13</v>
      </c>
      <c r="C5546">
        <v>18.399999999999999</v>
      </c>
      <c r="D5546">
        <v>20.6</v>
      </c>
      <c r="E5546" t="s">
        <v>17</v>
      </c>
      <c r="F5546">
        <v>20.71</v>
      </c>
      <c r="G5546">
        <v>23.01</v>
      </c>
      <c r="H5546" t="s">
        <v>17</v>
      </c>
      <c r="I5546" t="str">
        <f>"060140809067"</f>
        <v>060140809067</v>
      </c>
    </row>
    <row r="5547" spans="1:9" x14ac:dyDescent="0.25">
      <c r="A5547" t="s">
        <v>4843</v>
      </c>
      <c r="B5547" t="s">
        <v>13</v>
      </c>
      <c r="C5547">
        <v>33.5</v>
      </c>
      <c r="D5547">
        <v>36</v>
      </c>
      <c r="E5547" t="s">
        <v>17</v>
      </c>
      <c r="F5547">
        <v>29.55</v>
      </c>
      <c r="G5547">
        <v>27.47</v>
      </c>
      <c r="H5547" t="s">
        <v>17</v>
      </c>
      <c r="I5547" t="str">
        <f>"063898006537"</f>
        <v>063898006537</v>
      </c>
    </row>
    <row r="5548" spans="1:9" x14ac:dyDescent="0.25">
      <c r="A5548" t="s">
        <v>4844</v>
      </c>
      <c r="B5548" t="s">
        <v>13</v>
      </c>
      <c r="C5548" t="s">
        <v>17</v>
      </c>
      <c r="D5548" t="s">
        <v>14</v>
      </c>
      <c r="E5548" t="s">
        <v>14</v>
      </c>
      <c r="F5548" t="s">
        <v>17</v>
      </c>
      <c r="G5548" t="s">
        <v>14</v>
      </c>
      <c r="H5548" t="s">
        <v>14</v>
      </c>
      <c r="I5548" t="str">
        <f>"060360013521"</f>
        <v>060360013521</v>
      </c>
    </row>
    <row r="5549" spans="1:9" x14ac:dyDescent="0.25">
      <c r="A5549" t="s">
        <v>4845</v>
      </c>
      <c r="B5549" t="s">
        <v>13</v>
      </c>
      <c r="C5549">
        <v>20</v>
      </c>
      <c r="D5549">
        <v>20</v>
      </c>
      <c r="E5549" t="s">
        <v>17</v>
      </c>
      <c r="F5549">
        <v>26</v>
      </c>
      <c r="G5549">
        <v>25.75</v>
      </c>
      <c r="H5549" t="s">
        <v>17</v>
      </c>
      <c r="I5549" t="str">
        <f>"062994004677"</f>
        <v>062994004677</v>
      </c>
    </row>
    <row r="5550" spans="1:9" x14ac:dyDescent="0.25">
      <c r="A5550" t="s">
        <v>4846</v>
      </c>
      <c r="B5550" t="s">
        <v>13</v>
      </c>
      <c r="C5550">
        <v>26.53</v>
      </c>
      <c r="D5550">
        <v>23.5</v>
      </c>
      <c r="E5550" t="s">
        <v>17</v>
      </c>
      <c r="F5550">
        <v>18.059999999999999</v>
      </c>
      <c r="G5550">
        <v>19.57</v>
      </c>
      <c r="H5550" t="s">
        <v>17</v>
      </c>
      <c r="I5550" t="str">
        <f>"060474000446"</f>
        <v>060474000446</v>
      </c>
    </row>
    <row r="5551" spans="1:9" x14ac:dyDescent="0.25">
      <c r="A5551" t="s">
        <v>4847</v>
      </c>
      <c r="B5551" t="s">
        <v>13</v>
      </c>
      <c r="C5551">
        <v>29.7</v>
      </c>
      <c r="D5551">
        <v>28.2</v>
      </c>
      <c r="E5551" t="s">
        <v>17</v>
      </c>
      <c r="F5551">
        <v>28.65</v>
      </c>
      <c r="G5551">
        <v>28.51</v>
      </c>
      <c r="H5551" t="s">
        <v>17</v>
      </c>
      <c r="I5551" t="str">
        <f>"063315005149"</f>
        <v>063315005149</v>
      </c>
    </row>
    <row r="5552" spans="1:9" x14ac:dyDescent="0.25">
      <c r="A5552" t="s">
        <v>4847</v>
      </c>
      <c r="B5552" t="s">
        <v>13</v>
      </c>
      <c r="C5552">
        <v>27</v>
      </c>
      <c r="D5552">
        <v>27.6</v>
      </c>
      <c r="E5552" t="s">
        <v>17</v>
      </c>
      <c r="F5552">
        <v>22.41</v>
      </c>
      <c r="G5552">
        <v>22.21</v>
      </c>
      <c r="H5552" t="s">
        <v>17</v>
      </c>
      <c r="I5552" t="str">
        <f>"063441005641"</f>
        <v>063441005641</v>
      </c>
    </row>
    <row r="5553" spans="1:9" x14ac:dyDescent="0.25">
      <c r="A5553" t="s">
        <v>4847</v>
      </c>
      <c r="B5553" t="s">
        <v>13</v>
      </c>
      <c r="C5553">
        <v>23</v>
      </c>
      <c r="D5553">
        <v>23</v>
      </c>
      <c r="E5553" t="s">
        <v>17</v>
      </c>
      <c r="F5553">
        <v>26.48</v>
      </c>
      <c r="G5553">
        <v>27.48</v>
      </c>
      <c r="H5553" t="s">
        <v>17</v>
      </c>
      <c r="I5553" t="str">
        <f>"064245006942"</f>
        <v>064245006942</v>
      </c>
    </row>
    <row r="5554" spans="1:9" x14ac:dyDescent="0.25">
      <c r="A5554" t="s">
        <v>4847</v>
      </c>
      <c r="B5554" t="s">
        <v>13</v>
      </c>
      <c r="C5554">
        <v>29</v>
      </c>
      <c r="D5554">
        <v>27</v>
      </c>
      <c r="E5554" t="s">
        <v>17</v>
      </c>
      <c r="F5554">
        <v>19.760000000000002</v>
      </c>
      <c r="G5554">
        <v>19.63</v>
      </c>
      <c r="H5554" t="s">
        <v>17</v>
      </c>
      <c r="I5554" t="str">
        <f>"060962000989"</f>
        <v>060962000989</v>
      </c>
    </row>
    <row r="5555" spans="1:9" x14ac:dyDescent="0.25">
      <c r="A5555" t="s">
        <v>4847</v>
      </c>
      <c r="B5555" t="s">
        <v>13</v>
      </c>
      <c r="C5555">
        <v>36</v>
      </c>
      <c r="D5555">
        <v>37</v>
      </c>
      <c r="E5555" t="s">
        <v>17</v>
      </c>
      <c r="F5555">
        <v>30.17</v>
      </c>
      <c r="G5555">
        <v>29.11</v>
      </c>
      <c r="H5555" t="s">
        <v>17</v>
      </c>
      <c r="I5555" t="str">
        <f>"062250002737"</f>
        <v>062250002737</v>
      </c>
    </row>
    <row r="5556" spans="1:9" x14ac:dyDescent="0.25">
      <c r="A5556" t="s">
        <v>4847</v>
      </c>
      <c r="B5556" t="s">
        <v>13</v>
      </c>
      <c r="C5556">
        <v>34.159999999999997</v>
      </c>
      <c r="D5556">
        <v>34.159999999999997</v>
      </c>
      <c r="E5556" t="s">
        <v>17</v>
      </c>
      <c r="F5556">
        <v>23.51</v>
      </c>
      <c r="G5556">
        <v>20.99</v>
      </c>
      <c r="H5556" t="s">
        <v>17</v>
      </c>
      <c r="I5556" t="str">
        <f>"060363000307"</f>
        <v>060363000307</v>
      </c>
    </row>
    <row r="5557" spans="1:9" x14ac:dyDescent="0.25">
      <c r="A5557" t="s">
        <v>4848</v>
      </c>
      <c r="B5557" t="s">
        <v>13</v>
      </c>
      <c r="C5557">
        <v>36.21</v>
      </c>
      <c r="D5557">
        <v>34</v>
      </c>
      <c r="E5557" t="s">
        <v>17</v>
      </c>
      <c r="F5557">
        <v>21.76</v>
      </c>
      <c r="G5557">
        <v>22.06</v>
      </c>
      <c r="H5557" t="s">
        <v>17</v>
      </c>
      <c r="I5557" t="str">
        <f>"063432005505"</f>
        <v>063432005505</v>
      </c>
    </row>
    <row r="5558" spans="1:9" x14ac:dyDescent="0.25">
      <c r="A5558" t="s">
        <v>4849</v>
      </c>
      <c r="B5558" t="s">
        <v>13</v>
      </c>
      <c r="C5558">
        <v>21</v>
      </c>
      <c r="D5558">
        <v>22</v>
      </c>
      <c r="E5558" t="s">
        <v>17</v>
      </c>
      <c r="F5558">
        <v>23.86</v>
      </c>
      <c r="G5558">
        <v>22.73</v>
      </c>
      <c r="H5558" t="s">
        <v>17</v>
      </c>
      <c r="I5558" t="str">
        <f>"060297000233"</f>
        <v>060297000233</v>
      </c>
    </row>
    <row r="5559" spans="1:9" x14ac:dyDescent="0.25">
      <c r="A5559" t="s">
        <v>4850</v>
      </c>
      <c r="B5559" t="s">
        <v>13</v>
      </c>
      <c r="C5559">
        <v>22</v>
      </c>
      <c r="D5559">
        <v>24.7</v>
      </c>
      <c r="E5559" t="s">
        <v>17</v>
      </c>
      <c r="F5559">
        <v>30</v>
      </c>
      <c r="G5559">
        <v>26.28</v>
      </c>
      <c r="H5559" t="s">
        <v>17</v>
      </c>
      <c r="I5559" t="str">
        <f>"061674002120"</f>
        <v>061674002120</v>
      </c>
    </row>
    <row r="5560" spans="1:9" x14ac:dyDescent="0.25">
      <c r="A5560" t="s">
        <v>4851</v>
      </c>
      <c r="B5560" t="s">
        <v>13</v>
      </c>
      <c r="C5560">
        <v>19.399999999999999</v>
      </c>
      <c r="D5560">
        <v>17</v>
      </c>
      <c r="E5560" t="s">
        <v>17</v>
      </c>
      <c r="F5560">
        <v>20.46</v>
      </c>
      <c r="G5560">
        <v>20.76</v>
      </c>
      <c r="H5560" t="s">
        <v>17</v>
      </c>
      <c r="I5560" t="str">
        <f>"062256012246"</f>
        <v>062256012246</v>
      </c>
    </row>
    <row r="5561" spans="1:9" x14ac:dyDescent="0.25">
      <c r="A5561" t="s">
        <v>4852</v>
      </c>
      <c r="B5561" t="s">
        <v>13</v>
      </c>
      <c r="C5561">
        <v>18.100000000000001</v>
      </c>
      <c r="D5561">
        <v>19.8</v>
      </c>
      <c r="E5561" t="s">
        <v>17</v>
      </c>
      <c r="F5561">
        <v>25.14</v>
      </c>
      <c r="G5561">
        <v>24.29</v>
      </c>
      <c r="H5561" t="s">
        <v>17</v>
      </c>
      <c r="I5561" t="str">
        <f>"062256002772"</f>
        <v>062256002772</v>
      </c>
    </row>
    <row r="5562" spans="1:9" x14ac:dyDescent="0.25">
      <c r="A5562" t="s">
        <v>4853</v>
      </c>
      <c r="B5562" t="s">
        <v>13</v>
      </c>
      <c r="C5562">
        <v>8.58</v>
      </c>
      <c r="D5562">
        <v>8.25</v>
      </c>
      <c r="E5562" t="s">
        <v>17</v>
      </c>
      <c r="F5562">
        <v>19</v>
      </c>
      <c r="G5562">
        <v>17.329999999999998</v>
      </c>
      <c r="H5562" t="s">
        <v>17</v>
      </c>
      <c r="I5562" t="str">
        <f>"062308003523"</f>
        <v>062308003523</v>
      </c>
    </row>
    <row r="5563" spans="1:9" x14ac:dyDescent="0.25">
      <c r="A5563" t="s">
        <v>4854</v>
      </c>
      <c r="B5563" t="s">
        <v>13</v>
      </c>
      <c r="C5563">
        <v>28</v>
      </c>
      <c r="D5563">
        <v>29.5</v>
      </c>
      <c r="E5563" t="s">
        <v>17</v>
      </c>
      <c r="F5563">
        <v>25.04</v>
      </c>
      <c r="G5563">
        <v>23.22</v>
      </c>
      <c r="H5563" t="s">
        <v>17</v>
      </c>
      <c r="I5563" t="str">
        <f>"063132011671"</f>
        <v>063132011671</v>
      </c>
    </row>
    <row r="5564" spans="1:9" x14ac:dyDescent="0.25">
      <c r="A5564" t="s">
        <v>4855</v>
      </c>
      <c r="B5564" t="s">
        <v>13</v>
      </c>
      <c r="C5564">
        <v>28.5</v>
      </c>
      <c r="D5564">
        <v>29.5</v>
      </c>
      <c r="E5564" t="s">
        <v>17</v>
      </c>
      <c r="F5564">
        <v>23.89</v>
      </c>
      <c r="G5564">
        <v>24.68</v>
      </c>
      <c r="H5564" t="s">
        <v>17</v>
      </c>
      <c r="I5564" t="str">
        <f>"063132004851"</f>
        <v>063132004851</v>
      </c>
    </row>
    <row r="5565" spans="1:9" x14ac:dyDescent="0.25">
      <c r="A5565" t="s">
        <v>4856</v>
      </c>
      <c r="B5565" t="s">
        <v>13</v>
      </c>
      <c r="C5565">
        <v>36</v>
      </c>
      <c r="D5565">
        <v>43.5</v>
      </c>
      <c r="E5565" t="s">
        <v>17</v>
      </c>
      <c r="F5565">
        <v>23.97</v>
      </c>
      <c r="G5565">
        <v>24.55</v>
      </c>
      <c r="H5565" t="s">
        <v>17</v>
      </c>
      <c r="I5565" t="str">
        <f>"062271003186"</f>
        <v>062271003186</v>
      </c>
    </row>
    <row r="5566" spans="1:9" x14ac:dyDescent="0.25">
      <c r="A5566" t="s">
        <v>4857</v>
      </c>
      <c r="B5566" t="s">
        <v>13</v>
      </c>
      <c r="C5566">
        <v>29</v>
      </c>
      <c r="D5566">
        <v>29</v>
      </c>
      <c r="E5566" t="s">
        <v>17</v>
      </c>
      <c r="F5566">
        <v>30.69</v>
      </c>
      <c r="G5566">
        <v>30.93</v>
      </c>
      <c r="H5566" t="s">
        <v>17</v>
      </c>
      <c r="I5566" t="str">
        <f>"062274010962"</f>
        <v>062274010962</v>
      </c>
    </row>
    <row r="5567" spans="1:9" x14ac:dyDescent="0.25">
      <c r="A5567" t="s">
        <v>4858</v>
      </c>
      <c r="B5567" t="s">
        <v>13</v>
      </c>
      <c r="C5567">
        <v>29</v>
      </c>
      <c r="D5567">
        <v>34</v>
      </c>
      <c r="E5567" t="s">
        <v>17</v>
      </c>
      <c r="F5567">
        <v>23.86</v>
      </c>
      <c r="G5567">
        <v>22.26</v>
      </c>
      <c r="H5567" t="s">
        <v>17</v>
      </c>
      <c r="I5567" t="str">
        <f>"062271003147"</f>
        <v>062271003147</v>
      </c>
    </row>
    <row r="5568" spans="1:9" x14ac:dyDescent="0.25">
      <c r="A5568" t="s">
        <v>4859</v>
      </c>
      <c r="B5568" t="s">
        <v>13</v>
      </c>
      <c r="C5568">
        <v>28.21</v>
      </c>
      <c r="D5568">
        <v>27.59</v>
      </c>
      <c r="E5568" t="s">
        <v>17</v>
      </c>
      <c r="F5568">
        <v>24.03</v>
      </c>
      <c r="G5568">
        <v>23.41</v>
      </c>
      <c r="H5568" t="s">
        <v>17</v>
      </c>
      <c r="I5568" t="str">
        <f>"063471005855"</f>
        <v>063471005855</v>
      </c>
    </row>
    <row r="5569" spans="1:9" x14ac:dyDescent="0.25">
      <c r="A5569" t="s">
        <v>4860</v>
      </c>
      <c r="B5569" t="s">
        <v>13</v>
      </c>
      <c r="C5569">
        <v>17</v>
      </c>
      <c r="D5569">
        <v>17</v>
      </c>
      <c r="E5569" t="s">
        <v>17</v>
      </c>
      <c r="F5569">
        <v>22.24</v>
      </c>
      <c r="G5569">
        <v>22.71</v>
      </c>
      <c r="H5569" t="s">
        <v>17</v>
      </c>
      <c r="I5569" t="str">
        <f>"062271003148"</f>
        <v>062271003148</v>
      </c>
    </row>
    <row r="5570" spans="1:9" x14ac:dyDescent="0.25">
      <c r="A5570" t="s">
        <v>4861</v>
      </c>
      <c r="B5570" t="s">
        <v>13</v>
      </c>
      <c r="C5570">
        <v>23.5</v>
      </c>
      <c r="D5570">
        <v>25</v>
      </c>
      <c r="E5570" t="s">
        <v>17</v>
      </c>
      <c r="F5570">
        <v>27.15</v>
      </c>
      <c r="G5570">
        <v>25.36</v>
      </c>
      <c r="H5570" t="s">
        <v>17</v>
      </c>
      <c r="I5570" t="str">
        <f>"062769004174"</f>
        <v>062769004174</v>
      </c>
    </row>
    <row r="5571" spans="1:9" x14ac:dyDescent="0.25">
      <c r="A5571" t="s">
        <v>4862</v>
      </c>
      <c r="B5571" t="s">
        <v>13</v>
      </c>
      <c r="C5571">
        <v>14.55</v>
      </c>
      <c r="D5571">
        <v>15</v>
      </c>
      <c r="E5571" t="s">
        <v>17</v>
      </c>
      <c r="F5571">
        <v>33.47</v>
      </c>
      <c r="G5571">
        <v>33.200000000000003</v>
      </c>
      <c r="H5571" t="s">
        <v>17</v>
      </c>
      <c r="I5571" t="str">
        <f>"061674002121"</f>
        <v>061674002121</v>
      </c>
    </row>
    <row r="5572" spans="1:9" x14ac:dyDescent="0.25">
      <c r="A5572" t="s">
        <v>4863</v>
      </c>
      <c r="B5572" t="s">
        <v>13</v>
      </c>
      <c r="C5572">
        <v>15.75</v>
      </c>
      <c r="D5572">
        <v>16.510000000000002</v>
      </c>
      <c r="E5572" t="s">
        <v>17</v>
      </c>
      <c r="F5572">
        <v>21.59</v>
      </c>
      <c r="G5572">
        <v>21.26</v>
      </c>
      <c r="H5572" t="s">
        <v>17</v>
      </c>
      <c r="I5572" t="str">
        <f>"063531006001"</f>
        <v>063531006001</v>
      </c>
    </row>
    <row r="5573" spans="1:9" x14ac:dyDescent="0.25">
      <c r="A5573" t="s">
        <v>4864</v>
      </c>
      <c r="B5573" t="s">
        <v>13</v>
      </c>
      <c r="C5573">
        <v>24</v>
      </c>
      <c r="D5573">
        <v>26</v>
      </c>
      <c r="E5573" t="s">
        <v>17</v>
      </c>
      <c r="F5573">
        <v>25.71</v>
      </c>
      <c r="G5573">
        <v>25.65</v>
      </c>
      <c r="H5573" t="s">
        <v>17</v>
      </c>
      <c r="I5573" t="str">
        <f>"062271003150"</f>
        <v>062271003150</v>
      </c>
    </row>
    <row r="5574" spans="1:9" x14ac:dyDescent="0.25">
      <c r="A5574" t="s">
        <v>4865</v>
      </c>
      <c r="B5574" t="s">
        <v>13</v>
      </c>
      <c r="C5574">
        <v>28.08</v>
      </c>
      <c r="D5574">
        <v>26</v>
      </c>
      <c r="E5574" t="s">
        <v>17</v>
      </c>
      <c r="F5574">
        <v>24.96</v>
      </c>
      <c r="G5574">
        <v>24.42</v>
      </c>
      <c r="H5574" t="s">
        <v>17</v>
      </c>
      <c r="I5574" t="str">
        <f>"062259007303"</f>
        <v>062259007303</v>
      </c>
    </row>
    <row r="5575" spans="1:9" x14ac:dyDescent="0.25">
      <c r="A5575" t="s">
        <v>4865</v>
      </c>
      <c r="B5575" t="s">
        <v>13</v>
      </c>
      <c r="C5575">
        <v>26.05</v>
      </c>
      <c r="D5575">
        <v>26.3</v>
      </c>
      <c r="E5575" t="s">
        <v>17</v>
      </c>
      <c r="F5575">
        <v>26.99</v>
      </c>
      <c r="G5575">
        <v>27.38</v>
      </c>
      <c r="H5575" t="s">
        <v>17</v>
      </c>
      <c r="I5575" t="str">
        <f>"063459005727"</f>
        <v>063459005727</v>
      </c>
    </row>
    <row r="5576" spans="1:9" x14ac:dyDescent="0.25">
      <c r="A5576" t="s">
        <v>4866</v>
      </c>
      <c r="B5576" t="s">
        <v>13</v>
      </c>
      <c r="C5576">
        <v>106.02</v>
      </c>
      <c r="D5576">
        <v>105.02</v>
      </c>
      <c r="E5576" t="s">
        <v>17</v>
      </c>
      <c r="F5576">
        <v>30.21</v>
      </c>
      <c r="G5576">
        <v>29.76</v>
      </c>
      <c r="H5576" t="s">
        <v>17</v>
      </c>
      <c r="I5576" t="str">
        <f>"062259007304"</f>
        <v>062259007304</v>
      </c>
    </row>
    <row r="5577" spans="1:9" x14ac:dyDescent="0.25">
      <c r="A5577" t="s">
        <v>4867</v>
      </c>
      <c r="B5577" t="s">
        <v>13</v>
      </c>
      <c r="C5577">
        <v>33.21</v>
      </c>
      <c r="D5577">
        <v>34.49</v>
      </c>
      <c r="E5577" t="s">
        <v>17</v>
      </c>
      <c r="F5577">
        <v>26.23</v>
      </c>
      <c r="G5577">
        <v>25.22</v>
      </c>
      <c r="H5577" t="s">
        <v>17</v>
      </c>
      <c r="I5577" t="str">
        <f>"063386005306"</f>
        <v>063386005306</v>
      </c>
    </row>
    <row r="5578" spans="1:9" x14ac:dyDescent="0.25">
      <c r="A5578" t="s">
        <v>4868</v>
      </c>
      <c r="B5578" t="s">
        <v>13</v>
      </c>
      <c r="C5578">
        <v>46.78</v>
      </c>
      <c r="D5578">
        <v>45.94</v>
      </c>
      <c r="E5578" t="s">
        <v>17</v>
      </c>
      <c r="F5578">
        <v>24.26</v>
      </c>
      <c r="G5578">
        <v>24.12</v>
      </c>
      <c r="H5578" t="s">
        <v>17</v>
      </c>
      <c r="I5578" t="str">
        <f>"062769007123"</f>
        <v>062769007123</v>
      </c>
    </row>
    <row r="5579" spans="1:9" x14ac:dyDescent="0.25">
      <c r="A5579" t="s">
        <v>4869</v>
      </c>
      <c r="B5579" t="s">
        <v>13</v>
      </c>
      <c r="C5579">
        <v>14.6</v>
      </c>
      <c r="D5579">
        <v>15</v>
      </c>
      <c r="E5579" t="s">
        <v>17</v>
      </c>
      <c r="F5579">
        <v>29.25</v>
      </c>
      <c r="G5579">
        <v>30.93</v>
      </c>
      <c r="H5579" t="s">
        <v>17</v>
      </c>
      <c r="I5579" t="str">
        <f>"063756006360"</f>
        <v>063756006360</v>
      </c>
    </row>
    <row r="5580" spans="1:9" x14ac:dyDescent="0.25">
      <c r="A5580" t="s">
        <v>4869</v>
      </c>
      <c r="B5580" t="s">
        <v>13</v>
      </c>
      <c r="C5580">
        <v>17</v>
      </c>
      <c r="D5580">
        <v>17</v>
      </c>
      <c r="E5580" t="s">
        <v>17</v>
      </c>
      <c r="F5580">
        <v>21.47</v>
      </c>
      <c r="G5580">
        <v>21.12</v>
      </c>
      <c r="H5580" t="s">
        <v>17</v>
      </c>
      <c r="I5580" t="str">
        <f>"061632502052"</f>
        <v>061632502052</v>
      </c>
    </row>
    <row r="5581" spans="1:9" x14ac:dyDescent="0.25">
      <c r="A5581" t="s">
        <v>4869</v>
      </c>
      <c r="B5581" t="s">
        <v>13</v>
      </c>
      <c r="C5581">
        <v>21</v>
      </c>
      <c r="D5581">
        <v>18.2</v>
      </c>
      <c r="E5581" t="s">
        <v>17</v>
      </c>
      <c r="F5581">
        <v>17.809999999999999</v>
      </c>
      <c r="G5581">
        <v>21.48</v>
      </c>
      <c r="H5581" t="s">
        <v>17</v>
      </c>
      <c r="I5581" t="str">
        <f>"060861000867"</f>
        <v>060861000867</v>
      </c>
    </row>
    <row r="5582" spans="1:9" x14ac:dyDescent="0.25">
      <c r="A5582" t="s">
        <v>4870</v>
      </c>
      <c r="B5582" t="s">
        <v>13</v>
      </c>
      <c r="C5582">
        <v>81.349999999999994</v>
      </c>
      <c r="D5582">
        <v>81.95</v>
      </c>
      <c r="E5582" t="s">
        <v>17</v>
      </c>
      <c r="F5582">
        <v>21.24</v>
      </c>
      <c r="G5582">
        <v>20.11</v>
      </c>
      <c r="H5582" t="s">
        <v>17</v>
      </c>
      <c r="I5582" t="str">
        <f>"062631003929"</f>
        <v>062631003929</v>
      </c>
    </row>
    <row r="5583" spans="1:9" x14ac:dyDescent="0.25">
      <c r="A5583" t="s">
        <v>4870</v>
      </c>
      <c r="B5583" t="s">
        <v>13</v>
      </c>
      <c r="C5583">
        <v>75.099999999999994</v>
      </c>
      <c r="D5583">
        <v>80.3</v>
      </c>
      <c r="E5583" t="s">
        <v>17</v>
      </c>
      <c r="F5583">
        <v>26.64</v>
      </c>
      <c r="G5583">
        <v>25.57</v>
      </c>
      <c r="H5583" t="s">
        <v>17</v>
      </c>
      <c r="I5583" t="str">
        <f>"061632502053"</f>
        <v>061632502053</v>
      </c>
    </row>
    <row r="5584" spans="1:9" x14ac:dyDescent="0.25">
      <c r="A5584" t="s">
        <v>4871</v>
      </c>
      <c r="B5584" t="s">
        <v>13</v>
      </c>
      <c r="C5584">
        <v>35</v>
      </c>
      <c r="D5584">
        <v>33</v>
      </c>
      <c r="E5584" t="s">
        <v>17</v>
      </c>
      <c r="F5584">
        <v>27.6</v>
      </c>
      <c r="G5584">
        <v>28.67</v>
      </c>
      <c r="H5584" t="s">
        <v>17</v>
      </c>
      <c r="I5584" t="str">
        <f>"062958008728"</f>
        <v>062958008728</v>
      </c>
    </row>
    <row r="5585" spans="1:9" x14ac:dyDescent="0.25">
      <c r="A5585" t="s">
        <v>4872</v>
      </c>
      <c r="B5585" t="s">
        <v>13</v>
      </c>
      <c r="C5585">
        <v>20</v>
      </c>
      <c r="D5585">
        <v>19</v>
      </c>
      <c r="E5585" t="s">
        <v>17</v>
      </c>
      <c r="F5585">
        <v>22.95</v>
      </c>
      <c r="G5585">
        <v>25.68</v>
      </c>
      <c r="H5585" t="s">
        <v>17</v>
      </c>
      <c r="I5585" t="str">
        <f>"061630001111"</f>
        <v>061630001111</v>
      </c>
    </row>
    <row r="5586" spans="1:9" x14ac:dyDescent="0.25">
      <c r="A5586" t="s">
        <v>4873</v>
      </c>
      <c r="B5586" t="s">
        <v>13</v>
      </c>
      <c r="C5586">
        <v>73.34</v>
      </c>
      <c r="D5586">
        <v>77.91</v>
      </c>
      <c r="E5586" t="s">
        <v>17</v>
      </c>
      <c r="F5586">
        <v>25.91</v>
      </c>
      <c r="G5586">
        <v>26.2</v>
      </c>
      <c r="H5586" t="s">
        <v>17</v>
      </c>
      <c r="I5586" t="str">
        <f>"061488001858"</f>
        <v>061488001858</v>
      </c>
    </row>
    <row r="5587" spans="1:9" x14ac:dyDescent="0.25">
      <c r="A5587" t="s">
        <v>4874</v>
      </c>
      <c r="B5587" t="s">
        <v>13</v>
      </c>
      <c r="C5587">
        <v>92.35</v>
      </c>
      <c r="D5587">
        <v>95.01</v>
      </c>
      <c r="E5587" t="s">
        <v>17</v>
      </c>
      <c r="F5587">
        <v>17.95</v>
      </c>
      <c r="G5587">
        <v>18.600000000000001</v>
      </c>
      <c r="H5587" t="s">
        <v>17</v>
      </c>
      <c r="I5587" t="str">
        <f>"062271007523"</f>
        <v>062271007523</v>
      </c>
    </row>
    <row r="5588" spans="1:9" x14ac:dyDescent="0.25">
      <c r="A5588" t="s">
        <v>4875</v>
      </c>
      <c r="B5588" t="s">
        <v>13</v>
      </c>
      <c r="C5588">
        <v>19.5</v>
      </c>
      <c r="D5588">
        <v>23.28</v>
      </c>
      <c r="E5588" t="s">
        <v>17</v>
      </c>
      <c r="F5588">
        <v>20.62</v>
      </c>
      <c r="G5588">
        <v>17.61</v>
      </c>
      <c r="H5588" t="s">
        <v>17</v>
      </c>
      <c r="I5588" t="str">
        <f>"062271011628"</f>
        <v>062271011628</v>
      </c>
    </row>
    <row r="5589" spans="1:9" x14ac:dyDescent="0.25">
      <c r="A5589" t="s">
        <v>4876</v>
      </c>
      <c r="B5589" t="s">
        <v>13</v>
      </c>
      <c r="C5589">
        <v>7.2</v>
      </c>
      <c r="D5589">
        <v>7.1</v>
      </c>
      <c r="E5589" t="s">
        <v>14</v>
      </c>
      <c r="F5589">
        <v>18.61</v>
      </c>
      <c r="G5589">
        <v>19.149999999999999</v>
      </c>
      <c r="H5589" t="s">
        <v>14</v>
      </c>
      <c r="I5589" t="str">
        <f>"062271012699"</f>
        <v>062271012699</v>
      </c>
    </row>
    <row r="5590" spans="1:9" x14ac:dyDescent="0.25">
      <c r="A5590" t="s">
        <v>4877</v>
      </c>
      <c r="B5590" t="s">
        <v>13</v>
      </c>
      <c r="C5590">
        <v>60.5</v>
      </c>
      <c r="D5590">
        <v>60.07</v>
      </c>
      <c r="E5590" t="s">
        <v>17</v>
      </c>
      <c r="F5590">
        <v>27.24</v>
      </c>
      <c r="G5590">
        <v>27.14</v>
      </c>
      <c r="H5590" t="s">
        <v>17</v>
      </c>
      <c r="I5590" t="str">
        <f>"062271008887"</f>
        <v>062271008887</v>
      </c>
    </row>
    <row r="5591" spans="1:9" x14ac:dyDescent="0.25">
      <c r="A5591" t="s">
        <v>4878</v>
      </c>
      <c r="B5591" t="s">
        <v>13</v>
      </c>
      <c r="C5591">
        <v>14.47</v>
      </c>
      <c r="D5591">
        <v>13</v>
      </c>
      <c r="E5591" t="s">
        <v>17</v>
      </c>
      <c r="F5591">
        <v>36.49</v>
      </c>
      <c r="G5591">
        <v>31</v>
      </c>
      <c r="H5591" t="s">
        <v>17</v>
      </c>
      <c r="I5591" t="str">
        <f>"060282012172"</f>
        <v>060282012172</v>
      </c>
    </row>
    <row r="5592" spans="1:9" x14ac:dyDescent="0.25">
      <c r="A5592" t="s">
        <v>4879</v>
      </c>
      <c r="B5592" t="s">
        <v>13</v>
      </c>
      <c r="C5592" t="s">
        <v>17</v>
      </c>
      <c r="D5592" t="s">
        <v>17</v>
      </c>
      <c r="E5592" t="s">
        <v>17</v>
      </c>
      <c r="F5592" t="s">
        <v>17</v>
      </c>
      <c r="G5592" t="s">
        <v>17</v>
      </c>
      <c r="H5592" t="s">
        <v>17</v>
      </c>
      <c r="I5592" t="str">
        <f>"060011010923"</f>
        <v>060011010923</v>
      </c>
    </row>
    <row r="5593" spans="1:9" x14ac:dyDescent="0.25">
      <c r="A5593" t="s">
        <v>4880</v>
      </c>
      <c r="B5593" t="s">
        <v>13</v>
      </c>
      <c r="C5593">
        <v>470.75</v>
      </c>
      <c r="D5593">
        <v>566.91999999999996</v>
      </c>
      <c r="E5593" t="s">
        <v>17</v>
      </c>
      <c r="F5593">
        <v>3.55</v>
      </c>
      <c r="G5593">
        <v>3.38</v>
      </c>
      <c r="H5593" t="s">
        <v>17</v>
      </c>
      <c r="I5593" t="str">
        <f>"069107810186"</f>
        <v>069107810186</v>
      </c>
    </row>
    <row r="5594" spans="1:9" x14ac:dyDescent="0.25">
      <c r="A5594" t="s">
        <v>4881</v>
      </c>
      <c r="B5594" t="s">
        <v>13</v>
      </c>
      <c r="C5594">
        <v>17</v>
      </c>
      <c r="D5594">
        <v>18.25</v>
      </c>
      <c r="E5594" t="s">
        <v>17</v>
      </c>
      <c r="F5594">
        <v>22.29</v>
      </c>
      <c r="G5594">
        <v>22.85</v>
      </c>
      <c r="H5594" t="s">
        <v>17</v>
      </c>
      <c r="I5594" t="str">
        <f>"069102311699"</f>
        <v>069102311699</v>
      </c>
    </row>
    <row r="5595" spans="1:9" x14ac:dyDescent="0.25">
      <c r="A5595" t="s">
        <v>4882</v>
      </c>
      <c r="B5595" t="s">
        <v>13</v>
      </c>
      <c r="C5595">
        <v>35</v>
      </c>
      <c r="D5595">
        <v>33.5</v>
      </c>
      <c r="E5595" t="s">
        <v>17</v>
      </c>
      <c r="F5595">
        <v>22.66</v>
      </c>
      <c r="G5595">
        <v>25.55</v>
      </c>
      <c r="H5595" t="s">
        <v>17</v>
      </c>
      <c r="I5595" t="str">
        <f>"062271002143"</f>
        <v>062271002143</v>
      </c>
    </row>
    <row r="5596" spans="1:9" x14ac:dyDescent="0.25">
      <c r="A5596" t="s">
        <v>4883</v>
      </c>
      <c r="B5596" t="s">
        <v>13</v>
      </c>
      <c r="C5596">
        <v>11</v>
      </c>
      <c r="D5596">
        <v>8.9600000000000009</v>
      </c>
      <c r="E5596" t="s">
        <v>17</v>
      </c>
      <c r="F5596">
        <v>21.91</v>
      </c>
      <c r="G5596">
        <v>22.54</v>
      </c>
      <c r="H5596" t="s">
        <v>17</v>
      </c>
      <c r="I5596" t="str">
        <f>"069107810897"</f>
        <v>069107810897</v>
      </c>
    </row>
    <row r="5597" spans="1:9" x14ac:dyDescent="0.25">
      <c r="A5597" t="s">
        <v>4884</v>
      </c>
      <c r="B5597" t="s">
        <v>13</v>
      </c>
      <c r="C5597">
        <v>27.25</v>
      </c>
      <c r="D5597">
        <v>26.4</v>
      </c>
      <c r="E5597" t="s">
        <v>17</v>
      </c>
      <c r="F5597">
        <v>19.78</v>
      </c>
      <c r="G5597">
        <v>19.809999999999999</v>
      </c>
      <c r="H5597" t="s">
        <v>17</v>
      </c>
      <c r="I5597" t="str">
        <f>"062271010517"</f>
        <v>062271010517</v>
      </c>
    </row>
    <row r="5598" spans="1:9" x14ac:dyDescent="0.25">
      <c r="A5598" t="s">
        <v>4885</v>
      </c>
      <c r="B5598" t="s">
        <v>13</v>
      </c>
      <c r="C5598">
        <v>7</v>
      </c>
      <c r="D5598">
        <v>4</v>
      </c>
      <c r="E5598" t="s">
        <v>14</v>
      </c>
      <c r="F5598">
        <v>21.29</v>
      </c>
      <c r="G5598">
        <v>19.5</v>
      </c>
      <c r="H5598" t="s">
        <v>14</v>
      </c>
      <c r="I5598" t="str">
        <f>"062271012963"</f>
        <v>062271012963</v>
      </c>
    </row>
    <row r="5599" spans="1:9" x14ac:dyDescent="0.25">
      <c r="A5599" t="s">
        <v>4886</v>
      </c>
      <c r="B5599" t="s">
        <v>13</v>
      </c>
      <c r="C5599">
        <v>12</v>
      </c>
      <c r="D5599">
        <v>12.01</v>
      </c>
      <c r="E5599" t="s">
        <v>14</v>
      </c>
      <c r="F5599">
        <v>25</v>
      </c>
      <c r="G5599">
        <v>23.23</v>
      </c>
      <c r="H5599" t="s">
        <v>14</v>
      </c>
      <c r="I5599" t="str">
        <f>"062271012916"</f>
        <v>062271012916</v>
      </c>
    </row>
    <row r="5600" spans="1:9" x14ac:dyDescent="0.25">
      <c r="A5600" t="s">
        <v>4887</v>
      </c>
      <c r="B5600" t="s">
        <v>13</v>
      </c>
      <c r="C5600">
        <v>90.52</v>
      </c>
      <c r="D5600">
        <v>108.53</v>
      </c>
      <c r="E5600" t="s">
        <v>17</v>
      </c>
      <c r="F5600">
        <v>19.32</v>
      </c>
      <c r="G5600">
        <v>17.940000000000001</v>
      </c>
      <c r="H5600" t="s">
        <v>17</v>
      </c>
      <c r="I5600" t="str">
        <f>"062271003151"</f>
        <v>062271003151</v>
      </c>
    </row>
    <row r="5601" spans="1:9" x14ac:dyDescent="0.25">
      <c r="A5601" t="s">
        <v>4888</v>
      </c>
      <c r="B5601" t="s">
        <v>13</v>
      </c>
      <c r="C5601">
        <v>86</v>
      </c>
      <c r="D5601">
        <v>68</v>
      </c>
      <c r="E5601" t="s">
        <v>17</v>
      </c>
      <c r="F5601">
        <v>29.94</v>
      </c>
      <c r="G5601">
        <v>60.81</v>
      </c>
      <c r="H5601" t="s">
        <v>17</v>
      </c>
      <c r="I5601" t="str">
        <f>"062271009570"</f>
        <v>062271009570</v>
      </c>
    </row>
    <row r="5602" spans="1:9" x14ac:dyDescent="0.25">
      <c r="A5602" t="s">
        <v>4889</v>
      </c>
      <c r="B5602" t="s">
        <v>13</v>
      </c>
      <c r="C5602" t="s">
        <v>17</v>
      </c>
      <c r="D5602" t="s">
        <v>17</v>
      </c>
      <c r="E5602" t="s">
        <v>17</v>
      </c>
      <c r="F5602" t="s">
        <v>17</v>
      </c>
      <c r="G5602" t="s">
        <v>17</v>
      </c>
      <c r="H5602" t="s">
        <v>17</v>
      </c>
      <c r="I5602" t="str">
        <f>"060010910922"</f>
        <v>060010910922</v>
      </c>
    </row>
    <row r="5603" spans="1:9" x14ac:dyDescent="0.25">
      <c r="A5603" t="s">
        <v>4890</v>
      </c>
      <c r="B5603" t="s">
        <v>13</v>
      </c>
      <c r="C5603">
        <v>19</v>
      </c>
      <c r="D5603">
        <v>20</v>
      </c>
      <c r="E5603" t="s">
        <v>17</v>
      </c>
      <c r="F5603">
        <v>25.79</v>
      </c>
      <c r="G5603">
        <v>24.05</v>
      </c>
      <c r="H5603" t="s">
        <v>17</v>
      </c>
      <c r="I5603" t="str">
        <f>"061437001648"</f>
        <v>061437001648</v>
      </c>
    </row>
    <row r="5604" spans="1:9" x14ac:dyDescent="0.25">
      <c r="A5604" t="s">
        <v>4891</v>
      </c>
      <c r="B5604" t="s">
        <v>13</v>
      </c>
      <c r="C5604">
        <v>33.33</v>
      </c>
      <c r="D5604">
        <v>30.5</v>
      </c>
      <c r="E5604" t="s">
        <v>17</v>
      </c>
      <c r="F5604">
        <v>20.309999999999999</v>
      </c>
      <c r="G5604">
        <v>21.21</v>
      </c>
      <c r="H5604" t="s">
        <v>17</v>
      </c>
      <c r="I5604" t="str">
        <f>"062553003832"</f>
        <v>062553003832</v>
      </c>
    </row>
    <row r="5605" spans="1:9" x14ac:dyDescent="0.25">
      <c r="A5605" t="s">
        <v>4892</v>
      </c>
      <c r="B5605" t="s">
        <v>13</v>
      </c>
      <c r="C5605" t="s">
        <v>17</v>
      </c>
      <c r="D5605" t="s">
        <v>17</v>
      </c>
      <c r="E5605" t="s">
        <v>17</v>
      </c>
      <c r="F5605" t="s">
        <v>17</v>
      </c>
      <c r="G5605" t="s">
        <v>17</v>
      </c>
      <c r="H5605" t="s">
        <v>17</v>
      </c>
      <c r="I5605" t="str">
        <f>"062274008218"</f>
        <v>062274008218</v>
      </c>
    </row>
    <row r="5606" spans="1:9" x14ac:dyDescent="0.25">
      <c r="A5606" t="s">
        <v>4893</v>
      </c>
      <c r="B5606" t="s">
        <v>13</v>
      </c>
      <c r="C5606">
        <v>32</v>
      </c>
      <c r="D5606">
        <v>32</v>
      </c>
      <c r="E5606" t="s">
        <v>17</v>
      </c>
      <c r="F5606">
        <v>29.44</v>
      </c>
      <c r="G5606">
        <v>29.41</v>
      </c>
      <c r="H5606" t="s">
        <v>17</v>
      </c>
      <c r="I5606" t="str">
        <f>"062274003480"</f>
        <v>062274003480</v>
      </c>
    </row>
    <row r="5607" spans="1:9" x14ac:dyDescent="0.25">
      <c r="A5607" t="s">
        <v>4894</v>
      </c>
      <c r="B5607" t="s">
        <v>13</v>
      </c>
      <c r="C5607">
        <v>52.1</v>
      </c>
      <c r="D5607">
        <v>61.1</v>
      </c>
      <c r="E5607" t="s">
        <v>17</v>
      </c>
      <c r="F5607">
        <v>21.94</v>
      </c>
      <c r="G5607">
        <v>22.14</v>
      </c>
      <c r="H5607" t="s">
        <v>17</v>
      </c>
      <c r="I5607" t="str">
        <f>"062274003481"</f>
        <v>062274003481</v>
      </c>
    </row>
    <row r="5608" spans="1:9" x14ac:dyDescent="0.25">
      <c r="A5608" t="s">
        <v>4895</v>
      </c>
      <c r="B5608" t="s">
        <v>13</v>
      </c>
      <c r="C5608">
        <v>60</v>
      </c>
      <c r="D5608">
        <v>57.15</v>
      </c>
      <c r="E5608" t="s">
        <v>17</v>
      </c>
      <c r="F5608">
        <v>24.73</v>
      </c>
      <c r="G5608">
        <v>24.88</v>
      </c>
      <c r="H5608" t="s">
        <v>17</v>
      </c>
      <c r="I5608" t="str">
        <f>"062274003482"</f>
        <v>062274003482</v>
      </c>
    </row>
    <row r="5609" spans="1:9" x14ac:dyDescent="0.25">
      <c r="A5609" t="s">
        <v>4896</v>
      </c>
      <c r="B5609" t="s">
        <v>13</v>
      </c>
      <c r="C5609" t="s">
        <v>17</v>
      </c>
      <c r="D5609" t="s">
        <v>14</v>
      </c>
      <c r="E5609" t="s">
        <v>14</v>
      </c>
      <c r="F5609" t="s">
        <v>17</v>
      </c>
      <c r="G5609" t="s">
        <v>14</v>
      </c>
      <c r="H5609" t="s">
        <v>14</v>
      </c>
      <c r="I5609" t="str">
        <f>"062274013550"</f>
        <v>062274013550</v>
      </c>
    </row>
    <row r="5610" spans="1:9" x14ac:dyDescent="0.25">
      <c r="A5610" t="s">
        <v>4897</v>
      </c>
      <c r="B5610" t="s">
        <v>13</v>
      </c>
      <c r="C5610">
        <v>19.8</v>
      </c>
      <c r="D5610">
        <v>24.82</v>
      </c>
      <c r="E5610" t="s">
        <v>17</v>
      </c>
      <c r="F5610">
        <v>19.440000000000001</v>
      </c>
      <c r="G5610">
        <v>15.63</v>
      </c>
      <c r="H5610" t="s">
        <v>17</v>
      </c>
      <c r="I5610" t="str">
        <f>"062241002685"</f>
        <v>062241002685</v>
      </c>
    </row>
    <row r="5611" spans="1:9" x14ac:dyDescent="0.25">
      <c r="A5611" t="s">
        <v>4898</v>
      </c>
      <c r="B5611" t="s">
        <v>13</v>
      </c>
      <c r="C5611">
        <v>28</v>
      </c>
      <c r="D5611">
        <v>31</v>
      </c>
      <c r="E5611" t="s">
        <v>17</v>
      </c>
      <c r="F5611">
        <v>20.04</v>
      </c>
      <c r="G5611">
        <v>17.97</v>
      </c>
      <c r="H5611" t="s">
        <v>17</v>
      </c>
      <c r="I5611" t="str">
        <f>"062985004651"</f>
        <v>062985004651</v>
      </c>
    </row>
    <row r="5612" spans="1:9" x14ac:dyDescent="0.25">
      <c r="A5612" t="s">
        <v>4899</v>
      </c>
      <c r="B5612" t="s">
        <v>13</v>
      </c>
      <c r="C5612">
        <v>18</v>
      </c>
      <c r="D5612">
        <v>17.75</v>
      </c>
      <c r="E5612" t="s">
        <v>17</v>
      </c>
      <c r="F5612">
        <v>30.06</v>
      </c>
      <c r="G5612">
        <v>29.07</v>
      </c>
      <c r="H5612" t="s">
        <v>17</v>
      </c>
      <c r="I5612" t="str">
        <f>"062250002738"</f>
        <v>062250002738</v>
      </c>
    </row>
    <row r="5613" spans="1:9" x14ac:dyDescent="0.25">
      <c r="A5613" t="s">
        <v>4899</v>
      </c>
      <c r="B5613" t="s">
        <v>13</v>
      </c>
      <c r="C5613">
        <v>13.1</v>
      </c>
      <c r="D5613">
        <v>12.6</v>
      </c>
      <c r="E5613" t="s">
        <v>17</v>
      </c>
      <c r="F5613">
        <v>23.36</v>
      </c>
      <c r="G5613">
        <v>24.21</v>
      </c>
      <c r="H5613" t="s">
        <v>17</v>
      </c>
      <c r="I5613" t="str">
        <f>"063753006346"</f>
        <v>063753006346</v>
      </c>
    </row>
    <row r="5614" spans="1:9" x14ac:dyDescent="0.25">
      <c r="A5614" t="s">
        <v>4900</v>
      </c>
      <c r="B5614" t="s">
        <v>13</v>
      </c>
      <c r="C5614">
        <v>42.2</v>
      </c>
      <c r="D5614">
        <v>42.4</v>
      </c>
      <c r="E5614" t="s">
        <v>17</v>
      </c>
      <c r="F5614">
        <v>23.46</v>
      </c>
      <c r="G5614">
        <v>23.87</v>
      </c>
      <c r="H5614" t="s">
        <v>17</v>
      </c>
      <c r="I5614" t="str">
        <f>"060964001015"</f>
        <v>060964001015</v>
      </c>
    </row>
    <row r="5615" spans="1:9" x14ac:dyDescent="0.25">
      <c r="A5615" t="s">
        <v>4901</v>
      </c>
      <c r="B5615" t="s">
        <v>13</v>
      </c>
      <c r="C5615">
        <v>27.85</v>
      </c>
      <c r="D5615">
        <v>26.34</v>
      </c>
      <c r="E5615" t="s">
        <v>17</v>
      </c>
      <c r="F5615">
        <v>24.7</v>
      </c>
      <c r="G5615">
        <v>25.63</v>
      </c>
      <c r="H5615" t="s">
        <v>17</v>
      </c>
      <c r="I5615" t="str">
        <f>"063513005950"</f>
        <v>063513005950</v>
      </c>
    </row>
    <row r="5616" spans="1:9" x14ac:dyDescent="0.25">
      <c r="A5616" t="s">
        <v>4902</v>
      </c>
      <c r="B5616" t="s">
        <v>13</v>
      </c>
      <c r="C5616">
        <v>33.71</v>
      </c>
      <c r="D5616">
        <v>33.549999999999997</v>
      </c>
      <c r="E5616" t="s">
        <v>17</v>
      </c>
      <c r="F5616">
        <v>22.34</v>
      </c>
      <c r="G5616">
        <v>23.87</v>
      </c>
      <c r="H5616" t="s">
        <v>17</v>
      </c>
      <c r="I5616" t="str">
        <f>"060681011751"</f>
        <v>060681011751</v>
      </c>
    </row>
    <row r="5617" spans="1:9" x14ac:dyDescent="0.25">
      <c r="A5617" t="s">
        <v>4903</v>
      </c>
      <c r="B5617" t="s">
        <v>13</v>
      </c>
      <c r="C5617">
        <v>20</v>
      </c>
      <c r="D5617">
        <v>20</v>
      </c>
      <c r="E5617" t="s">
        <v>17</v>
      </c>
      <c r="F5617">
        <v>27.35</v>
      </c>
      <c r="G5617">
        <v>27.25</v>
      </c>
      <c r="H5617" t="s">
        <v>17</v>
      </c>
      <c r="I5617" t="str">
        <f>"060807000778"</f>
        <v>060807000778</v>
      </c>
    </row>
    <row r="5618" spans="1:9" x14ac:dyDescent="0.25">
      <c r="A5618" t="s">
        <v>4904</v>
      </c>
      <c r="B5618" t="s">
        <v>13</v>
      </c>
      <c r="C5618">
        <v>22</v>
      </c>
      <c r="D5618">
        <v>23</v>
      </c>
      <c r="E5618" t="s">
        <v>17</v>
      </c>
      <c r="F5618">
        <v>28.14</v>
      </c>
      <c r="G5618">
        <v>27.26</v>
      </c>
      <c r="H5618" t="s">
        <v>17</v>
      </c>
      <c r="I5618" t="str">
        <f>"062769008032"</f>
        <v>062769008032</v>
      </c>
    </row>
    <row r="5619" spans="1:9" x14ac:dyDescent="0.25">
      <c r="A5619" t="s">
        <v>4905</v>
      </c>
      <c r="B5619" t="s">
        <v>13</v>
      </c>
      <c r="C5619">
        <v>22.1</v>
      </c>
      <c r="D5619" t="s">
        <v>17</v>
      </c>
      <c r="E5619" t="s">
        <v>17</v>
      </c>
      <c r="F5619">
        <v>22.08</v>
      </c>
      <c r="G5619" t="s">
        <v>17</v>
      </c>
      <c r="H5619" t="s">
        <v>17</v>
      </c>
      <c r="I5619" t="str">
        <f>"062271011660"</f>
        <v>062271011660</v>
      </c>
    </row>
    <row r="5620" spans="1:9" x14ac:dyDescent="0.25">
      <c r="A5620" t="s">
        <v>4906</v>
      </c>
      <c r="B5620" t="s">
        <v>13</v>
      </c>
      <c r="C5620">
        <v>15</v>
      </c>
      <c r="D5620">
        <v>15</v>
      </c>
      <c r="E5620" t="s">
        <v>17</v>
      </c>
      <c r="F5620">
        <v>24.67</v>
      </c>
      <c r="G5620">
        <v>25.07</v>
      </c>
      <c r="H5620" t="s">
        <v>17</v>
      </c>
      <c r="I5620" t="str">
        <f>"062271003152"</f>
        <v>062271003152</v>
      </c>
    </row>
    <row r="5621" spans="1:9" x14ac:dyDescent="0.25">
      <c r="A5621" t="s">
        <v>4907</v>
      </c>
      <c r="B5621" t="s">
        <v>13</v>
      </c>
      <c r="C5621">
        <v>81.319999999999993</v>
      </c>
      <c r="D5621">
        <v>81.59</v>
      </c>
      <c r="E5621" t="s">
        <v>17</v>
      </c>
      <c r="F5621">
        <v>22.11</v>
      </c>
      <c r="G5621">
        <v>22.32</v>
      </c>
      <c r="H5621" t="s">
        <v>17</v>
      </c>
      <c r="I5621" t="str">
        <f>"062280003486"</f>
        <v>062280003486</v>
      </c>
    </row>
    <row r="5622" spans="1:9" x14ac:dyDescent="0.25">
      <c r="A5622" t="s">
        <v>4908</v>
      </c>
      <c r="B5622" t="s">
        <v>13</v>
      </c>
      <c r="C5622" t="s">
        <v>14</v>
      </c>
      <c r="D5622" t="s">
        <v>17</v>
      </c>
      <c r="E5622" t="s">
        <v>17</v>
      </c>
      <c r="F5622" t="s">
        <v>17</v>
      </c>
      <c r="G5622" t="s">
        <v>17</v>
      </c>
      <c r="H5622" t="s">
        <v>17</v>
      </c>
      <c r="I5622" t="str">
        <f>"062280012578"</f>
        <v>062280012578</v>
      </c>
    </row>
    <row r="5623" spans="1:9" x14ac:dyDescent="0.25">
      <c r="A5623" t="s">
        <v>4909</v>
      </c>
      <c r="B5623" t="s">
        <v>13</v>
      </c>
      <c r="C5623">
        <v>31.1</v>
      </c>
      <c r="D5623">
        <v>31.1</v>
      </c>
      <c r="E5623" t="s">
        <v>17</v>
      </c>
      <c r="F5623">
        <v>24.18</v>
      </c>
      <c r="G5623">
        <v>23.76</v>
      </c>
      <c r="H5623" t="s">
        <v>17</v>
      </c>
      <c r="I5623" t="str">
        <f>"063060004750"</f>
        <v>063060004750</v>
      </c>
    </row>
    <row r="5624" spans="1:9" x14ac:dyDescent="0.25">
      <c r="A5624" t="s">
        <v>4910</v>
      </c>
      <c r="B5624" t="s">
        <v>13</v>
      </c>
      <c r="C5624">
        <v>1.17</v>
      </c>
      <c r="D5624">
        <v>1.17</v>
      </c>
      <c r="E5624" t="s">
        <v>17</v>
      </c>
      <c r="F5624">
        <v>2.56</v>
      </c>
      <c r="G5624">
        <v>5.98</v>
      </c>
      <c r="H5624" t="s">
        <v>17</v>
      </c>
      <c r="I5624" t="str">
        <f>"062286007462"</f>
        <v>062286007462</v>
      </c>
    </row>
    <row r="5625" spans="1:9" x14ac:dyDescent="0.25">
      <c r="A5625" t="s">
        <v>4911</v>
      </c>
      <c r="B5625" t="s">
        <v>13</v>
      </c>
      <c r="C5625">
        <v>14</v>
      </c>
      <c r="D5625">
        <v>13.5</v>
      </c>
      <c r="E5625" t="s">
        <v>17</v>
      </c>
      <c r="F5625">
        <v>22.93</v>
      </c>
      <c r="G5625">
        <v>23.33</v>
      </c>
      <c r="H5625" t="s">
        <v>17</v>
      </c>
      <c r="I5625" t="str">
        <f>"062286003496"</f>
        <v>062286003496</v>
      </c>
    </row>
    <row r="5626" spans="1:9" x14ac:dyDescent="0.25">
      <c r="A5626" t="s">
        <v>4911</v>
      </c>
      <c r="B5626" t="s">
        <v>13</v>
      </c>
      <c r="C5626">
        <v>13.6</v>
      </c>
      <c r="D5626">
        <v>13.6</v>
      </c>
      <c r="E5626" t="s">
        <v>17</v>
      </c>
      <c r="F5626">
        <v>21.62</v>
      </c>
      <c r="G5626">
        <v>20.96</v>
      </c>
      <c r="H5626" t="s">
        <v>17</v>
      </c>
      <c r="I5626" t="str">
        <f>"061632502054"</f>
        <v>061632502054</v>
      </c>
    </row>
    <row r="5627" spans="1:9" x14ac:dyDescent="0.25">
      <c r="A5627" t="s">
        <v>4912</v>
      </c>
      <c r="B5627" t="s">
        <v>13</v>
      </c>
      <c r="C5627">
        <v>10.6</v>
      </c>
      <c r="D5627">
        <v>10.33</v>
      </c>
      <c r="E5627" t="s">
        <v>17</v>
      </c>
      <c r="F5627">
        <v>18.02</v>
      </c>
      <c r="G5627">
        <v>17.91</v>
      </c>
      <c r="H5627" t="s">
        <v>17</v>
      </c>
      <c r="I5627" t="str">
        <f>"062286003497"</f>
        <v>062286003497</v>
      </c>
    </row>
    <row r="5628" spans="1:9" x14ac:dyDescent="0.25">
      <c r="A5628" t="s">
        <v>4913</v>
      </c>
      <c r="B5628" t="s">
        <v>13</v>
      </c>
      <c r="C5628">
        <v>17.84</v>
      </c>
      <c r="D5628">
        <v>17.75</v>
      </c>
      <c r="E5628" t="s">
        <v>17</v>
      </c>
      <c r="F5628">
        <v>21.8</v>
      </c>
      <c r="G5628">
        <v>23.61</v>
      </c>
      <c r="H5628" t="s">
        <v>17</v>
      </c>
      <c r="I5628" t="str">
        <f>"062289003500"</f>
        <v>062289003500</v>
      </c>
    </row>
    <row r="5629" spans="1:9" x14ac:dyDescent="0.25">
      <c r="A5629" t="s">
        <v>4914</v>
      </c>
      <c r="B5629" t="s">
        <v>13</v>
      </c>
      <c r="C5629">
        <v>13.2</v>
      </c>
      <c r="D5629">
        <v>13.66</v>
      </c>
      <c r="E5629" t="s">
        <v>17</v>
      </c>
      <c r="F5629">
        <v>15.91</v>
      </c>
      <c r="G5629">
        <v>16.54</v>
      </c>
      <c r="H5629" t="s">
        <v>17</v>
      </c>
      <c r="I5629" t="str">
        <f>"062292003504"</f>
        <v>062292003504</v>
      </c>
    </row>
    <row r="5630" spans="1:9" x14ac:dyDescent="0.25">
      <c r="A5630" t="s">
        <v>4915</v>
      </c>
      <c r="B5630" t="s">
        <v>13</v>
      </c>
      <c r="C5630">
        <v>116.75</v>
      </c>
      <c r="D5630">
        <v>113.45</v>
      </c>
      <c r="E5630" t="s">
        <v>17</v>
      </c>
      <c r="F5630">
        <v>27.69</v>
      </c>
      <c r="G5630">
        <v>28.65</v>
      </c>
      <c r="H5630" t="s">
        <v>17</v>
      </c>
      <c r="I5630" t="str">
        <f>"060816010605"</f>
        <v>060816010605</v>
      </c>
    </row>
    <row r="5631" spans="1:9" x14ac:dyDescent="0.25">
      <c r="A5631" t="s">
        <v>4916</v>
      </c>
      <c r="B5631" t="s">
        <v>13</v>
      </c>
      <c r="C5631">
        <v>18.75</v>
      </c>
      <c r="D5631">
        <v>19.600000000000001</v>
      </c>
      <c r="E5631" t="s">
        <v>17</v>
      </c>
      <c r="F5631">
        <v>20.43</v>
      </c>
      <c r="G5631">
        <v>18.829999999999998</v>
      </c>
      <c r="H5631" t="s">
        <v>17</v>
      </c>
      <c r="I5631" t="str">
        <f>"063480005873"</f>
        <v>063480005873</v>
      </c>
    </row>
    <row r="5632" spans="1:9" x14ac:dyDescent="0.25">
      <c r="A5632" t="s">
        <v>4917</v>
      </c>
      <c r="B5632" t="s">
        <v>13</v>
      </c>
      <c r="C5632">
        <v>34</v>
      </c>
      <c r="D5632">
        <v>33</v>
      </c>
      <c r="E5632" t="s">
        <v>17</v>
      </c>
      <c r="F5632">
        <v>23</v>
      </c>
      <c r="G5632">
        <v>23.27</v>
      </c>
      <c r="H5632" t="s">
        <v>17</v>
      </c>
      <c r="I5632" t="str">
        <f>"063393005324"</f>
        <v>063393005324</v>
      </c>
    </row>
    <row r="5633" spans="1:9" x14ac:dyDescent="0.25">
      <c r="A5633" t="s">
        <v>4918</v>
      </c>
      <c r="B5633" t="s">
        <v>13</v>
      </c>
      <c r="C5633">
        <v>33</v>
      </c>
      <c r="D5633">
        <v>33</v>
      </c>
      <c r="E5633" t="s">
        <v>17</v>
      </c>
      <c r="F5633">
        <v>4.6100000000000003</v>
      </c>
      <c r="G5633">
        <v>5.09</v>
      </c>
      <c r="H5633" t="s">
        <v>17</v>
      </c>
      <c r="I5633" t="str">
        <f>"069107812757"</f>
        <v>069107812757</v>
      </c>
    </row>
    <row r="5634" spans="1:9" x14ac:dyDescent="0.25">
      <c r="A5634" t="s">
        <v>4919</v>
      </c>
      <c r="B5634" t="s">
        <v>13</v>
      </c>
      <c r="C5634">
        <v>21.3</v>
      </c>
      <c r="D5634">
        <v>20.5</v>
      </c>
      <c r="E5634" t="s">
        <v>17</v>
      </c>
      <c r="F5634">
        <v>27.98</v>
      </c>
      <c r="G5634">
        <v>29.41</v>
      </c>
      <c r="H5634" t="s">
        <v>17</v>
      </c>
      <c r="I5634" t="str">
        <f>"062583003878"</f>
        <v>062583003878</v>
      </c>
    </row>
    <row r="5635" spans="1:9" x14ac:dyDescent="0.25">
      <c r="A5635" t="s">
        <v>4920</v>
      </c>
      <c r="B5635" t="s">
        <v>13</v>
      </c>
      <c r="C5635">
        <v>18</v>
      </c>
      <c r="D5635">
        <v>18</v>
      </c>
      <c r="E5635" t="s">
        <v>17</v>
      </c>
      <c r="F5635">
        <v>30</v>
      </c>
      <c r="G5635">
        <v>29.17</v>
      </c>
      <c r="H5635" t="s">
        <v>17</v>
      </c>
      <c r="I5635" t="str">
        <f>"063153004887"</f>
        <v>063153004887</v>
      </c>
    </row>
    <row r="5636" spans="1:9" x14ac:dyDescent="0.25">
      <c r="A5636" t="s">
        <v>4921</v>
      </c>
      <c r="B5636" t="s">
        <v>13</v>
      </c>
      <c r="C5636">
        <v>15.5</v>
      </c>
      <c r="D5636">
        <v>15</v>
      </c>
      <c r="E5636" t="s">
        <v>17</v>
      </c>
      <c r="F5636">
        <v>23.61</v>
      </c>
      <c r="G5636">
        <v>22.8</v>
      </c>
      <c r="H5636" t="s">
        <v>17</v>
      </c>
      <c r="I5636" t="str">
        <f>"062574007075"</f>
        <v>062574007075</v>
      </c>
    </row>
    <row r="5637" spans="1:9" x14ac:dyDescent="0.25">
      <c r="A5637" t="s">
        <v>4922</v>
      </c>
      <c r="B5637" t="s">
        <v>13</v>
      </c>
      <c r="C5637">
        <v>24.08</v>
      </c>
      <c r="D5637">
        <v>23.06</v>
      </c>
      <c r="E5637" t="s">
        <v>17</v>
      </c>
      <c r="F5637">
        <v>23.05</v>
      </c>
      <c r="G5637">
        <v>24.2</v>
      </c>
      <c r="H5637" t="s">
        <v>17</v>
      </c>
      <c r="I5637" t="str">
        <f>"063099004803"</f>
        <v>063099004803</v>
      </c>
    </row>
    <row r="5638" spans="1:9" x14ac:dyDescent="0.25">
      <c r="A5638" t="s">
        <v>4923</v>
      </c>
      <c r="B5638" t="s">
        <v>13</v>
      </c>
      <c r="C5638">
        <v>19.45</v>
      </c>
      <c r="D5638">
        <v>20.91</v>
      </c>
      <c r="E5638" t="s">
        <v>17</v>
      </c>
      <c r="F5638">
        <v>23.08</v>
      </c>
      <c r="G5638">
        <v>21.62</v>
      </c>
      <c r="H5638" t="s">
        <v>17</v>
      </c>
      <c r="I5638" t="str">
        <f>"063480005874"</f>
        <v>063480005874</v>
      </c>
    </row>
    <row r="5639" spans="1:9" x14ac:dyDescent="0.25">
      <c r="A5639" t="s">
        <v>4924</v>
      </c>
      <c r="B5639" t="s">
        <v>13</v>
      </c>
      <c r="C5639">
        <v>18</v>
      </c>
      <c r="D5639">
        <v>19</v>
      </c>
      <c r="E5639" t="s">
        <v>17</v>
      </c>
      <c r="F5639">
        <v>22.89</v>
      </c>
      <c r="G5639">
        <v>22.95</v>
      </c>
      <c r="H5639" t="s">
        <v>17</v>
      </c>
      <c r="I5639" t="str">
        <f>"061632502055"</f>
        <v>061632502055</v>
      </c>
    </row>
    <row r="5640" spans="1:9" x14ac:dyDescent="0.25">
      <c r="A5640" t="s">
        <v>4925</v>
      </c>
      <c r="B5640" t="s">
        <v>13</v>
      </c>
      <c r="C5640">
        <v>18</v>
      </c>
      <c r="D5640">
        <v>18</v>
      </c>
      <c r="E5640" t="s">
        <v>17</v>
      </c>
      <c r="F5640">
        <v>28.72</v>
      </c>
      <c r="G5640">
        <v>25.89</v>
      </c>
      <c r="H5640" t="s">
        <v>17</v>
      </c>
      <c r="I5640" t="str">
        <f>"060006409424"</f>
        <v>060006409424</v>
      </c>
    </row>
    <row r="5641" spans="1:9" x14ac:dyDescent="0.25">
      <c r="A5641" t="s">
        <v>4926</v>
      </c>
      <c r="B5641" t="s">
        <v>13</v>
      </c>
      <c r="C5641">
        <v>10.4</v>
      </c>
      <c r="D5641" t="s">
        <v>14</v>
      </c>
      <c r="E5641" t="s">
        <v>14</v>
      </c>
      <c r="F5641">
        <v>24.62</v>
      </c>
      <c r="G5641" t="s">
        <v>14</v>
      </c>
      <c r="H5641" t="s">
        <v>14</v>
      </c>
      <c r="I5641" t="str">
        <f>"063186013130"</f>
        <v>063186013130</v>
      </c>
    </row>
    <row r="5642" spans="1:9" x14ac:dyDescent="0.25">
      <c r="A5642" t="s">
        <v>4927</v>
      </c>
      <c r="B5642" t="s">
        <v>13</v>
      </c>
      <c r="C5642">
        <v>28.5</v>
      </c>
      <c r="D5642">
        <v>29.5</v>
      </c>
      <c r="E5642" t="s">
        <v>17</v>
      </c>
      <c r="F5642">
        <v>22.04</v>
      </c>
      <c r="G5642">
        <v>21.32</v>
      </c>
      <c r="H5642" t="s">
        <v>17</v>
      </c>
      <c r="I5642" t="str">
        <f>"063987011371"</f>
        <v>063987011371</v>
      </c>
    </row>
    <row r="5643" spans="1:9" x14ac:dyDescent="0.25">
      <c r="A5643" t="s">
        <v>4928</v>
      </c>
      <c r="B5643" t="s">
        <v>13</v>
      </c>
      <c r="C5643">
        <v>15.3</v>
      </c>
      <c r="D5643">
        <v>19.2</v>
      </c>
      <c r="E5643" t="s">
        <v>17</v>
      </c>
      <c r="F5643">
        <v>27.71</v>
      </c>
      <c r="G5643">
        <v>22.34</v>
      </c>
      <c r="H5643" t="s">
        <v>17</v>
      </c>
      <c r="I5643" t="str">
        <f>"062295003505"</f>
        <v>062295003505</v>
      </c>
    </row>
    <row r="5644" spans="1:9" x14ac:dyDescent="0.25">
      <c r="A5644" t="s">
        <v>4929</v>
      </c>
      <c r="B5644" t="s">
        <v>13</v>
      </c>
      <c r="C5644">
        <v>10</v>
      </c>
      <c r="D5644">
        <v>8</v>
      </c>
      <c r="E5644" t="s">
        <v>17</v>
      </c>
      <c r="F5644">
        <v>30.3</v>
      </c>
      <c r="G5644">
        <v>33.75</v>
      </c>
      <c r="H5644" t="s">
        <v>17</v>
      </c>
      <c r="I5644" t="str">
        <f>"062271012227"</f>
        <v>062271012227</v>
      </c>
    </row>
    <row r="5645" spans="1:9" x14ac:dyDescent="0.25">
      <c r="A5645" t="s">
        <v>4930</v>
      </c>
      <c r="B5645" t="s">
        <v>13</v>
      </c>
      <c r="C5645">
        <v>6</v>
      </c>
      <c r="D5645">
        <v>11</v>
      </c>
      <c r="E5645" t="s">
        <v>17</v>
      </c>
      <c r="F5645">
        <v>41.83</v>
      </c>
      <c r="G5645">
        <v>33.090000000000003</v>
      </c>
      <c r="H5645" t="s">
        <v>17</v>
      </c>
      <c r="I5645" t="str">
        <f>"062271011666"</f>
        <v>062271011666</v>
      </c>
    </row>
    <row r="5646" spans="1:9" x14ac:dyDescent="0.25">
      <c r="A5646" t="s">
        <v>4931</v>
      </c>
      <c r="B5646" t="s">
        <v>13</v>
      </c>
      <c r="C5646">
        <v>3</v>
      </c>
      <c r="D5646">
        <v>8.5</v>
      </c>
      <c r="E5646" t="s">
        <v>17</v>
      </c>
      <c r="F5646">
        <v>87</v>
      </c>
      <c r="G5646">
        <v>32</v>
      </c>
      <c r="H5646" t="s">
        <v>17</v>
      </c>
      <c r="I5646" t="str">
        <f>"062271011659"</f>
        <v>062271011659</v>
      </c>
    </row>
    <row r="5647" spans="1:9" x14ac:dyDescent="0.25">
      <c r="A5647" t="s">
        <v>4932</v>
      </c>
      <c r="B5647" t="s">
        <v>13</v>
      </c>
      <c r="C5647">
        <v>17</v>
      </c>
      <c r="D5647">
        <v>17</v>
      </c>
      <c r="E5647" t="s">
        <v>17</v>
      </c>
      <c r="F5647">
        <v>28.47</v>
      </c>
      <c r="G5647">
        <v>28.12</v>
      </c>
      <c r="H5647" t="s">
        <v>17</v>
      </c>
      <c r="I5647" t="str">
        <f>"064245006939"</f>
        <v>064245006939</v>
      </c>
    </row>
    <row r="5648" spans="1:9" x14ac:dyDescent="0.25">
      <c r="A5648" t="s">
        <v>4933</v>
      </c>
      <c r="B5648" t="s">
        <v>13</v>
      </c>
      <c r="C5648">
        <v>19.100000000000001</v>
      </c>
      <c r="D5648">
        <v>16.100000000000001</v>
      </c>
      <c r="E5648" t="s">
        <v>17</v>
      </c>
      <c r="F5648">
        <v>25.71</v>
      </c>
      <c r="G5648">
        <v>29.38</v>
      </c>
      <c r="H5648" t="s">
        <v>17</v>
      </c>
      <c r="I5648" t="str">
        <f>"060004707400"</f>
        <v>060004707400</v>
      </c>
    </row>
    <row r="5649" spans="1:9" x14ac:dyDescent="0.25">
      <c r="A5649" t="s">
        <v>4934</v>
      </c>
      <c r="B5649" t="s">
        <v>13</v>
      </c>
      <c r="C5649">
        <v>46.2</v>
      </c>
      <c r="D5649">
        <v>45.81</v>
      </c>
      <c r="E5649" t="s">
        <v>17</v>
      </c>
      <c r="F5649">
        <v>26.39</v>
      </c>
      <c r="G5649">
        <v>25.58</v>
      </c>
      <c r="H5649" t="s">
        <v>17</v>
      </c>
      <c r="I5649" t="str">
        <f>"061029001153"</f>
        <v>061029001153</v>
      </c>
    </row>
    <row r="5650" spans="1:9" x14ac:dyDescent="0.25">
      <c r="A5650" t="s">
        <v>4935</v>
      </c>
      <c r="B5650" t="s">
        <v>13</v>
      </c>
      <c r="C5650">
        <v>12</v>
      </c>
      <c r="D5650">
        <v>14</v>
      </c>
      <c r="E5650" t="s">
        <v>17</v>
      </c>
      <c r="F5650">
        <v>26</v>
      </c>
      <c r="G5650">
        <v>24.5</v>
      </c>
      <c r="H5650" t="s">
        <v>17</v>
      </c>
      <c r="I5650" t="str">
        <f>"061488001889"</f>
        <v>061488001889</v>
      </c>
    </row>
    <row r="5651" spans="1:9" x14ac:dyDescent="0.25">
      <c r="A5651" t="s">
        <v>4936</v>
      </c>
      <c r="B5651" t="s">
        <v>13</v>
      </c>
      <c r="C5651">
        <v>23</v>
      </c>
      <c r="D5651">
        <v>22</v>
      </c>
      <c r="E5651" t="s">
        <v>17</v>
      </c>
      <c r="F5651">
        <v>26.43</v>
      </c>
      <c r="G5651">
        <v>27.27</v>
      </c>
      <c r="H5651" t="s">
        <v>17</v>
      </c>
      <c r="I5651" t="str">
        <f>"060004707396"</f>
        <v>060004707396</v>
      </c>
    </row>
    <row r="5652" spans="1:9" x14ac:dyDescent="0.25">
      <c r="A5652" t="s">
        <v>4937</v>
      </c>
      <c r="B5652" t="s">
        <v>13</v>
      </c>
      <c r="C5652">
        <v>19.64</v>
      </c>
      <c r="D5652">
        <v>21.74</v>
      </c>
      <c r="E5652" t="s">
        <v>17</v>
      </c>
      <c r="F5652">
        <v>30.45</v>
      </c>
      <c r="G5652">
        <v>28.06</v>
      </c>
      <c r="H5652" t="s">
        <v>17</v>
      </c>
      <c r="I5652" t="str">
        <f>"061488008753"</f>
        <v>061488008753</v>
      </c>
    </row>
    <row r="5653" spans="1:9" x14ac:dyDescent="0.25">
      <c r="A5653" t="s">
        <v>4938</v>
      </c>
      <c r="B5653" t="s">
        <v>13</v>
      </c>
      <c r="C5653">
        <v>18.8</v>
      </c>
      <c r="D5653">
        <v>17.5</v>
      </c>
      <c r="E5653" t="s">
        <v>17</v>
      </c>
      <c r="F5653">
        <v>21.01</v>
      </c>
      <c r="G5653">
        <v>22.8</v>
      </c>
      <c r="H5653" t="s">
        <v>17</v>
      </c>
      <c r="I5653" t="str">
        <f>"062706004086"</f>
        <v>062706004086</v>
      </c>
    </row>
    <row r="5654" spans="1:9" x14ac:dyDescent="0.25">
      <c r="A5654" t="s">
        <v>4939</v>
      </c>
      <c r="B5654" t="s">
        <v>13</v>
      </c>
      <c r="C5654">
        <v>27.4</v>
      </c>
      <c r="D5654">
        <v>28.8</v>
      </c>
      <c r="E5654" t="s">
        <v>17</v>
      </c>
      <c r="F5654">
        <v>24.45</v>
      </c>
      <c r="G5654">
        <v>25.97</v>
      </c>
      <c r="H5654" t="s">
        <v>17</v>
      </c>
      <c r="I5654" t="str">
        <f>"063462005808"</f>
        <v>063462005808</v>
      </c>
    </row>
    <row r="5655" spans="1:9" x14ac:dyDescent="0.25">
      <c r="A5655" t="s">
        <v>4940</v>
      </c>
      <c r="B5655" t="s">
        <v>13</v>
      </c>
      <c r="C5655">
        <v>43</v>
      </c>
      <c r="D5655">
        <v>41</v>
      </c>
      <c r="E5655" t="s">
        <v>17</v>
      </c>
      <c r="F5655">
        <v>25.47</v>
      </c>
      <c r="G5655">
        <v>25.15</v>
      </c>
      <c r="H5655" t="s">
        <v>17</v>
      </c>
      <c r="I5655" t="str">
        <f>"060985012394"</f>
        <v>060985012394</v>
      </c>
    </row>
    <row r="5656" spans="1:9" x14ac:dyDescent="0.25">
      <c r="A5656" t="s">
        <v>4941</v>
      </c>
      <c r="B5656" t="s">
        <v>13</v>
      </c>
      <c r="C5656">
        <v>29.95</v>
      </c>
      <c r="D5656">
        <v>31.75</v>
      </c>
      <c r="E5656" t="s">
        <v>17</v>
      </c>
      <c r="F5656">
        <v>26.91</v>
      </c>
      <c r="G5656">
        <v>24.91</v>
      </c>
      <c r="H5656" t="s">
        <v>17</v>
      </c>
      <c r="I5656" t="str">
        <f>"062825012011"</f>
        <v>062825012011</v>
      </c>
    </row>
    <row r="5657" spans="1:9" x14ac:dyDescent="0.25">
      <c r="A5657" t="s">
        <v>4942</v>
      </c>
      <c r="B5657" t="s">
        <v>13</v>
      </c>
      <c r="C5657">
        <v>21.58</v>
      </c>
      <c r="D5657">
        <v>21.21</v>
      </c>
      <c r="E5657" t="s">
        <v>17</v>
      </c>
      <c r="F5657">
        <v>28.04</v>
      </c>
      <c r="G5657">
        <v>28.01</v>
      </c>
      <c r="H5657" t="s">
        <v>17</v>
      </c>
      <c r="I5657" t="str">
        <f>"060639009335"</f>
        <v>060639009335</v>
      </c>
    </row>
    <row r="5658" spans="1:9" x14ac:dyDescent="0.25">
      <c r="A5658" t="s">
        <v>4943</v>
      </c>
      <c r="B5658" t="s">
        <v>13</v>
      </c>
      <c r="C5658">
        <v>26.25</v>
      </c>
      <c r="D5658">
        <v>25.25</v>
      </c>
      <c r="E5658" t="s">
        <v>17</v>
      </c>
      <c r="F5658">
        <v>24.95</v>
      </c>
      <c r="G5658">
        <v>25.11</v>
      </c>
      <c r="H5658" t="s">
        <v>17</v>
      </c>
      <c r="I5658" t="str">
        <f>"062283003492"</f>
        <v>062283003492</v>
      </c>
    </row>
    <row r="5659" spans="1:9" x14ac:dyDescent="0.25">
      <c r="A5659" t="s">
        <v>4944</v>
      </c>
      <c r="B5659" t="s">
        <v>13</v>
      </c>
      <c r="C5659">
        <v>19.75</v>
      </c>
      <c r="D5659">
        <v>21</v>
      </c>
      <c r="E5659" t="s">
        <v>17</v>
      </c>
      <c r="F5659">
        <v>22.18</v>
      </c>
      <c r="G5659">
        <v>20.81</v>
      </c>
      <c r="H5659" t="s">
        <v>17</v>
      </c>
      <c r="I5659" t="str">
        <f>"063078004786"</f>
        <v>063078004786</v>
      </c>
    </row>
    <row r="5660" spans="1:9" x14ac:dyDescent="0.25">
      <c r="A5660" t="s">
        <v>4945</v>
      </c>
      <c r="B5660" t="s">
        <v>13</v>
      </c>
      <c r="C5660">
        <v>29</v>
      </c>
      <c r="D5660">
        <v>31</v>
      </c>
      <c r="E5660" t="s">
        <v>17</v>
      </c>
      <c r="F5660">
        <v>22.52</v>
      </c>
      <c r="G5660">
        <v>22.52</v>
      </c>
      <c r="H5660" t="s">
        <v>17</v>
      </c>
      <c r="I5660" t="str">
        <f>"062271003239"</f>
        <v>062271003239</v>
      </c>
    </row>
    <row r="5661" spans="1:9" x14ac:dyDescent="0.25">
      <c r="A5661" t="s">
        <v>4946</v>
      </c>
      <c r="B5661" t="s">
        <v>13</v>
      </c>
      <c r="C5661">
        <v>6</v>
      </c>
      <c r="D5661">
        <v>5</v>
      </c>
      <c r="E5661" t="s">
        <v>17</v>
      </c>
      <c r="F5661">
        <v>14.83</v>
      </c>
      <c r="G5661">
        <v>16.2</v>
      </c>
      <c r="H5661" t="s">
        <v>17</v>
      </c>
      <c r="I5661" t="str">
        <f>"061035001158"</f>
        <v>061035001158</v>
      </c>
    </row>
    <row r="5662" spans="1:9" x14ac:dyDescent="0.25">
      <c r="A5662" t="s">
        <v>4947</v>
      </c>
      <c r="B5662" t="s">
        <v>13</v>
      </c>
      <c r="C5662">
        <v>27</v>
      </c>
      <c r="D5662">
        <v>27.1</v>
      </c>
      <c r="E5662" t="s">
        <v>17</v>
      </c>
      <c r="F5662">
        <v>23.07</v>
      </c>
      <c r="G5662">
        <v>23.43</v>
      </c>
      <c r="H5662" t="s">
        <v>17</v>
      </c>
      <c r="I5662" t="str">
        <f>"063255011226"</f>
        <v>063255011226</v>
      </c>
    </row>
    <row r="5663" spans="1:9" x14ac:dyDescent="0.25">
      <c r="A5663" t="s">
        <v>4948</v>
      </c>
      <c r="B5663" t="s">
        <v>13</v>
      </c>
      <c r="C5663">
        <v>16.899999999999999</v>
      </c>
      <c r="D5663">
        <v>18.489999999999998</v>
      </c>
      <c r="E5663" t="s">
        <v>17</v>
      </c>
      <c r="F5663">
        <v>23.61</v>
      </c>
      <c r="G5663">
        <v>22.12</v>
      </c>
      <c r="H5663" t="s">
        <v>17</v>
      </c>
      <c r="I5663" t="str">
        <f>"063459005728"</f>
        <v>063459005728</v>
      </c>
    </row>
    <row r="5664" spans="1:9" x14ac:dyDescent="0.25">
      <c r="A5664" t="s">
        <v>4948</v>
      </c>
      <c r="B5664" t="s">
        <v>13</v>
      </c>
      <c r="C5664">
        <v>30</v>
      </c>
      <c r="D5664">
        <v>36</v>
      </c>
      <c r="E5664" t="s">
        <v>17</v>
      </c>
      <c r="F5664">
        <v>28.8</v>
      </c>
      <c r="G5664">
        <v>24.56</v>
      </c>
      <c r="H5664" t="s">
        <v>17</v>
      </c>
      <c r="I5664" t="str">
        <f>"063531005994"</f>
        <v>063531005994</v>
      </c>
    </row>
    <row r="5665" spans="1:9" x14ac:dyDescent="0.25">
      <c r="A5665" t="s">
        <v>4948</v>
      </c>
      <c r="B5665" t="s">
        <v>13</v>
      </c>
      <c r="C5665">
        <v>24</v>
      </c>
      <c r="D5665">
        <v>22.5</v>
      </c>
      <c r="E5665" t="s">
        <v>17</v>
      </c>
      <c r="F5665">
        <v>19.25</v>
      </c>
      <c r="G5665">
        <v>20.09</v>
      </c>
      <c r="H5665" t="s">
        <v>17</v>
      </c>
      <c r="I5665" t="str">
        <f>"061455001749"</f>
        <v>061455001749</v>
      </c>
    </row>
    <row r="5666" spans="1:9" x14ac:dyDescent="0.25">
      <c r="A5666" t="s">
        <v>4948</v>
      </c>
      <c r="B5666" t="s">
        <v>13</v>
      </c>
      <c r="C5666">
        <v>27</v>
      </c>
      <c r="D5666">
        <v>29</v>
      </c>
      <c r="E5666" t="s">
        <v>17</v>
      </c>
      <c r="F5666">
        <v>27.96</v>
      </c>
      <c r="G5666">
        <v>25.66</v>
      </c>
      <c r="H5666" t="s">
        <v>17</v>
      </c>
      <c r="I5666" t="str">
        <f>"062250002739"</f>
        <v>062250002739</v>
      </c>
    </row>
    <row r="5667" spans="1:9" x14ac:dyDescent="0.25">
      <c r="A5667" t="s">
        <v>4949</v>
      </c>
      <c r="B5667" t="s">
        <v>13</v>
      </c>
      <c r="C5667">
        <v>118.71</v>
      </c>
      <c r="D5667">
        <v>123.05</v>
      </c>
      <c r="E5667" t="s">
        <v>17</v>
      </c>
      <c r="F5667">
        <v>22.31</v>
      </c>
      <c r="G5667">
        <v>21.39</v>
      </c>
      <c r="H5667" t="s">
        <v>17</v>
      </c>
      <c r="I5667" t="str">
        <f>"063441005643"</f>
        <v>063441005643</v>
      </c>
    </row>
    <row r="5668" spans="1:9" x14ac:dyDescent="0.25">
      <c r="A5668" t="s">
        <v>4950</v>
      </c>
      <c r="B5668" t="s">
        <v>13</v>
      </c>
      <c r="C5668">
        <v>25</v>
      </c>
      <c r="D5668">
        <v>29.8</v>
      </c>
      <c r="E5668" t="s">
        <v>17</v>
      </c>
      <c r="F5668">
        <v>28.04</v>
      </c>
      <c r="G5668">
        <v>23.59</v>
      </c>
      <c r="H5668" t="s">
        <v>17</v>
      </c>
      <c r="I5668" t="str">
        <f>"062007002403"</f>
        <v>062007002403</v>
      </c>
    </row>
    <row r="5669" spans="1:9" x14ac:dyDescent="0.25">
      <c r="A5669" t="s">
        <v>4951</v>
      </c>
      <c r="B5669" t="s">
        <v>13</v>
      </c>
      <c r="C5669">
        <v>35.549999999999997</v>
      </c>
      <c r="D5669">
        <v>39.93</v>
      </c>
      <c r="E5669" t="s">
        <v>17</v>
      </c>
      <c r="F5669">
        <v>20.9</v>
      </c>
      <c r="G5669">
        <v>18.78</v>
      </c>
      <c r="H5669" t="s">
        <v>17</v>
      </c>
      <c r="I5669" t="str">
        <f>"062007002401"</f>
        <v>062007002401</v>
      </c>
    </row>
    <row r="5670" spans="1:9" x14ac:dyDescent="0.25">
      <c r="A5670" t="s">
        <v>4952</v>
      </c>
      <c r="B5670" t="s">
        <v>13</v>
      </c>
      <c r="C5670">
        <v>16.5</v>
      </c>
      <c r="D5670">
        <v>16.5</v>
      </c>
      <c r="E5670" t="s">
        <v>17</v>
      </c>
      <c r="F5670">
        <v>24.06</v>
      </c>
      <c r="G5670">
        <v>23.64</v>
      </c>
      <c r="H5670" t="s">
        <v>17</v>
      </c>
      <c r="I5670" t="str">
        <f>"061488001825"</f>
        <v>061488001825</v>
      </c>
    </row>
    <row r="5671" spans="1:9" x14ac:dyDescent="0.25">
      <c r="A5671" t="s">
        <v>4953</v>
      </c>
      <c r="B5671" t="s">
        <v>13</v>
      </c>
      <c r="C5671">
        <v>7</v>
      </c>
      <c r="D5671">
        <v>8</v>
      </c>
      <c r="E5671" t="s">
        <v>17</v>
      </c>
      <c r="F5671">
        <v>23</v>
      </c>
      <c r="G5671">
        <v>22.88</v>
      </c>
      <c r="H5671" t="s">
        <v>17</v>
      </c>
      <c r="I5671" t="str">
        <f>"063678006228"</f>
        <v>063678006228</v>
      </c>
    </row>
    <row r="5672" spans="1:9" x14ac:dyDescent="0.25">
      <c r="A5672" t="s">
        <v>4954</v>
      </c>
      <c r="B5672" t="s">
        <v>13</v>
      </c>
      <c r="C5672">
        <v>9.4700000000000006</v>
      </c>
      <c r="D5672">
        <v>8.83</v>
      </c>
      <c r="E5672" t="s">
        <v>17</v>
      </c>
      <c r="F5672">
        <v>11.51</v>
      </c>
      <c r="G5672">
        <v>13.59</v>
      </c>
      <c r="H5672" t="s">
        <v>17</v>
      </c>
      <c r="I5672" t="str">
        <f>"063678006229"</f>
        <v>063678006229</v>
      </c>
    </row>
    <row r="5673" spans="1:9" x14ac:dyDescent="0.25">
      <c r="A5673" t="s">
        <v>4955</v>
      </c>
      <c r="B5673" t="s">
        <v>13</v>
      </c>
      <c r="C5673">
        <v>3</v>
      </c>
      <c r="D5673">
        <v>2.4</v>
      </c>
      <c r="E5673" t="s">
        <v>17</v>
      </c>
      <c r="F5673">
        <v>17</v>
      </c>
      <c r="G5673">
        <v>21.67</v>
      </c>
      <c r="H5673" t="s">
        <v>17</v>
      </c>
      <c r="I5673" t="str">
        <f>"063678006230"</f>
        <v>063678006230</v>
      </c>
    </row>
    <row r="5674" spans="1:9" x14ac:dyDescent="0.25">
      <c r="A5674" t="s">
        <v>4956</v>
      </c>
      <c r="B5674" t="s">
        <v>13</v>
      </c>
      <c r="C5674">
        <v>26.09</v>
      </c>
      <c r="D5674">
        <v>25.21</v>
      </c>
      <c r="E5674" t="s">
        <v>17</v>
      </c>
      <c r="F5674">
        <v>21.96</v>
      </c>
      <c r="G5674">
        <v>23.32</v>
      </c>
      <c r="H5674" t="s">
        <v>17</v>
      </c>
      <c r="I5674" t="str">
        <f>"062265002787"</f>
        <v>062265002787</v>
      </c>
    </row>
    <row r="5675" spans="1:9" x14ac:dyDescent="0.25">
      <c r="A5675" t="s">
        <v>4957</v>
      </c>
      <c r="B5675" t="s">
        <v>13</v>
      </c>
      <c r="C5675">
        <v>18</v>
      </c>
      <c r="D5675">
        <v>19.010000000000002</v>
      </c>
      <c r="E5675" t="s">
        <v>17</v>
      </c>
      <c r="F5675">
        <v>22.94</v>
      </c>
      <c r="G5675">
        <v>25.14</v>
      </c>
      <c r="H5675" t="s">
        <v>17</v>
      </c>
      <c r="I5675" t="str">
        <f>"062271003153"</f>
        <v>062271003153</v>
      </c>
    </row>
    <row r="5676" spans="1:9" x14ac:dyDescent="0.25">
      <c r="A5676" t="s">
        <v>4958</v>
      </c>
      <c r="B5676" t="s">
        <v>13</v>
      </c>
      <c r="C5676">
        <v>7.11</v>
      </c>
      <c r="D5676">
        <v>12.6</v>
      </c>
      <c r="E5676" t="s">
        <v>17</v>
      </c>
      <c r="F5676">
        <v>18.420000000000002</v>
      </c>
      <c r="G5676">
        <v>22.46</v>
      </c>
      <c r="H5676" t="s">
        <v>17</v>
      </c>
      <c r="I5676" t="str">
        <f>"062805010548"</f>
        <v>062805010548</v>
      </c>
    </row>
    <row r="5677" spans="1:9" x14ac:dyDescent="0.25">
      <c r="A5677" t="s">
        <v>4959</v>
      </c>
      <c r="B5677" t="s">
        <v>13</v>
      </c>
      <c r="C5677">
        <v>9.99</v>
      </c>
      <c r="D5677" t="s">
        <v>14</v>
      </c>
      <c r="E5677" t="s">
        <v>14</v>
      </c>
      <c r="F5677">
        <v>17.62</v>
      </c>
      <c r="G5677" t="s">
        <v>14</v>
      </c>
      <c r="H5677" t="s">
        <v>14</v>
      </c>
      <c r="I5677" t="str">
        <f>"062805013155"</f>
        <v>062805013155</v>
      </c>
    </row>
    <row r="5678" spans="1:9" x14ac:dyDescent="0.25">
      <c r="A5678" t="s">
        <v>4960</v>
      </c>
      <c r="B5678" t="s">
        <v>13</v>
      </c>
      <c r="C5678">
        <v>12.37</v>
      </c>
      <c r="D5678">
        <v>12.89</v>
      </c>
      <c r="E5678" t="s">
        <v>17</v>
      </c>
      <c r="F5678">
        <v>18.760000000000002</v>
      </c>
      <c r="G5678">
        <v>17.77</v>
      </c>
      <c r="H5678" t="s">
        <v>17</v>
      </c>
      <c r="I5678" t="str">
        <f>"060231011445"</f>
        <v>060231011445</v>
      </c>
    </row>
    <row r="5679" spans="1:9" x14ac:dyDescent="0.25">
      <c r="A5679" t="s">
        <v>4961</v>
      </c>
      <c r="B5679" t="s">
        <v>13</v>
      </c>
      <c r="C5679">
        <v>20.3</v>
      </c>
      <c r="D5679">
        <v>19.7</v>
      </c>
      <c r="E5679" t="s">
        <v>17</v>
      </c>
      <c r="F5679">
        <v>19.7</v>
      </c>
      <c r="G5679">
        <v>20.61</v>
      </c>
      <c r="H5679" t="s">
        <v>17</v>
      </c>
      <c r="I5679" t="str">
        <f>"062772004188"</f>
        <v>062772004188</v>
      </c>
    </row>
    <row r="5680" spans="1:9" x14ac:dyDescent="0.25">
      <c r="A5680" t="s">
        <v>4962</v>
      </c>
      <c r="B5680" t="s">
        <v>13</v>
      </c>
      <c r="C5680" t="s">
        <v>17</v>
      </c>
      <c r="D5680" t="s">
        <v>14</v>
      </c>
      <c r="E5680" t="s">
        <v>14</v>
      </c>
      <c r="F5680" t="s">
        <v>17</v>
      </c>
      <c r="G5680" t="s">
        <v>14</v>
      </c>
      <c r="H5680" t="s">
        <v>14</v>
      </c>
      <c r="I5680" t="str">
        <f>"060813013637"</f>
        <v>060813013637</v>
      </c>
    </row>
    <row r="5681" spans="1:9" x14ac:dyDescent="0.25">
      <c r="A5681" t="s">
        <v>4963</v>
      </c>
      <c r="B5681" t="s">
        <v>13</v>
      </c>
      <c r="C5681">
        <v>13</v>
      </c>
      <c r="D5681">
        <v>10</v>
      </c>
      <c r="E5681" t="s">
        <v>17</v>
      </c>
      <c r="F5681">
        <v>19.149999999999999</v>
      </c>
      <c r="G5681">
        <v>14.5</v>
      </c>
      <c r="H5681" t="s">
        <v>17</v>
      </c>
      <c r="I5681" t="str">
        <f>"062304003514"</f>
        <v>062304003514</v>
      </c>
    </row>
    <row r="5682" spans="1:9" x14ac:dyDescent="0.25">
      <c r="A5682" t="s">
        <v>4964</v>
      </c>
      <c r="B5682" t="s">
        <v>13</v>
      </c>
      <c r="C5682">
        <v>1</v>
      </c>
      <c r="D5682">
        <v>1</v>
      </c>
      <c r="E5682" t="s">
        <v>17</v>
      </c>
      <c r="F5682">
        <v>5</v>
      </c>
      <c r="G5682">
        <v>11</v>
      </c>
      <c r="H5682" t="s">
        <v>17</v>
      </c>
      <c r="I5682" t="str">
        <f>"060001506466"</f>
        <v>060001506466</v>
      </c>
    </row>
    <row r="5683" spans="1:9" x14ac:dyDescent="0.25">
      <c r="A5683" t="s">
        <v>4965</v>
      </c>
      <c r="B5683" t="s">
        <v>13</v>
      </c>
      <c r="C5683">
        <v>21</v>
      </c>
      <c r="D5683">
        <v>22.1</v>
      </c>
      <c r="E5683" t="s">
        <v>17</v>
      </c>
      <c r="F5683">
        <v>19.05</v>
      </c>
      <c r="G5683">
        <v>19.86</v>
      </c>
      <c r="H5683" t="s">
        <v>17</v>
      </c>
      <c r="I5683" t="str">
        <f>"060001509083"</f>
        <v>060001509083</v>
      </c>
    </row>
    <row r="5684" spans="1:9" x14ac:dyDescent="0.25">
      <c r="A5684" t="s">
        <v>4966</v>
      </c>
      <c r="B5684" t="s">
        <v>13</v>
      </c>
      <c r="C5684">
        <v>11.28</v>
      </c>
      <c r="D5684">
        <v>14.13</v>
      </c>
      <c r="E5684" t="s">
        <v>17</v>
      </c>
      <c r="F5684">
        <v>21.81</v>
      </c>
      <c r="G5684">
        <v>18.05</v>
      </c>
      <c r="H5684" t="s">
        <v>17</v>
      </c>
      <c r="I5684" t="str">
        <f>"060001510305"</f>
        <v>060001510305</v>
      </c>
    </row>
    <row r="5685" spans="1:9" x14ac:dyDescent="0.25">
      <c r="A5685" t="s">
        <v>4967</v>
      </c>
      <c r="B5685" t="s">
        <v>13</v>
      </c>
      <c r="C5685">
        <v>5.89</v>
      </c>
      <c r="D5685">
        <v>6.93</v>
      </c>
      <c r="E5685" t="s">
        <v>17</v>
      </c>
      <c r="F5685">
        <v>19.52</v>
      </c>
      <c r="G5685">
        <v>16.88</v>
      </c>
      <c r="H5685" t="s">
        <v>17</v>
      </c>
      <c r="I5685" t="str">
        <f>"060001509084"</f>
        <v>060001509084</v>
      </c>
    </row>
    <row r="5686" spans="1:9" x14ac:dyDescent="0.25">
      <c r="A5686" t="s">
        <v>4968</v>
      </c>
      <c r="B5686" t="s">
        <v>13</v>
      </c>
      <c r="C5686">
        <v>20</v>
      </c>
      <c r="D5686">
        <v>20</v>
      </c>
      <c r="E5686" t="s">
        <v>17</v>
      </c>
      <c r="F5686">
        <v>25.3</v>
      </c>
      <c r="G5686">
        <v>24.5</v>
      </c>
      <c r="H5686" t="s">
        <v>17</v>
      </c>
      <c r="I5686" t="str">
        <f>"062121011613"</f>
        <v>062121011613</v>
      </c>
    </row>
    <row r="5687" spans="1:9" x14ac:dyDescent="0.25">
      <c r="A5687" t="s">
        <v>4969</v>
      </c>
      <c r="B5687" t="s">
        <v>13</v>
      </c>
      <c r="C5687">
        <v>24.64</v>
      </c>
      <c r="D5687">
        <v>24.75</v>
      </c>
      <c r="E5687" t="s">
        <v>17</v>
      </c>
      <c r="F5687">
        <v>20.010000000000002</v>
      </c>
      <c r="G5687">
        <v>19.43</v>
      </c>
      <c r="H5687" t="s">
        <v>17</v>
      </c>
      <c r="I5687" t="str">
        <f>"062961004594"</f>
        <v>062961004594</v>
      </c>
    </row>
    <row r="5688" spans="1:9" x14ac:dyDescent="0.25">
      <c r="A5688" t="s">
        <v>4970</v>
      </c>
      <c r="B5688" t="s">
        <v>13</v>
      </c>
      <c r="C5688">
        <v>22.5</v>
      </c>
      <c r="D5688" t="s">
        <v>14</v>
      </c>
      <c r="E5688" t="s">
        <v>14</v>
      </c>
      <c r="F5688">
        <v>25.16</v>
      </c>
      <c r="G5688" t="s">
        <v>14</v>
      </c>
      <c r="H5688" t="s">
        <v>14</v>
      </c>
      <c r="I5688" t="str">
        <f>"062271013089"</f>
        <v>062271013089</v>
      </c>
    </row>
    <row r="5689" spans="1:9" x14ac:dyDescent="0.25">
      <c r="A5689" t="s">
        <v>4971</v>
      </c>
      <c r="B5689" t="s">
        <v>13</v>
      </c>
      <c r="C5689">
        <v>15</v>
      </c>
      <c r="D5689">
        <v>14.5</v>
      </c>
      <c r="E5689" t="s">
        <v>17</v>
      </c>
      <c r="F5689">
        <v>25.4</v>
      </c>
      <c r="G5689">
        <v>26.83</v>
      </c>
      <c r="H5689" t="s">
        <v>17</v>
      </c>
      <c r="I5689" t="str">
        <f>"060006312224"</f>
        <v>060006312224</v>
      </c>
    </row>
    <row r="5690" spans="1:9" x14ac:dyDescent="0.25">
      <c r="A5690" t="s">
        <v>4972</v>
      </c>
      <c r="B5690" t="s">
        <v>13</v>
      </c>
      <c r="C5690" t="s">
        <v>17</v>
      </c>
      <c r="D5690" t="s">
        <v>14</v>
      </c>
      <c r="E5690" t="s">
        <v>14</v>
      </c>
      <c r="F5690" t="s">
        <v>17</v>
      </c>
      <c r="G5690" t="s">
        <v>14</v>
      </c>
      <c r="H5690" t="s">
        <v>14</v>
      </c>
      <c r="I5690" t="str">
        <f>"063474013589"</f>
        <v>063474013589</v>
      </c>
    </row>
    <row r="5691" spans="1:9" x14ac:dyDescent="0.25">
      <c r="A5691" t="s">
        <v>4973</v>
      </c>
      <c r="B5691" t="s">
        <v>13</v>
      </c>
      <c r="C5691">
        <v>19</v>
      </c>
      <c r="D5691">
        <v>16</v>
      </c>
      <c r="E5691" t="s">
        <v>17</v>
      </c>
      <c r="F5691">
        <v>23.11</v>
      </c>
      <c r="G5691">
        <v>26.56</v>
      </c>
      <c r="H5691" t="s">
        <v>17</v>
      </c>
      <c r="I5691" t="str">
        <f>"062316003535"</f>
        <v>062316003535</v>
      </c>
    </row>
    <row r="5692" spans="1:9" x14ac:dyDescent="0.25">
      <c r="A5692" t="s">
        <v>4974</v>
      </c>
      <c r="B5692" t="s">
        <v>13</v>
      </c>
      <c r="C5692">
        <v>23.81</v>
      </c>
      <c r="D5692">
        <v>23.72</v>
      </c>
      <c r="E5692" t="s">
        <v>17</v>
      </c>
      <c r="F5692">
        <v>24.23</v>
      </c>
      <c r="G5692">
        <v>25.89</v>
      </c>
      <c r="H5692" t="s">
        <v>17</v>
      </c>
      <c r="I5692" t="str">
        <f>"063207004939"</f>
        <v>063207004939</v>
      </c>
    </row>
    <row r="5693" spans="1:9" x14ac:dyDescent="0.25">
      <c r="A5693" t="s">
        <v>4975</v>
      </c>
      <c r="B5693" t="s">
        <v>13</v>
      </c>
      <c r="C5693">
        <v>26</v>
      </c>
      <c r="D5693">
        <v>28</v>
      </c>
      <c r="E5693" t="s">
        <v>17</v>
      </c>
      <c r="F5693">
        <v>27.27</v>
      </c>
      <c r="G5693">
        <v>24.96</v>
      </c>
      <c r="H5693" t="s">
        <v>17</v>
      </c>
      <c r="I5693" t="str">
        <f>"061518001908"</f>
        <v>061518001908</v>
      </c>
    </row>
    <row r="5694" spans="1:9" x14ac:dyDescent="0.25">
      <c r="A5694" t="s">
        <v>4976</v>
      </c>
      <c r="B5694" t="s">
        <v>13</v>
      </c>
      <c r="C5694">
        <v>35.5</v>
      </c>
      <c r="D5694">
        <v>34</v>
      </c>
      <c r="E5694" t="s">
        <v>17</v>
      </c>
      <c r="F5694">
        <v>27.01</v>
      </c>
      <c r="G5694">
        <v>25.53</v>
      </c>
      <c r="H5694" t="s">
        <v>17</v>
      </c>
      <c r="I5694" t="str">
        <f>"060002710281"</f>
        <v>060002710281</v>
      </c>
    </row>
    <row r="5695" spans="1:9" x14ac:dyDescent="0.25">
      <c r="A5695" t="s">
        <v>4977</v>
      </c>
      <c r="B5695" t="s">
        <v>13</v>
      </c>
      <c r="C5695">
        <v>14</v>
      </c>
      <c r="D5695">
        <v>15</v>
      </c>
      <c r="E5695" t="s">
        <v>17</v>
      </c>
      <c r="F5695">
        <v>25</v>
      </c>
      <c r="G5695">
        <v>25</v>
      </c>
      <c r="H5695" t="s">
        <v>17</v>
      </c>
      <c r="I5695" t="str">
        <f>"062970004609"</f>
        <v>062970004609</v>
      </c>
    </row>
    <row r="5696" spans="1:9" x14ac:dyDescent="0.25">
      <c r="A5696" t="s">
        <v>4978</v>
      </c>
      <c r="B5696" t="s">
        <v>13</v>
      </c>
      <c r="C5696">
        <v>29.15</v>
      </c>
      <c r="D5696">
        <v>30.05</v>
      </c>
      <c r="E5696" t="s">
        <v>17</v>
      </c>
      <c r="F5696">
        <v>21.78</v>
      </c>
      <c r="G5696">
        <v>21.56</v>
      </c>
      <c r="H5696" t="s">
        <v>17</v>
      </c>
      <c r="I5696" t="str">
        <f>"062100002523"</f>
        <v>062100002523</v>
      </c>
    </row>
    <row r="5697" spans="1:9" x14ac:dyDescent="0.25">
      <c r="A5697" t="s">
        <v>4979</v>
      </c>
      <c r="B5697" t="s">
        <v>13</v>
      </c>
      <c r="C5697">
        <v>19</v>
      </c>
      <c r="D5697">
        <v>21</v>
      </c>
      <c r="E5697" t="s">
        <v>17</v>
      </c>
      <c r="F5697">
        <v>21.95</v>
      </c>
      <c r="G5697">
        <v>19.29</v>
      </c>
      <c r="H5697" t="s">
        <v>17</v>
      </c>
      <c r="I5697" t="str">
        <f>"063255005035"</f>
        <v>063255005035</v>
      </c>
    </row>
    <row r="5698" spans="1:9" x14ac:dyDescent="0.25">
      <c r="A5698" t="s">
        <v>4980</v>
      </c>
      <c r="B5698" t="s">
        <v>13</v>
      </c>
      <c r="C5698">
        <v>22</v>
      </c>
      <c r="D5698">
        <v>24</v>
      </c>
      <c r="E5698" t="s">
        <v>17</v>
      </c>
      <c r="F5698">
        <v>25.5</v>
      </c>
      <c r="G5698">
        <v>23.21</v>
      </c>
      <c r="H5698" t="s">
        <v>17</v>
      </c>
      <c r="I5698" t="str">
        <f>"062313003530"</f>
        <v>062313003530</v>
      </c>
    </row>
    <row r="5699" spans="1:9" x14ac:dyDescent="0.25">
      <c r="A5699" t="s">
        <v>4980</v>
      </c>
      <c r="B5699" t="s">
        <v>13</v>
      </c>
      <c r="C5699">
        <v>20.329999999999998</v>
      </c>
      <c r="D5699">
        <v>20.329999999999998</v>
      </c>
      <c r="E5699" t="s">
        <v>17</v>
      </c>
      <c r="F5699">
        <v>20.309999999999999</v>
      </c>
      <c r="G5699">
        <v>17.899999999999999</v>
      </c>
      <c r="H5699" t="s">
        <v>17</v>
      </c>
      <c r="I5699" t="str">
        <f>"063581006118"</f>
        <v>063581006118</v>
      </c>
    </row>
    <row r="5700" spans="1:9" x14ac:dyDescent="0.25">
      <c r="A5700" t="s">
        <v>4980</v>
      </c>
      <c r="B5700" t="s">
        <v>13</v>
      </c>
      <c r="C5700">
        <v>24.55</v>
      </c>
      <c r="D5700">
        <v>24</v>
      </c>
      <c r="E5700" t="s">
        <v>17</v>
      </c>
      <c r="F5700">
        <v>23.5</v>
      </c>
      <c r="G5700">
        <v>24.04</v>
      </c>
      <c r="H5700" t="s">
        <v>17</v>
      </c>
      <c r="I5700" t="str">
        <f>"062460003693"</f>
        <v>062460003693</v>
      </c>
    </row>
    <row r="5701" spans="1:9" x14ac:dyDescent="0.25">
      <c r="A5701" t="s">
        <v>4981</v>
      </c>
      <c r="B5701" t="s">
        <v>13</v>
      </c>
      <c r="C5701">
        <v>95.09</v>
      </c>
      <c r="D5701">
        <v>74.61</v>
      </c>
      <c r="E5701" t="s">
        <v>17</v>
      </c>
      <c r="F5701">
        <v>18.52</v>
      </c>
      <c r="G5701">
        <v>24.5</v>
      </c>
      <c r="H5701" t="s">
        <v>17</v>
      </c>
      <c r="I5701" t="str">
        <f>"063384005264"</f>
        <v>063384005264</v>
      </c>
    </row>
    <row r="5702" spans="1:9" x14ac:dyDescent="0.25">
      <c r="A5702" t="s">
        <v>4982</v>
      </c>
      <c r="B5702" t="s">
        <v>13</v>
      </c>
      <c r="C5702">
        <v>36.01</v>
      </c>
      <c r="D5702">
        <v>38.01</v>
      </c>
      <c r="E5702" t="s">
        <v>17</v>
      </c>
      <c r="F5702">
        <v>24.69</v>
      </c>
      <c r="G5702">
        <v>22.28</v>
      </c>
      <c r="H5702" t="s">
        <v>17</v>
      </c>
      <c r="I5702" t="str">
        <f>"062271002873"</f>
        <v>062271002873</v>
      </c>
    </row>
    <row r="5703" spans="1:9" x14ac:dyDescent="0.25">
      <c r="A5703" t="s">
        <v>4982</v>
      </c>
      <c r="B5703" t="s">
        <v>13</v>
      </c>
      <c r="C5703">
        <v>45</v>
      </c>
      <c r="D5703">
        <v>46.2</v>
      </c>
      <c r="E5703" t="s">
        <v>17</v>
      </c>
      <c r="F5703">
        <v>25.09</v>
      </c>
      <c r="G5703">
        <v>23.68</v>
      </c>
      <c r="H5703" t="s">
        <v>17</v>
      </c>
      <c r="I5703" t="str">
        <f>"060645000571"</f>
        <v>060645000571</v>
      </c>
    </row>
    <row r="5704" spans="1:9" x14ac:dyDescent="0.25">
      <c r="A5704" t="s">
        <v>4983</v>
      </c>
      <c r="B5704" t="s">
        <v>13</v>
      </c>
      <c r="C5704">
        <v>25</v>
      </c>
      <c r="D5704">
        <v>25</v>
      </c>
      <c r="E5704" t="s">
        <v>17</v>
      </c>
      <c r="F5704">
        <v>24.84</v>
      </c>
      <c r="G5704">
        <v>26.12</v>
      </c>
      <c r="H5704" t="s">
        <v>17</v>
      </c>
      <c r="I5704" t="str">
        <f>"062205002616"</f>
        <v>062205002616</v>
      </c>
    </row>
    <row r="5705" spans="1:9" x14ac:dyDescent="0.25">
      <c r="A5705" t="s">
        <v>4984</v>
      </c>
      <c r="B5705" t="s">
        <v>13</v>
      </c>
      <c r="C5705">
        <v>16</v>
      </c>
      <c r="D5705">
        <v>16</v>
      </c>
      <c r="E5705" t="s">
        <v>17</v>
      </c>
      <c r="F5705">
        <v>28</v>
      </c>
      <c r="G5705">
        <v>28.25</v>
      </c>
      <c r="H5705" t="s">
        <v>17</v>
      </c>
      <c r="I5705" t="str">
        <f>"064245006940"</f>
        <v>064245006940</v>
      </c>
    </row>
    <row r="5706" spans="1:9" x14ac:dyDescent="0.25">
      <c r="A5706" t="s">
        <v>4985</v>
      </c>
      <c r="B5706" t="s">
        <v>13</v>
      </c>
      <c r="C5706">
        <v>9</v>
      </c>
      <c r="D5706">
        <v>9</v>
      </c>
      <c r="E5706" t="s">
        <v>17</v>
      </c>
      <c r="F5706">
        <v>28.44</v>
      </c>
      <c r="G5706">
        <v>29.89</v>
      </c>
      <c r="H5706" t="s">
        <v>17</v>
      </c>
      <c r="I5706" t="str">
        <f>"063531007597"</f>
        <v>063531007597</v>
      </c>
    </row>
    <row r="5707" spans="1:9" x14ac:dyDescent="0.25">
      <c r="A5707" t="s">
        <v>4986</v>
      </c>
      <c r="B5707" t="s">
        <v>13</v>
      </c>
      <c r="C5707">
        <v>31.36</v>
      </c>
      <c r="D5707">
        <v>33.04</v>
      </c>
      <c r="E5707" t="s">
        <v>17</v>
      </c>
      <c r="F5707">
        <v>22.16</v>
      </c>
      <c r="G5707">
        <v>21.1</v>
      </c>
      <c r="H5707" t="s">
        <v>17</v>
      </c>
      <c r="I5707" t="str">
        <f>"060002009284"</f>
        <v>060002009284</v>
      </c>
    </row>
    <row r="5708" spans="1:9" x14ac:dyDescent="0.25">
      <c r="A5708" t="s">
        <v>4987</v>
      </c>
      <c r="B5708" t="s">
        <v>13</v>
      </c>
      <c r="C5708">
        <v>34.799999999999997</v>
      </c>
      <c r="D5708">
        <v>35.200000000000003</v>
      </c>
      <c r="E5708" t="s">
        <v>17</v>
      </c>
      <c r="F5708">
        <v>28.07</v>
      </c>
      <c r="G5708">
        <v>27.56</v>
      </c>
      <c r="H5708" t="s">
        <v>17</v>
      </c>
      <c r="I5708" t="str">
        <f>"060846007676"</f>
        <v>060846007676</v>
      </c>
    </row>
    <row r="5709" spans="1:9" x14ac:dyDescent="0.25">
      <c r="A5709" t="s">
        <v>4988</v>
      </c>
      <c r="B5709" t="s">
        <v>13</v>
      </c>
      <c r="C5709">
        <v>28.8</v>
      </c>
      <c r="D5709">
        <v>24.7</v>
      </c>
      <c r="E5709" t="s">
        <v>17</v>
      </c>
      <c r="F5709">
        <v>18.75</v>
      </c>
      <c r="G5709">
        <v>18.579999999999998</v>
      </c>
      <c r="H5709" t="s">
        <v>17</v>
      </c>
      <c r="I5709" t="str">
        <f>"061578001997"</f>
        <v>061578001997</v>
      </c>
    </row>
    <row r="5710" spans="1:9" x14ac:dyDescent="0.25">
      <c r="A5710" t="s">
        <v>4989</v>
      </c>
      <c r="B5710" t="s">
        <v>13</v>
      </c>
      <c r="C5710">
        <v>76</v>
      </c>
      <c r="D5710">
        <v>74.44</v>
      </c>
      <c r="E5710" t="s">
        <v>17</v>
      </c>
      <c r="F5710">
        <v>24.28</v>
      </c>
      <c r="G5710">
        <v>24.02</v>
      </c>
      <c r="H5710" t="s">
        <v>17</v>
      </c>
      <c r="I5710" t="str">
        <f>"061443001698"</f>
        <v>061443001698</v>
      </c>
    </row>
    <row r="5711" spans="1:9" x14ac:dyDescent="0.25">
      <c r="A5711" t="s">
        <v>4990</v>
      </c>
      <c r="B5711" t="s">
        <v>13</v>
      </c>
      <c r="C5711">
        <v>29.49</v>
      </c>
      <c r="D5711">
        <v>31.32</v>
      </c>
      <c r="E5711" t="s">
        <v>17</v>
      </c>
      <c r="F5711">
        <v>18.28</v>
      </c>
      <c r="G5711">
        <v>18.07</v>
      </c>
      <c r="H5711" t="s">
        <v>17</v>
      </c>
      <c r="I5711" t="str">
        <f>"060231000109"</f>
        <v>060231000109</v>
      </c>
    </row>
    <row r="5712" spans="1:9" x14ac:dyDescent="0.25">
      <c r="A5712" t="s">
        <v>4991</v>
      </c>
      <c r="B5712" t="s">
        <v>13</v>
      </c>
      <c r="C5712">
        <v>21</v>
      </c>
      <c r="D5712">
        <v>22</v>
      </c>
      <c r="E5712" t="s">
        <v>17</v>
      </c>
      <c r="F5712">
        <v>24.86</v>
      </c>
      <c r="G5712">
        <v>25.45</v>
      </c>
      <c r="H5712" t="s">
        <v>17</v>
      </c>
      <c r="I5712" t="str">
        <f>"061111008264"</f>
        <v>061111008264</v>
      </c>
    </row>
    <row r="5713" spans="1:9" x14ac:dyDescent="0.25">
      <c r="A5713" t="s">
        <v>4992</v>
      </c>
      <c r="B5713" t="s">
        <v>13</v>
      </c>
      <c r="C5713">
        <v>28</v>
      </c>
      <c r="D5713">
        <v>26</v>
      </c>
      <c r="E5713" t="s">
        <v>17</v>
      </c>
      <c r="F5713">
        <v>20.93</v>
      </c>
      <c r="G5713">
        <v>22.42</v>
      </c>
      <c r="H5713" t="s">
        <v>17</v>
      </c>
      <c r="I5713" t="str">
        <f>"060720000670"</f>
        <v>060720000670</v>
      </c>
    </row>
    <row r="5714" spans="1:9" x14ac:dyDescent="0.25">
      <c r="A5714" t="s">
        <v>4993</v>
      </c>
      <c r="B5714" t="s">
        <v>13</v>
      </c>
      <c r="C5714" t="s">
        <v>17</v>
      </c>
      <c r="D5714" t="s">
        <v>14</v>
      </c>
      <c r="E5714" t="s">
        <v>14</v>
      </c>
      <c r="F5714" t="s">
        <v>17</v>
      </c>
      <c r="G5714" t="s">
        <v>14</v>
      </c>
      <c r="H5714" t="s">
        <v>14</v>
      </c>
      <c r="I5714" t="str">
        <f>"062316013431"</f>
        <v>062316013431</v>
      </c>
    </row>
    <row r="5715" spans="1:9" x14ac:dyDescent="0.25">
      <c r="A5715" t="s">
        <v>4994</v>
      </c>
      <c r="B5715" t="s">
        <v>13</v>
      </c>
      <c r="C5715">
        <v>24</v>
      </c>
      <c r="D5715">
        <v>23</v>
      </c>
      <c r="E5715" t="s">
        <v>17</v>
      </c>
      <c r="F5715">
        <v>17.170000000000002</v>
      </c>
      <c r="G5715">
        <v>18.52</v>
      </c>
      <c r="H5715" t="s">
        <v>17</v>
      </c>
      <c r="I5715" t="str">
        <f>"062772004189"</f>
        <v>062772004189</v>
      </c>
    </row>
    <row r="5716" spans="1:9" x14ac:dyDescent="0.25">
      <c r="A5716" t="s">
        <v>4995</v>
      </c>
      <c r="B5716" t="s">
        <v>13</v>
      </c>
      <c r="C5716">
        <v>89.6</v>
      </c>
      <c r="D5716">
        <v>91.5</v>
      </c>
      <c r="E5716" t="s">
        <v>17</v>
      </c>
      <c r="F5716">
        <v>26.02</v>
      </c>
      <c r="G5716">
        <v>26.81</v>
      </c>
      <c r="H5716" t="s">
        <v>17</v>
      </c>
      <c r="I5716" t="str">
        <f>"062316003536"</f>
        <v>062316003536</v>
      </c>
    </row>
    <row r="5717" spans="1:9" x14ac:dyDescent="0.25">
      <c r="A5717" t="s">
        <v>4996</v>
      </c>
      <c r="B5717" t="s">
        <v>13</v>
      </c>
      <c r="C5717">
        <v>43.2</v>
      </c>
      <c r="D5717">
        <v>53</v>
      </c>
      <c r="E5717" t="s">
        <v>17</v>
      </c>
      <c r="F5717">
        <v>22.85</v>
      </c>
      <c r="G5717">
        <v>18.57</v>
      </c>
      <c r="H5717" t="s">
        <v>17</v>
      </c>
      <c r="I5717" t="str">
        <f>"062316007527"</f>
        <v>062316007527</v>
      </c>
    </row>
    <row r="5718" spans="1:9" x14ac:dyDescent="0.25">
      <c r="A5718" t="s">
        <v>4997</v>
      </c>
      <c r="B5718" t="s">
        <v>13</v>
      </c>
      <c r="C5718">
        <v>36.5</v>
      </c>
      <c r="D5718">
        <v>37</v>
      </c>
      <c r="E5718" t="s">
        <v>17</v>
      </c>
      <c r="F5718">
        <v>20.22</v>
      </c>
      <c r="G5718">
        <v>19.95</v>
      </c>
      <c r="H5718" t="s">
        <v>17</v>
      </c>
      <c r="I5718" t="str">
        <f>"063417005367"</f>
        <v>063417005367</v>
      </c>
    </row>
    <row r="5719" spans="1:9" x14ac:dyDescent="0.25">
      <c r="A5719" t="s">
        <v>4998</v>
      </c>
      <c r="B5719" t="s">
        <v>13</v>
      </c>
      <c r="C5719">
        <v>48.64</v>
      </c>
      <c r="D5719">
        <v>49.36</v>
      </c>
      <c r="E5719" t="s">
        <v>17</v>
      </c>
      <c r="F5719">
        <v>23.68</v>
      </c>
      <c r="G5719">
        <v>23.58</v>
      </c>
      <c r="H5719" t="s">
        <v>17</v>
      </c>
      <c r="I5719" t="str">
        <f>"062031002449"</f>
        <v>062031002449</v>
      </c>
    </row>
    <row r="5720" spans="1:9" x14ac:dyDescent="0.25">
      <c r="A5720" t="s">
        <v>4999</v>
      </c>
      <c r="B5720" t="s">
        <v>13</v>
      </c>
      <c r="C5720">
        <v>25</v>
      </c>
      <c r="D5720">
        <v>24</v>
      </c>
      <c r="E5720" t="s">
        <v>17</v>
      </c>
      <c r="F5720">
        <v>24.4</v>
      </c>
      <c r="G5720">
        <v>24.29</v>
      </c>
      <c r="H5720" t="s">
        <v>17</v>
      </c>
      <c r="I5720" t="str">
        <f>"060813011491"</f>
        <v>060813011491</v>
      </c>
    </row>
    <row r="5721" spans="1:9" x14ac:dyDescent="0.25">
      <c r="A5721" t="s">
        <v>5000</v>
      </c>
      <c r="B5721" t="s">
        <v>13</v>
      </c>
      <c r="C5721">
        <v>6.67</v>
      </c>
      <c r="D5721">
        <v>10.27</v>
      </c>
      <c r="E5721" t="s">
        <v>17</v>
      </c>
      <c r="F5721">
        <v>38.68</v>
      </c>
      <c r="G5721">
        <v>29.99</v>
      </c>
      <c r="H5721" t="s">
        <v>17</v>
      </c>
      <c r="I5721" t="str">
        <f>"063864010384"</f>
        <v>063864010384</v>
      </c>
    </row>
    <row r="5722" spans="1:9" x14ac:dyDescent="0.25">
      <c r="A5722" t="s">
        <v>5001</v>
      </c>
      <c r="B5722" t="s">
        <v>13</v>
      </c>
      <c r="C5722">
        <v>11</v>
      </c>
      <c r="D5722">
        <v>12</v>
      </c>
      <c r="E5722" t="s">
        <v>17</v>
      </c>
      <c r="F5722">
        <v>22.82</v>
      </c>
      <c r="G5722">
        <v>19.829999999999998</v>
      </c>
      <c r="H5722" t="s">
        <v>17</v>
      </c>
      <c r="I5722" t="str">
        <f>"061488001831"</f>
        <v>061488001831</v>
      </c>
    </row>
    <row r="5723" spans="1:9" x14ac:dyDescent="0.25">
      <c r="A5723" t="s">
        <v>5002</v>
      </c>
      <c r="B5723" t="s">
        <v>13</v>
      </c>
      <c r="C5723">
        <v>18</v>
      </c>
      <c r="D5723">
        <v>22</v>
      </c>
      <c r="E5723" t="s">
        <v>17</v>
      </c>
      <c r="F5723">
        <v>27.22</v>
      </c>
      <c r="G5723">
        <v>25.32</v>
      </c>
      <c r="H5723" t="s">
        <v>17</v>
      </c>
      <c r="I5723" t="str">
        <f>"060636000559"</f>
        <v>060636000559</v>
      </c>
    </row>
    <row r="5724" spans="1:9" x14ac:dyDescent="0.25">
      <c r="A5724" t="s">
        <v>5003</v>
      </c>
      <c r="B5724" t="s">
        <v>13</v>
      </c>
      <c r="C5724">
        <v>19.899999999999999</v>
      </c>
      <c r="D5724">
        <v>16.45</v>
      </c>
      <c r="E5724" t="s">
        <v>17</v>
      </c>
      <c r="F5724">
        <v>22.61</v>
      </c>
      <c r="G5724">
        <v>27.23</v>
      </c>
      <c r="H5724" t="s">
        <v>17</v>
      </c>
      <c r="I5724" t="str">
        <f>"063066009613"</f>
        <v>063066009613</v>
      </c>
    </row>
    <row r="5725" spans="1:9" x14ac:dyDescent="0.25">
      <c r="A5725" t="s">
        <v>5004</v>
      </c>
      <c r="B5725" t="s">
        <v>13</v>
      </c>
      <c r="C5725">
        <v>27.42</v>
      </c>
      <c r="D5725">
        <v>30</v>
      </c>
      <c r="E5725" t="s">
        <v>17</v>
      </c>
      <c r="F5725">
        <v>27.06</v>
      </c>
      <c r="G5725">
        <v>24.93</v>
      </c>
      <c r="H5725" t="s">
        <v>17</v>
      </c>
      <c r="I5725" t="str">
        <f>"062169002580"</f>
        <v>062169002580</v>
      </c>
    </row>
    <row r="5726" spans="1:9" x14ac:dyDescent="0.25">
      <c r="A5726" t="s">
        <v>5005</v>
      </c>
      <c r="B5726" t="s">
        <v>13</v>
      </c>
      <c r="C5726">
        <v>20</v>
      </c>
      <c r="D5726">
        <v>22.5</v>
      </c>
      <c r="E5726" t="s">
        <v>17</v>
      </c>
      <c r="F5726">
        <v>25.45</v>
      </c>
      <c r="G5726">
        <v>24.71</v>
      </c>
      <c r="H5726" t="s">
        <v>17</v>
      </c>
      <c r="I5726" t="str">
        <f>"062250002740"</f>
        <v>062250002740</v>
      </c>
    </row>
    <row r="5727" spans="1:9" x14ac:dyDescent="0.25">
      <c r="A5727" t="s">
        <v>5006</v>
      </c>
      <c r="B5727" t="s">
        <v>13</v>
      </c>
      <c r="C5727">
        <v>20</v>
      </c>
      <c r="D5727">
        <v>8</v>
      </c>
      <c r="E5727" t="s">
        <v>17</v>
      </c>
      <c r="F5727">
        <v>23.85</v>
      </c>
      <c r="G5727">
        <v>22.13</v>
      </c>
      <c r="H5727" t="s">
        <v>17</v>
      </c>
      <c r="I5727" t="str">
        <f>"062271010529"</f>
        <v>062271010529</v>
      </c>
    </row>
    <row r="5728" spans="1:9" x14ac:dyDescent="0.25">
      <c r="A5728" t="s">
        <v>5007</v>
      </c>
      <c r="B5728" t="s">
        <v>13</v>
      </c>
      <c r="C5728">
        <v>2.2000000000000002</v>
      </c>
      <c r="D5728">
        <v>2</v>
      </c>
      <c r="E5728" t="s">
        <v>17</v>
      </c>
      <c r="F5728">
        <v>12.73</v>
      </c>
      <c r="G5728">
        <v>23</v>
      </c>
      <c r="H5728" t="s">
        <v>17</v>
      </c>
      <c r="I5728" t="str">
        <f>"060186007638"</f>
        <v>060186007638</v>
      </c>
    </row>
    <row r="5729" spans="1:9" x14ac:dyDescent="0.25">
      <c r="A5729" t="s">
        <v>5008</v>
      </c>
      <c r="B5729" t="s">
        <v>13</v>
      </c>
      <c r="C5729">
        <v>29</v>
      </c>
      <c r="D5729">
        <v>28</v>
      </c>
      <c r="E5729" t="s">
        <v>17</v>
      </c>
      <c r="F5729">
        <v>23.97</v>
      </c>
      <c r="G5729">
        <v>24.5</v>
      </c>
      <c r="H5729" t="s">
        <v>17</v>
      </c>
      <c r="I5729" t="str">
        <f>"060002709491"</f>
        <v>060002709491</v>
      </c>
    </row>
    <row r="5730" spans="1:9" x14ac:dyDescent="0.25">
      <c r="A5730" t="s">
        <v>5009</v>
      </c>
      <c r="B5730" t="s">
        <v>13</v>
      </c>
      <c r="C5730">
        <v>23</v>
      </c>
      <c r="D5730">
        <v>21</v>
      </c>
      <c r="E5730" t="s">
        <v>17</v>
      </c>
      <c r="F5730">
        <v>25.78</v>
      </c>
      <c r="G5730">
        <v>26.81</v>
      </c>
      <c r="H5730" t="s">
        <v>17</v>
      </c>
      <c r="I5730" t="str">
        <f>"062301003509"</f>
        <v>062301003509</v>
      </c>
    </row>
    <row r="5731" spans="1:9" x14ac:dyDescent="0.25">
      <c r="A5731" t="s">
        <v>5010</v>
      </c>
      <c r="B5731" t="s">
        <v>13</v>
      </c>
      <c r="C5731">
        <v>31.84</v>
      </c>
      <c r="D5731">
        <v>35</v>
      </c>
      <c r="E5731" t="s">
        <v>17</v>
      </c>
      <c r="F5731">
        <v>29.33</v>
      </c>
      <c r="G5731">
        <v>27.06</v>
      </c>
      <c r="H5731" t="s">
        <v>17</v>
      </c>
      <c r="I5731" t="str">
        <f>"062547003801"</f>
        <v>062547003801</v>
      </c>
    </row>
    <row r="5732" spans="1:9" x14ac:dyDescent="0.25">
      <c r="A5732" t="s">
        <v>5011</v>
      </c>
      <c r="B5732" t="s">
        <v>13</v>
      </c>
      <c r="C5732">
        <v>8.51</v>
      </c>
      <c r="D5732">
        <v>6.14</v>
      </c>
      <c r="E5732" t="s">
        <v>17</v>
      </c>
      <c r="F5732">
        <v>40.659999999999997</v>
      </c>
      <c r="G5732">
        <v>34.36</v>
      </c>
      <c r="H5732" t="s">
        <v>17</v>
      </c>
      <c r="I5732" t="str">
        <f>"069101712301"</f>
        <v>069101712301</v>
      </c>
    </row>
    <row r="5733" spans="1:9" x14ac:dyDescent="0.25">
      <c r="A5733" t="s">
        <v>5012</v>
      </c>
      <c r="B5733" t="s">
        <v>13</v>
      </c>
      <c r="C5733">
        <v>19</v>
      </c>
      <c r="D5733">
        <v>21</v>
      </c>
      <c r="E5733" t="s">
        <v>17</v>
      </c>
      <c r="F5733">
        <v>29</v>
      </c>
      <c r="G5733">
        <v>25</v>
      </c>
      <c r="H5733" t="s">
        <v>17</v>
      </c>
      <c r="I5733" t="str">
        <f>"063255005043"</f>
        <v>063255005043</v>
      </c>
    </row>
    <row r="5734" spans="1:9" x14ac:dyDescent="0.25">
      <c r="A5734" t="s">
        <v>5012</v>
      </c>
      <c r="B5734" t="s">
        <v>13</v>
      </c>
      <c r="C5734">
        <v>21</v>
      </c>
      <c r="D5734">
        <v>20</v>
      </c>
      <c r="E5734" t="s">
        <v>17</v>
      </c>
      <c r="F5734">
        <v>24.86</v>
      </c>
      <c r="G5734">
        <v>23.1</v>
      </c>
      <c r="H5734" t="s">
        <v>17</v>
      </c>
      <c r="I5734" t="str">
        <f>"063684006261"</f>
        <v>063684006261</v>
      </c>
    </row>
    <row r="5735" spans="1:9" x14ac:dyDescent="0.25">
      <c r="A5735" t="s">
        <v>5013</v>
      </c>
      <c r="B5735" t="s">
        <v>13</v>
      </c>
      <c r="C5735">
        <v>86.5</v>
      </c>
      <c r="D5735">
        <v>83.53</v>
      </c>
      <c r="E5735" t="s">
        <v>17</v>
      </c>
      <c r="F5735">
        <v>25.01</v>
      </c>
      <c r="G5735">
        <v>25.86</v>
      </c>
      <c r="H5735" t="s">
        <v>17</v>
      </c>
      <c r="I5735" t="str">
        <f>"062334003548"</f>
        <v>062334003548</v>
      </c>
    </row>
    <row r="5736" spans="1:9" x14ac:dyDescent="0.25">
      <c r="A5736" t="s">
        <v>5014</v>
      </c>
      <c r="B5736" t="s">
        <v>13</v>
      </c>
      <c r="C5736">
        <v>108.4</v>
      </c>
      <c r="D5736">
        <v>103.66</v>
      </c>
      <c r="E5736" t="s">
        <v>17</v>
      </c>
      <c r="F5736">
        <v>24.95</v>
      </c>
      <c r="G5736">
        <v>26.4</v>
      </c>
      <c r="H5736" t="s">
        <v>17</v>
      </c>
      <c r="I5736" t="str">
        <f>"062334011679"</f>
        <v>062334011679</v>
      </c>
    </row>
    <row r="5737" spans="1:9" x14ac:dyDescent="0.25">
      <c r="A5737" t="s">
        <v>5015</v>
      </c>
      <c r="B5737" t="s">
        <v>13</v>
      </c>
      <c r="C5737">
        <v>25</v>
      </c>
      <c r="D5737">
        <v>24.47</v>
      </c>
      <c r="E5737" t="s">
        <v>17</v>
      </c>
      <c r="F5737">
        <v>24.48</v>
      </c>
      <c r="G5737">
        <v>26.48</v>
      </c>
      <c r="H5737" t="s">
        <v>17</v>
      </c>
      <c r="I5737" t="str">
        <f>"060261000159"</f>
        <v>060261000159</v>
      </c>
    </row>
    <row r="5738" spans="1:9" x14ac:dyDescent="0.25">
      <c r="A5738" t="s">
        <v>5016</v>
      </c>
      <c r="B5738" t="s">
        <v>13</v>
      </c>
      <c r="C5738">
        <v>19</v>
      </c>
      <c r="D5738">
        <v>19</v>
      </c>
      <c r="E5738" t="s">
        <v>17</v>
      </c>
      <c r="F5738">
        <v>22.79</v>
      </c>
      <c r="G5738">
        <v>23.11</v>
      </c>
      <c r="H5738" t="s">
        <v>17</v>
      </c>
      <c r="I5738" t="str">
        <f>"060681000619"</f>
        <v>060681000619</v>
      </c>
    </row>
    <row r="5739" spans="1:9" x14ac:dyDescent="0.25">
      <c r="A5739" t="s">
        <v>5017</v>
      </c>
      <c r="B5739" t="s">
        <v>13</v>
      </c>
      <c r="C5739">
        <v>1.48</v>
      </c>
      <c r="D5739">
        <v>1.4</v>
      </c>
      <c r="E5739" t="s">
        <v>17</v>
      </c>
      <c r="F5739">
        <v>12.16</v>
      </c>
      <c r="G5739">
        <v>18.57</v>
      </c>
      <c r="H5739" t="s">
        <v>17</v>
      </c>
      <c r="I5739" t="str">
        <f>"061293007705"</f>
        <v>061293007705</v>
      </c>
    </row>
    <row r="5740" spans="1:9" x14ac:dyDescent="0.25">
      <c r="A5740" t="s">
        <v>5018</v>
      </c>
      <c r="B5740" t="s">
        <v>13</v>
      </c>
      <c r="C5740">
        <v>27.15</v>
      </c>
      <c r="D5740">
        <v>25.6</v>
      </c>
      <c r="E5740" t="s">
        <v>17</v>
      </c>
      <c r="F5740">
        <v>27.07</v>
      </c>
      <c r="G5740">
        <v>26.8</v>
      </c>
      <c r="H5740" t="s">
        <v>17</v>
      </c>
      <c r="I5740" t="str">
        <f>"063315005150"</f>
        <v>063315005150</v>
      </c>
    </row>
    <row r="5741" spans="1:9" x14ac:dyDescent="0.25">
      <c r="A5741" t="s">
        <v>5018</v>
      </c>
      <c r="B5741" t="s">
        <v>13</v>
      </c>
      <c r="C5741">
        <v>17.059999999999999</v>
      </c>
      <c r="D5741">
        <v>18.399999999999999</v>
      </c>
      <c r="E5741" t="s">
        <v>17</v>
      </c>
      <c r="F5741">
        <v>22.16</v>
      </c>
      <c r="G5741">
        <v>22.17</v>
      </c>
      <c r="H5741" t="s">
        <v>17</v>
      </c>
      <c r="I5741" t="str">
        <f>"063468007482"</f>
        <v>063468007482</v>
      </c>
    </row>
    <row r="5742" spans="1:9" x14ac:dyDescent="0.25">
      <c r="A5742" t="s">
        <v>5018</v>
      </c>
      <c r="B5742" t="s">
        <v>13</v>
      </c>
      <c r="C5742">
        <v>24.5</v>
      </c>
      <c r="D5742">
        <v>24</v>
      </c>
      <c r="E5742" t="s">
        <v>17</v>
      </c>
      <c r="F5742">
        <v>27.35</v>
      </c>
      <c r="G5742">
        <v>25.83</v>
      </c>
      <c r="H5742" t="s">
        <v>17</v>
      </c>
      <c r="I5742" t="str">
        <f>"060133205102"</f>
        <v>060133205102</v>
      </c>
    </row>
    <row r="5743" spans="1:9" x14ac:dyDescent="0.25">
      <c r="A5743" t="s">
        <v>5018</v>
      </c>
      <c r="B5743" t="s">
        <v>13</v>
      </c>
      <c r="C5743">
        <v>25.14</v>
      </c>
      <c r="D5743">
        <v>28.42</v>
      </c>
      <c r="E5743" t="s">
        <v>17</v>
      </c>
      <c r="F5743">
        <v>28.44</v>
      </c>
      <c r="G5743">
        <v>24.81</v>
      </c>
      <c r="H5743" t="s">
        <v>17</v>
      </c>
      <c r="I5743" t="str">
        <f>"063801006422"</f>
        <v>063801006422</v>
      </c>
    </row>
    <row r="5744" spans="1:9" x14ac:dyDescent="0.25">
      <c r="A5744" t="s">
        <v>5018</v>
      </c>
      <c r="B5744" t="s">
        <v>13</v>
      </c>
      <c r="C5744">
        <v>20.2</v>
      </c>
      <c r="D5744">
        <v>17.5</v>
      </c>
      <c r="E5744" t="s">
        <v>17</v>
      </c>
      <c r="F5744">
        <v>23.32</v>
      </c>
      <c r="G5744">
        <v>28.29</v>
      </c>
      <c r="H5744" t="s">
        <v>17</v>
      </c>
      <c r="I5744" t="str">
        <f>"062994004678"</f>
        <v>062994004678</v>
      </c>
    </row>
    <row r="5745" spans="1:9" x14ac:dyDescent="0.25">
      <c r="A5745" t="s">
        <v>5018</v>
      </c>
      <c r="B5745" t="s">
        <v>13</v>
      </c>
      <c r="C5745">
        <v>25</v>
      </c>
      <c r="D5745">
        <v>28</v>
      </c>
      <c r="E5745" t="s">
        <v>17</v>
      </c>
      <c r="F5745">
        <v>25.96</v>
      </c>
      <c r="G5745">
        <v>22.79</v>
      </c>
      <c r="H5745" t="s">
        <v>17</v>
      </c>
      <c r="I5745" t="str">
        <f>"063132004852"</f>
        <v>063132004852</v>
      </c>
    </row>
    <row r="5746" spans="1:9" x14ac:dyDescent="0.25">
      <c r="A5746" t="s">
        <v>5018</v>
      </c>
      <c r="B5746" t="s">
        <v>13</v>
      </c>
      <c r="C5746">
        <v>40</v>
      </c>
      <c r="D5746">
        <v>38.5</v>
      </c>
      <c r="E5746" t="s">
        <v>17</v>
      </c>
      <c r="F5746">
        <v>26.83</v>
      </c>
      <c r="G5746">
        <v>26.99</v>
      </c>
      <c r="H5746" t="s">
        <v>17</v>
      </c>
      <c r="I5746" t="str">
        <f>"063531005995"</f>
        <v>063531005995</v>
      </c>
    </row>
    <row r="5747" spans="1:9" x14ac:dyDescent="0.25">
      <c r="A5747" t="s">
        <v>5018</v>
      </c>
      <c r="B5747" t="s">
        <v>13</v>
      </c>
      <c r="C5747">
        <v>25</v>
      </c>
      <c r="D5747">
        <v>24.5</v>
      </c>
      <c r="E5747" t="s">
        <v>17</v>
      </c>
      <c r="F5747">
        <v>24.64</v>
      </c>
      <c r="G5747">
        <v>23.88</v>
      </c>
      <c r="H5747" t="s">
        <v>17</v>
      </c>
      <c r="I5747" t="str">
        <f>"062271011625"</f>
        <v>062271011625</v>
      </c>
    </row>
    <row r="5748" spans="1:9" x14ac:dyDescent="0.25">
      <c r="A5748" t="s">
        <v>5018</v>
      </c>
      <c r="B5748" t="s">
        <v>13</v>
      </c>
      <c r="C5748">
        <v>16</v>
      </c>
      <c r="D5748">
        <v>17</v>
      </c>
      <c r="E5748" t="s">
        <v>17</v>
      </c>
      <c r="F5748">
        <v>28.44</v>
      </c>
      <c r="G5748">
        <v>25.82</v>
      </c>
      <c r="H5748" t="s">
        <v>17</v>
      </c>
      <c r="I5748" t="str">
        <f>"060003204958"</f>
        <v>060003204958</v>
      </c>
    </row>
    <row r="5749" spans="1:9" x14ac:dyDescent="0.25">
      <c r="A5749" t="s">
        <v>5018</v>
      </c>
      <c r="B5749" t="s">
        <v>13</v>
      </c>
      <c r="C5749">
        <v>27.6</v>
      </c>
      <c r="D5749">
        <v>28.15</v>
      </c>
      <c r="E5749" t="s">
        <v>17</v>
      </c>
      <c r="F5749">
        <v>26.81</v>
      </c>
      <c r="G5749">
        <v>28.53</v>
      </c>
      <c r="H5749" t="s">
        <v>17</v>
      </c>
      <c r="I5749" t="str">
        <f>"060797009123"</f>
        <v>060797009123</v>
      </c>
    </row>
    <row r="5750" spans="1:9" x14ac:dyDescent="0.25">
      <c r="A5750" t="s">
        <v>5018</v>
      </c>
      <c r="B5750" t="s">
        <v>13</v>
      </c>
      <c r="C5750">
        <v>20</v>
      </c>
      <c r="D5750">
        <v>20.239999999999998</v>
      </c>
      <c r="E5750" t="s">
        <v>17</v>
      </c>
      <c r="F5750">
        <v>23.15</v>
      </c>
      <c r="G5750">
        <v>22.48</v>
      </c>
      <c r="H5750" t="s">
        <v>17</v>
      </c>
      <c r="I5750" t="str">
        <f>"063525005977"</f>
        <v>063525005977</v>
      </c>
    </row>
    <row r="5751" spans="1:9" x14ac:dyDescent="0.25">
      <c r="A5751" t="s">
        <v>5018</v>
      </c>
      <c r="B5751" t="s">
        <v>13</v>
      </c>
      <c r="C5751">
        <v>21.5</v>
      </c>
      <c r="D5751">
        <v>22.5</v>
      </c>
      <c r="E5751" t="s">
        <v>17</v>
      </c>
      <c r="F5751">
        <v>25.26</v>
      </c>
      <c r="G5751">
        <v>25.78</v>
      </c>
      <c r="H5751" t="s">
        <v>17</v>
      </c>
      <c r="I5751" t="str">
        <f>"062250002741"</f>
        <v>062250002741</v>
      </c>
    </row>
    <row r="5752" spans="1:9" x14ac:dyDescent="0.25">
      <c r="A5752" t="s">
        <v>5019</v>
      </c>
      <c r="B5752" t="s">
        <v>13</v>
      </c>
      <c r="C5752">
        <v>63.63</v>
      </c>
      <c r="D5752">
        <v>65.209999999999994</v>
      </c>
      <c r="E5752" t="s">
        <v>17</v>
      </c>
      <c r="F5752">
        <v>18.72</v>
      </c>
      <c r="G5752">
        <v>17.97</v>
      </c>
      <c r="H5752" t="s">
        <v>17</v>
      </c>
      <c r="I5752" t="str">
        <f>"063432005509"</f>
        <v>063432005509</v>
      </c>
    </row>
    <row r="5753" spans="1:9" x14ac:dyDescent="0.25">
      <c r="A5753" t="s">
        <v>5020</v>
      </c>
      <c r="B5753" t="s">
        <v>13</v>
      </c>
      <c r="C5753">
        <v>48.7</v>
      </c>
      <c r="D5753">
        <v>46.92</v>
      </c>
      <c r="E5753" t="s">
        <v>17</v>
      </c>
      <c r="F5753">
        <v>25.91</v>
      </c>
      <c r="G5753">
        <v>27.17</v>
      </c>
      <c r="H5753" t="s">
        <v>17</v>
      </c>
      <c r="I5753" t="str">
        <f>"064119003968"</f>
        <v>064119003968</v>
      </c>
    </row>
    <row r="5754" spans="1:9" x14ac:dyDescent="0.25">
      <c r="A5754" t="s">
        <v>5021</v>
      </c>
      <c r="B5754" t="s">
        <v>13</v>
      </c>
      <c r="C5754">
        <v>21</v>
      </c>
      <c r="D5754">
        <v>17</v>
      </c>
      <c r="E5754" t="s">
        <v>17</v>
      </c>
      <c r="F5754">
        <v>17.86</v>
      </c>
      <c r="G5754">
        <v>19.940000000000001</v>
      </c>
      <c r="H5754" t="s">
        <v>17</v>
      </c>
      <c r="I5754" t="str">
        <f>"062805004278"</f>
        <v>062805004278</v>
      </c>
    </row>
    <row r="5755" spans="1:9" x14ac:dyDescent="0.25">
      <c r="A5755" t="s">
        <v>5022</v>
      </c>
      <c r="B5755" t="s">
        <v>13</v>
      </c>
      <c r="C5755">
        <v>8</v>
      </c>
      <c r="D5755">
        <v>9</v>
      </c>
      <c r="E5755" t="s">
        <v>17</v>
      </c>
      <c r="F5755">
        <v>28.13</v>
      </c>
      <c r="G5755">
        <v>27.33</v>
      </c>
      <c r="H5755" t="s">
        <v>17</v>
      </c>
      <c r="I5755" t="str">
        <f>"062805004316"</f>
        <v>062805004316</v>
      </c>
    </row>
    <row r="5756" spans="1:9" x14ac:dyDescent="0.25">
      <c r="A5756" t="s">
        <v>5023</v>
      </c>
      <c r="B5756" t="s">
        <v>13</v>
      </c>
      <c r="C5756">
        <v>24</v>
      </c>
      <c r="D5756">
        <v>24.52</v>
      </c>
      <c r="E5756" t="s">
        <v>17</v>
      </c>
      <c r="F5756">
        <v>23</v>
      </c>
      <c r="G5756">
        <v>21.74</v>
      </c>
      <c r="H5756" t="s">
        <v>17</v>
      </c>
      <c r="I5756" t="str">
        <f>"060964001016"</f>
        <v>060964001016</v>
      </c>
    </row>
    <row r="5757" spans="1:9" x14ac:dyDescent="0.25">
      <c r="A5757" t="s">
        <v>5024</v>
      </c>
      <c r="B5757" t="s">
        <v>13</v>
      </c>
      <c r="C5757">
        <v>24.6</v>
      </c>
      <c r="D5757">
        <v>24.51</v>
      </c>
      <c r="E5757" t="s">
        <v>17</v>
      </c>
      <c r="F5757">
        <v>29.47</v>
      </c>
      <c r="G5757">
        <v>29.25</v>
      </c>
      <c r="H5757" t="s">
        <v>17</v>
      </c>
      <c r="I5757" t="str">
        <f>"063942006565"</f>
        <v>063942006565</v>
      </c>
    </row>
    <row r="5758" spans="1:9" x14ac:dyDescent="0.25">
      <c r="A5758" t="s">
        <v>5025</v>
      </c>
      <c r="B5758" t="s">
        <v>13</v>
      </c>
      <c r="C5758">
        <v>18</v>
      </c>
      <c r="D5758">
        <v>19.25</v>
      </c>
      <c r="E5758" t="s">
        <v>17</v>
      </c>
      <c r="F5758">
        <v>21.5</v>
      </c>
      <c r="G5758">
        <v>21.4</v>
      </c>
      <c r="H5758" t="s">
        <v>17</v>
      </c>
      <c r="I5758" t="str">
        <f>"063264005078"</f>
        <v>063264005078</v>
      </c>
    </row>
    <row r="5759" spans="1:9" x14ac:dyDescent="0.25">
      <c r="A5759" t="s">
        <v>5026</v>
      </c>
      <c r="B5759" t="s">
        <v>13</v>
      </c>
      <c r="C5759">
        <v>4.4000000000000004</v>
      </c>
      <c r="D5759">
        <v>3.8</v>
      </c>
      <c r="E5759" t="s">
        <v>17</v>
      </c>
      <c r="F5759">
        <v>13.64</v>
      </c>
      <c r="G5759">
        <v>12.37</v>
      </c>
      <c r="H5759" t="s">
        <v>17</v>
      </c>
      <c r="I5759" t="str">
        <f>"063511005937"</f>
        <v>063511005937</v>
      </c>
    </row>
    <row r="5760" spans="1:9" x14ac:dyDescent="0.25">
      <c r="A5760" t="s">
        <v>5027</v>
      </c>
      <c r="B5760" t="s">
        <v>13</v>
      </c>
      <c r="C5760">
        <v>24.74</v>
      </c>
      <c r="D5760">
        <v>31.82</v>
      </c>
      <c r="E5760" t="s">
        <v>17</v>
      </c>
      <c r="F5760">
        <v>25.91</v>
      </c>
      <c r="G5760">
        <v>24.7</v>
      </c>
      <c r="H5760" t="s">
        <v>17</v>
      </c>
      <c r="I5760" t="str">
        <f>"060813000787"</f>
        <v>060813000787</v>
      </c>
    </row>
    <row r="5761" spans="1:9" x14ac:dyDescent="0.25">
      <c r="A5761" t="s">
        <v>5028</v>
      </c>
      <c r="B5761" t="s">
        <v>13</v>
      </c>
      <c r="C5761">
        <v>37</v>
      </c>
      <c r="D5761">
        <v>38</v>
      </c>
      <c r="E5761" t="s">
        <v>17</v>
      </c>
      <c r="F5761">
        <v>25.46</v>
      </c>
      <c r="G5761">
        <v>25.61</v>
      </c>
      <c r="H5761" t="s">
        <v>17</v>
      </c>
      <c r="I5761" t="str">
        <f>"061233006286"</f>
        <v>061233006286</v>
      </c>
    </row>
    <row r="5762" spans="1:9" x14ac:dyDescent="0.25">
      <c r="A5762" t="s">
        <v>5029</v>
      </c>
      <c r="B5762" t="s">
        <v>13</v>
      </c>
      <c r="C5762">
        <v>54</v>
      </c>
      <c r="D5762">
        <v>58</v>
      </c>
      <c r="E5762" t="s">
        <v>17</v>
      </c>
      <c r="F5762">
        <v>20.260000000000002</v>
      </c>
      <c r="G5762">
        <v>20.260000000000002</v>
      </c>
      <c r="H5762" t="s">
        <v>17</v>
      </c>
      <c r="I5762" t="str">
        <f>"062271003157"</f>
        <v>062271003157</v>
      </c>
    </row>
    <row r="5763" spans="1:9" x14ac:dyDescent="0.25">
      <c r="A5763" t="s">
        <v>5030</v>
      </c>
      <c r="B5763" t="s">
        <v>13</v>
      </c>
      <c r="C5763">
        <v>27.38</v>
      </c>
      <c r="D5763">
        <v>25.38</v>
      </c>
      <c r="E5763" t="s">
        <v>17</v>
      </c>
      <c r="F5763">
        <v>22.35</v>
      </c>
      <c r="G5763">
        <v>21.43</v>
      </c>
      <c r="H5763" t="s">
        <v>17</v>
      </c>
      <c r="I5763" t="str">
        <f>"060006204235"</f>
        <v>060006204235</v>
      </c>
    </row>
    <row r="5764" spans="1:9" x14ac:dyDescent="0.25">
      <c r="A5764" t="s">
        <v>5030</v>
      </c>
      <c r="B5764" t="s">
        <v>13</v>
      </c>
      <c r="C5764">
        <v>13.17</v>
      </c>
      <c r="D5764">
        <v>15.2</v>
      </c>
      <c r="E5764" t="s">
        <v>17</v>
      </c>
      <c r="F5764">
        <v>22.7</v>
      </c>
      <c r="G5764">
        <v>22.76</v>
      </c>
      <c r="H5764" t="s">
        <v>17</v>
      </c>
      <c r="I5764" t="str">
        <f>"060360000278"</f>
        <v>060360000278</v>
      </c>
    </row>
    <row r="5765" spans="1:9" x14ac:dyDescent="0.25">
      <c r="A5765" t="s">
        <v>5030</v>
      </c>
      <c r="B5765" t="s">
        <v>13</v>
      </c>
      <c r="C5765">
        <v>5</v>
      </c>
      <c r="D5765">
        <v>5</v>
      </c>
      <c r="E5765" t="s">
        <v>17</v>
      </c>
      <c r="F5765">
        <v>27</v>
      </c>
      <c r="G5765">
        <v>26.2</v>
      </c>
      <c r="H5765" t="s">
        <v>17</v>
      </c>
      <c r="I5765" t="str">
        <f>"062346003566"</f>
        <v>062346003566</v>
      </c>
    </row>
    <row r="5766" spans="1:9" x14ac:dyDescent="0.25">
      <c r="A5766" t="s">
        <v>5030</v>
      </c>
      <c r="B5766" t="s">
        <v>13</v>
      </c>
      <c r="C5766">
        <v>24.7</v>
      </c>
      <c r="D5766">
        <v>25.49</v>
      </c>
      <c r="E5766" t="s">
        <v>17</v>
      </c>
      <c r="F5766">
        <v>28.06</v>
      </c>
      <c r="G5766">
        <v>27.66</v>
      </c>
      <c r="H5766" t="s">
        <v>17</v>
      </c>
      <c r="I5766" t="str">
        <f>"063315005151"</f>
        <v>063315005151</v>
      </c>
    </row>
    <row r="5767" spans="1:9" x14ac:dyDescent="0.25">
      <c r="A5767" t="s">
        <v>5030</v>
      </c>
      <c r="B5767" t="s">
        <v>13</v>
      </c>
      <c r="C5767">
        <v>24</v>
      </c>
      <c r="D5767">
        <v>23</v>
      </c>
      <c r="E5767" t="s">
        <v>17</v>
      </c>
      <c r="F5767">
        <v>26.38</v>
      </c>
      <c r="G5767">
        <v>26.43</v>
      </c>
      <c r="H5767" t="s">
        <v>17</v>
      </c>
      <c r="I5767" t="str">
        <f>"060001609091"</f>
        <v>060001609091</v>
      </c>
    </row>
    <row r="5768" spans="1:9" x14ac:dyDescent="0.25">
      <c r="A5768" t="s">
        <v>5030</v>
      </c>
      <c r="B5768" t="s">
        <v>13</v>
      </c>
      <c r="C5768">
        <v>23</v>
      </c>
      <c r="D5768">
        <v>23</v>
      </c>
      <c r="E5768" t="s">
        <v>17</v>
      </c>
      <c r="F5768">
        <v>24.61</v>
      </c>
      <c r="G5768">
        <v>23.43</v>
      </c>
      <c r="H5768" t="s">
        <v>17</v>
      </c>
      <c r="I5768" t="str">
        <f>"060681000620"</f>
        <v>060681000620</v>
      </c>
    </row>
    <row r="5769" spans="1:9" x14ac:dyDescent="0.25">
      <c r="A5769" t="s">
        <v>5030</v>
      </c>
      <c r="B5769" t="s">
        <v>13</v>
      </c>
      <c r="C5769">
        <v>14.5</v>
      </c>
      <c r="D5769">
        <v>15</v>
      </c>
      <c r="E5769" t="s">
        <v>17</v>
      </c>
      <c r="F5769">
        <v>29.31</v>
      </c>
      <c r="G5769">
        <v>28.8</v>
      </c>
      <c r="H5769" t="s">
        <v>17</v>
      </c>
      <c r="I5769" t="str">
        <f>"060750000713"</f>
        <v>060750000713</v>
      </c>
    </row>
    <row r="5770" spans="1:9" x14ac:dyDescent="0.25">
      <c r="A5770" t="s">
        <v>5031</v>
      </c>
      <c r="B5770" t="s">
        <v>13</v>
      </c>
      <c r="C5770">
        <v>75.930000000000007</v>
      </c>
      <c r="D5770">
        <v>79.37</v>
      </c>
      <c r="E5770" t="s">
        <v>17</v>
      </c>
      <c r="F5770">
        <v>23.9</v>
      </c>
      <c r="G5770">
        <v>24.28</v>
      </c>
      <c r="H5770" t="s">
        <v>17</v>
      </c>
      <c r="I5770" t="str">
        <f>"060263000182"</f>
        <v>060263000182</v>
      </c>
    </row>
    <row r="5771" spans="1:9" x14ac:dyDescent="0.25">
      <c r="A5771" t="s">
        <v>5032</v>
      </c>
      <c r="B5771" t="s">
        <v>13</v>
      </c>
      <c r="C5771">
        <v>2</v>
      </c>
      <c r="D5771">
        <v>2</v>
      </c>
      <c r="E5771" t="s">
        <v>17</v>
      </c>
      <c r="F5771">
        <v>25</v>
      </c>
      <c r="G5771">
        <v>26.5</v>
      </c>
      <c r="H5771" t="s">
        <v>17</v>
      </c>
      <c r="I5771" t="str">
        <f>"069103712346"</f>
        <v>069103712346</v>
      </c>
    </row>
    <row r="5772" spans="1:9" x14ac:dyDescent="0.25">
      <c r="A5772" t="s">
        <v>5033</v>
      </c>
      <c r="B5772" t="s">
        <v>13</v>
      </c>
      <c r="C5772">
        <v>24.68</v>
      </c>
      <c r="D5772">
        <v>26.34</v>
      </c>
      <c r="E5772" t="s">
        <v>17</v>
      </c>
      <c r="F5772">
        <v>21.39</v>
      </c>
      <c r="G5772">
        <v>23.54</v>
      </c>
      <c r="H5772" t="s">
        <v>17</v>
      </c>
      <c r="I5772" t="str">
        <f>"063093004792"</f>
        <v>063093004792</v>
      </c>
    </row>
    <row r="5773" spans="1:9" x14ac:dyDescent="0.25">
      <c r="A5773" t="s">
        <v>5034</v>
      </c>
      <c r="B5773" t="s">
        <v>13</v>
      </c>
      <c r="C5773">
        <v>34.1</v>
      </c>
      <c r="D5773">
        <v>33.049999999999997</v>
      </c>
      <c r="E5773" t="s">
        <v>17</v>
      </c>
      <c r="F5773">
        <v>25.22</v>
      </c>
      <c r="G5773">
        <v>26.23</v>
      </c>
      <c r="H5773" t="s">
        <v>17</v>
      </c>
      <c r="I5773" t="str">
        <f>"060846000843"</f>
        <v>060846000843</v>
      </c>
    </row>
    <row r="5774" spans="1:9" x14ac:dyDescent="0.25">
      <c r="A5774" t="s">
        <v>5035</v>
      </c>
      <c r="B5774" t="s">
        <v>13</v>
      </c>
      <c r="C5774">
        <v>3.6</v>
      </c>
      <c r="D5774">
        <v>4.5999999999999996</v>
      </c>
      <c r="E5774" t="s">
        <v>17</v>
      </c>
      <c r="F5774">
        <v>7.78</v>
      </c>
      <c r="G5774">
        <v>6.3</v>
      </c>
      <c r="H5774" t="s">
        <v>17</v>
      </c>
      <c r="I5774" t="str">
        <f>"060645005849"</f>
        <v>060645005849</v>
      </c>
    </row>
    <row r="5775" spans="1:9" x14ac:dyDescent="0.25">
      <c r="A5775" t="s">
        <v>5036</v>
      </c>
      <c r="B5775" t="s">
        <v>13</v>
      </c>
      <c r="C5775">
        <v>23.4</v>
      </c>
      <c r="D5775">
        <v>25.85</v>
      </c>
      <c r="E5775" t="s">
        <v>17</v>
      </c>
      <c r="F5775">
        <v>20.85</v>
      </c>
      <c r="G5775">
        <v>20.149999999999999</v>
      </c>
      <c r="H5775" t="s">
        <v>17</v>
      </c>
      <c r="I5775" t="str">
        <f>"062271010524"</f>
        <v>062271010524</v>
      </c>
    </row>
    <row r="5776" spans="1:9" x14ac:dyDescent="0.25">
      <c r="A5776" t="s">
        <v>5037</v>
      </c>
      <c r="B5776" t="s">
        <v>13</v>
      </c>
      <c r="C5776">
        <v>21.8</v>
      </c>
      <c r="D5776" t="s">
        <v>17</v>
      </c>
      <c r="E5776" t="s">
        <v>17</v>
      </c>
      <c r="F5776">
        <v>17.43</v>
      </c>
      <c r="G5776" t="s">
        <v>17</v>
      </c>
      <c r="H5776" t="s">
        <v>17</v>
      </c>
      <c r="I5776" t="str">
        <f>"062271011842"</f>
        <v>062271011842</v>
      </c>
    </row>
    <row r="5777" spans="1:9" x14ac:dyDescent="0.25">
      <c r="A5777" t="s">
        <v>5038</v>
      </c>
      <c r="B5777" t="s">
        <v>13</v>
      </c>
      <c r="C5777">
        <v>21.1</v>
      </c>
      <c r="D5777">
        <v>13.9</v>
      </c>
      <c r="E5777" t="s">
        <v>17</v>
      </c>
      <c r="F5777">
        <v>17.96</v>
      </c>
      <c r="G5777">
        <v>21.08</v>
      </c>
      <c r="H5777" t="s">
        <v>17</v>
      </c>
      <c r="I5777" t="str">
        <f>"062271012010"</f>
        <v>062271012010</v>
      </c>
    </row>
    <row r="5778" spans="1:9" x14ac:dyDescent="0.25">
      <c r="A5778" t="s">
        <v>5039</v>
      </c>
      <c r="B5778" t="s">
        <v>13</v>
      </c>
      <c r="C5778">
        <v>10.45</v>
      </c>
      <c r="D5778">
        <v>8.85</v>
      </c>
      <c r="E5778" t="s">
        <v>17</v>
      </c>
      <c r="F5778">
        <v>18.559999999999999</v>
      </c>
      <c r="G5778">
        <v>17.97</v>
      </c>
      <c r="H5778" t="s">
        <v>17</v>
      </c>
      <c r="I5778" t="str">
        <f>"062271012360"</f>
        <v>062271012360</v>
      </c>
    </row>
    <row r="5779" spans="1:9" x14ac:dyDescent="0.25">
      <c r="A5779" t="s">
        <v>5040</v>
      </c>
      <c r="B5779" t="s">
        <v>13</v>
      </c>
      <c r="C5779">
        <v>14.9</v>
      </c>
      <c r="D5779">
        <v>9.8000000000000007</v>
      </c>
      <c r="E5779" t="s">
        <v>17</v>
      </c>
      <c r="F5779">
        <v>16.04</v>
      </c>
      <c r="G5779">
        <v>21.53</v>
      </c>
      <c r="H5779" t="s">
        <v>17</v>
      </c>
      <c r="I5779" t="str">
        <f>"062271012347"</f>
        <v>062271012347</v>
      </c>
    </row>
    <row r="5780" spans="1:9" x14ac:dyDescent="0.25">
      <c r="A5780" t="s">
        <v>5041</v>
      </c>
      <c r="B5780" t="s">
        <v>13</v>
      </c>
      <c r="C5780">
        <v>8.5</v>
      </c>
      <c r="D5780">
        <v>9.1999999999999993</v>
      </c>
      <c r="E5780" t="s">
        <v>17</v>
      </c>
      <c r="F5780">
        <v>16</v>
      </c>
      <c r="G5780">
        <v>16.739999999999998</v>
      </c>
      <c r="H5780" t="s">
        <v>17</v>
      </c>
      <c r="I5780" t="str">
        <f>"062271012322"</f>
        <v>062271012322</v>
      </c>
    </row>
    <row r="5781" spans="1:9" x14ac:dyDescent="0.25">
      <c r="A5781" t="s">
        <v>5042</v>
      </c>
      <c r="B5781" t="s">
        <v>13</v>
      </c>
      <c r="C5781">
        <v>10</v>
      </c>
      <c r="D5781">
        <v>6.5</v>
      </c>
      <c r="E5781" t="s">
        <v>17</v>
      </c>
      <c r="F5781">
        <v>23.3</v>
      </c>
      <c r="G5781">
        <v>18.62</v>
      </c>
      <c r="H5781" t="s">
        <v>17</v>
      </c>
      <c r="I5781" t="str">
        <f>"062271012235"</f>
        <v>062271012235</v>
      </c>
    </row>
    <row r="5782" spans="1:9" x14ac:dyDescent="0.25">
      <c r="A5782" t="s">
        <v>5043</v>
      </c>
      <c r="B5782" t="s">
        <v>13</v>
      </c>
      <c r="C5782">
        <v>21</v>
      </c>
      <c r="D5782">
        <v>20.149999999999999</v>
      </c>
      <c r="E5782" t="s">
        <v>17</v>
      </c>
      <c r="F5782">
        <v>23.57</v>
      </c>
      <c r="G5782">
        <v>23.87</v>
      </c>
      <c r="H5782" t="s">
        <v>17</v>
      </c>
      <c r="I5782" t="str">
        <f>"062271012695"</f>
        <v>062271012695</v>
      </c>
    </row>
    <row r="5783" spans="1:9" x14ac:dyDescent="0.25">
      <c r="A5783" t="s">
        <v>5044</v>
      </c>
      <c r="B5783" t="s">
        <v>13</v>
      </c>
      <c r="C5783">
        <v>15</v>
      </c>
      <c r="D5783">
        <v>14.1</v>
      </c>
      <c r="E5783" t="s">
        <v>17</v>
      </c>
      <c r="F5783">
        <v>22.33</v>
      </c>
      <c r="G5783">
        <v>21.91</v>
      </c>
      <c r="H5783" t="s">
        <v>17</v>
      </c>
      <c r="I5783" t="str">
        <f>"063432011393"</f>
        <v>063432011393</v>
      </c>
    </row>
    <row r="5784" spans="1:9" x14ac:dyDescent="0.25">
      <c r="A5784" t="s">
        <v>5045</v>
      </c>
      <c r="B5784" t="s">
        <v>13</v>
      </c>
      <c r="C5784" t="s">
        <v>14</v>
      </c>
      <c r="D5784" t="s">
        <v>14</v>
      </c>
      <c r="E5784" t="s">
        <v>17</v>
      </c>
      <c r="F5784" t="s">
        <v>14</v>
      </c>
      <c r="G5784" t="s">
        <v>14</v>
      </c>
      <c r="H5784" t="s">
        <v>17</v>
      </c>
      <c r="I5784" t="str">
        <f>"063432012501"</f>
        <v>063432012501</v>
      </c>
    </row>
    <row r="5785" spans="1:9" x14ac:dyDescent="0.25">
      <c r="A5785" t="s">
        <v>5046</v>
      </c>
      <c r="B5785" t="s">
        <v>13</v>
      </c>
      <c r="C5785">
        <v>12.2</v>
      </c>
      <c r="D5785">
        <v>12.5</v>
      </c>
      <c r="E5785" t="s">
        <v>17</v>
      </c>
      <c r="F5785">
        <v>43.03</v>
      </c>
      <c r="G5785">
        <v>18.399999999999999</v>
      </c>
      <c r="H5785" t="s">
        <v>17</v>
      </c>
      <c r="I5785" t="str">
        <f>"069103512575"</f>
        <v>069103512575</v>
      </c>
    </row>
    <row r="5786" spans="1:9" x14ac:dyDescent="0.25">
      <c r="A5786" t="s">
        <v>5047</v>
      </c>
      <c r="B5786" t="s">
        <v>13</v>
      </c>
      <c r="C5786" t="s">
        <v>17</v>
      </c>
      <c r="D5786" t="s">
        <v>14</v>
      </c>
      <c r="E5786" t="s">
        <v>14</v>
      </c>
      <c r="F5786" t="s">
        <v>17</v>
      </c>
      <c r="G5786" t="s">
        <v>14</v>
      </c>
      <c r="H5786" t="s">
        <v>14</v>
      </c>
      <c r="I5786" t="str">
        <f>"063441013281"</f>
        <v>063441013281</v>
      </c>
    </row>
    <row r="5787" spans="1:9" x14ac:dyDescent="0.25">
      <c r="A5787" t="s">
        <v>5048</v>
      </c>
      <c r="B5787" t="s">
        <v>13</v>
      </c>
      <c r="C5787" t="s">
        <v>17</v>
      </c>
      <c r="D5787" t="s">
        <v>17</v>
      </c>
      <c r="E5787" t="s">
        <v>17</v>
      </c>
      <c r="F5787" t="s">
        <v>17</v>
      </c>
      <c r="G5787" t="s">
        <v>17</v>
      </c>
      <c r="H5787" t="s">
        <v>17</v>
      </c>
      <c r="I5787" t="str">
        <f>"060658007453"</f>
        <v>060658007453</v>
      </c>
    </row>
    <row r="5788" spans="1:9" x14ac:dyDescent="0.25">
      <c r="A5788" t="s">
        <v>5049</v>
      </c>
      <c r="B5788" t="s">
        <v>13</v>
      </c>
      <c r="C5788">
        <v>22.68</v>
      </c>
      <c r="D5788">
        <v>22.64</v>
      </c>
      <c r="E5788" t="s">
        <v>17</v>
      </c>
      <c r="F5788">
        <v>20.190000000000001</v>
      </c>
      <c r="G5788">
        <v>20.14</v>
      </c>
      <c r="H5788" t="s">
        <v>17</v>
      </c>
      <c r="I5788" t="str">
        <f>"061308007204"</f>
        <v>061308007204</v>
      </c>
    </row>
    <row r="5789" spans="1:9" x14ac:dyDescent="0.25">
      <c r="A5789" t="s">
        <v>5050</v>
      </c>
      <c r="B5789" t="s">
        <v>13</v>
      </c>
      <c r="C5789">
        <v>3.8</v>
      </c>
      <c r="D5789">
        <v>4.63</v>
      </c>
      <c r="E5789" t="s">
        <v>17</v>
      </c>
      <c r="F5789">
        <v>31.05</v>
      </c>
      <c r="G5789">
        <v>22.46</v>
      </c>
      <c r="H5789" t="s">
        <v>17</v>
      </c>
      <c r="I5789" t="str">
        <f>"063075010269"</f>
        <v>063075010269</v>
      </c>
    </row>
    <row r="5790" spans="1:9" x14ac:dyDescent="0.25">
      <c r="A5790" t="s">
        <v>5051</v>
      </c>
      <c r="B5790" t="s">
        <v>13</v>
      </c>
      <c r="C5790">
        <v>10</v>
      </c>
      <c r="D5790">
        <v>12</v>
      </c>
      <c r="E5790" t="s">
        <v>17</v>
      </c>
      <c r="F5790">
        <v>27</v>
      </c>
      <c r="G5790">
        <v>21.25</v>
      </c>
      <c r="H5790" t="s">
        <v>17</v>
      </c>
      <c r="I5790" t="str">
        <f>"063324005027"</f>
        <v>063324005027</v>
      </c>
    </row>
    <row r="5791" spans="1:9" x14ac:dyDescent="0.25">
      <c r="A5791" t="s">
        <v>5052</v>
      </c>
      <c r="B5791" t="s">
        <v>13</v>
      </c>
      <c r="C5791">
        <v>17</v>
      </c>
      <c r="D5791">
        <v>21.5</v>
      </c>
      <c r="E5791" t="s">
        <v>17</v>
      </c>
      <c r="F5791">
        <v>29.06</v>
      </c>
      <c r="G5791">
        <v>26.19</v>
      </c>
      <c r="H5791" t="s">
        <v>17</v>
      </c>
      <c r="I5791" t="str">
        <f>"063729002798"</f>
        <v>063729002798</v>
      </c>
    </row>
    <row r="5792" spans="1:9" x14ac:dyDescent="0.25">
      <c r="A5792" t="s">
        <v>5052</v>
      </c>
      <c r="B5792" t="s">
        <v>13</v>
      </c>
      <c r="C5792">
        <v>40</v>
      </c>
      <c r="D5792">
        <v>39</v>
      </c>
      <c r="E5792" t="s">
        <v>17</v>
      </c>
      <c r="F5792">
        <v>20.2</v>
      </c>
      <c r="G5792">
        <v>20.18</v>
      </c>
      <c r="H5792" t="s">
        <v>17</v>
      </c>
      <c r="I5792" t="str">
        <f>"062271003158"</f>
        <v>062271003158</v>
      </c>
    </row>
    <row r="5793" spans="1:9" x14ac:dyDescent="0.25">
      <c r="A5793" t="s">
        <v>5053</v>
      </c>
      <c r="B5793" t="s">
        <v>13</v>
      </c>
      <c r="C5793">
        <v>27.36</v>
      </c>
      <c r="D5793">
        <v>28.35</v>
      </c>
      <c r="E5793" t="s">
        <v>17</v>
      </c>
      <c r="F5793">
        <v>25.77</v>
      </c>
      <c r="G5793">
        <v>23.88</v>
      </c>
      <c r="H5793" t="s">
        <v>17</v>
      </c>
      <c r="I5793" t="str">
        <f>"063705006291"</f>
        <v>063705006291</v>
      </c>
    </row>
    <row r="5794" spans="1:9" x14ac:dyDescent="0.25">
      <c r="A5794" t="s">
        <v>5054</v>
      </c>
      <c r="B5794" t="s">
        <v>13</v>
      </c>
      <c r="C5794">
        <v>5.0999999999999996</v>
      </c>
      <c r="D5794">
        <v>4.9000000000000004</v>
      </c>
      <c r="E5794" t="s">
        <v>17</v>
      </c>
      <c r="F5794">
        <v>18.04</v>
      </c>
      <c r="G5794">
        <v>18.78</v>
      </c>
      <c r="H5794" t="s">
        <v>17</v>
      </c>
      <c r="I5794" t="str">
        <f>"061128001253"</f>
        <v>061128001253</v>
      </c>
    </row>
    <row r="5795" spans="1:9" x14ac:dyDescent="0.25">
      <c r="A5795" t="s">
        <v>5055</v>
      </c>
      <c r="B5795" t="s">
        <v>13</v>
      </c>
      <c r="C5795">
        <v>17</v>
      </c>
      <c r="D5795">
        <v>26.75</v>
      </c>
      <c r="E5795" t="s">
        <v>17</v>
      </c>
      <c r="F5795">
        <v>26.65</v>
      </c>
      <c r="G5795">
        <v>17.760000000000002</v>
      </c>
      <c r="H5795" t="s">
        <v>17</v>
      </c>
      <c r="I5795" t="str">
        <f>"060690000639"</f>
        <v>060690000639</v>
      </c>
    </row>
    <row r="5796" spans="1:9" x14ac:dyDescent="0.25">
      <c r="A5796" t="s">
        <v>5056</v>
      </c>
      <c r="B5796" t="s">
        <v>13</v>
      </c>
      <c r="C5796">
        <v>24</v>
      </c>
      <c r="D5796">
        <v>21.5</v>
      </c>
      <c r="E5796" t="s">
        <v>17</v>
      </c>
      <c r="F5796">
        <v>23.13</v>
      </c>
      <c r="G5796">
        <v>24.47</v>
      </c>
      <c r="H5796" t="s">
        <v>17</v>
      </c>
      <c r="I5796" t="str">
        <f>"060480000460"</f>
        <v>060480000460</v>
      </c>
    </row>
    <row r="5797" spans="1:9" x14ac:dyDescent="0.25">
      <c r="A5797" t="s">
        <v>5057</v>
      </c>
      <c r="B5797" t="s">
        <v>13</v>
      </c>
      <c r="C5797">
        <v>10.3</v>
      </c>
      <c r="D5797">
        <v>10</v>
      </c>
      <c r="E5797" t="s">
        <v>17</v>
      </c>
      <c r="F5797">
        <v>22.04</v>
      </c>
      <c r="G5797">
        <v>23.2</v>
      </c>
      <c r="H5797" t="s">
        <v>17</v>
      </c>
      <c r="I5797" t="str">
        <f>"064119012180"</f>
        <v>064119012180</v>
      </c>
    </row>
    <row r="5798" spans="1:9" x14ac:dyDescent="0.25">
      <c r="A5798" t="s">
        <v>5058</v>
      </c>
      <c r="B5798" t="s">
        <v>13</v>
      </c>
      <c r="C5798">
        <v>30.5</v>
      </c>
      <c r="D5798">
        <v>32</v>
      </c>
      <c r="E5798" t="s">
        <v>17</v>
      </c>
      <c r="F5798">
        <v>21.41</v>
      </c>
      <c r="G5798">
        <v>20.91</v>
      </c>
      <c r="H5798" t="s">
        <v>17</v>
      </c>
      <c r="I5798" t="str">
        <f>"062985004652"</f>
        <v>062985004652</v>
      </c>
    </row>
    <row r="5799" spans="1:9" x14ac:dyDescent="0.25">
      <c r="A5799" t="s">
        <v>5059</v>
      </c>
      <c r="B5799" t="s">
        <v>13</v>
      </c>
      <c r="C5799">
        <v>34</v>
      </c>
      <c r="D5799">
        <v>42</v>
      </c>
      <c r="E5799" t="s">
        <v>17</v>
      </c>
      <c r="F5799">
        <v>17.149999999999999</v>
      </c>
      <c r="G5799">
        <v>11.81</v>
      </c>
      <c r="H5799" t="s">
        <v>17</v>
      </c>
      <c r="I5799" t="str">
        <f>"069100512043"</f>
        <v>069100512043</v>
      </c>
    </row>
    <row r="5800" spans="1:9" x14ac:dyDescent="0.25">
      <c r="A5800" t="s">
        <v>5060</v>
      </c>
      <c r="B5800" t="s">
        <v>13</v>
      </c>
      <c r="C5800">
        <v>37</v>
      </c>
      <c r="D5800">
        <v>38.25</v>
      </c>
      <c r="E5800" t="s">
        <v>17</v>
      </c>
      <c r="F5800">
        <v>20.32</v>
      </c>
      <c r="G5800">
        <v>20.260000000000002</v>
      </c>
      <c r="H5800" t="s">
        <v>17</v>
      </c>
      <c r="I5800" t="str">
        <f>"062271003159"</f>
        <v>062271003159</v>
      </c>
    </row>
    <row r="5801" spans="1:9" x14ac:dyDescent="0.25">
      <c r="A5801" t="s">
        <v>5061</v>
      </c>
      <c r="B5801" t="s">
        <v>13</v>
      </c>
      <c r="C5801">
        <v>11.15</v>
      </c>
      <c r="D5801">
        <v>12.15</v>
      </c>
      <c r="E5801" t="s">
        <v>17</v>
      </c>
      <c r="F5801">
        <v>19.28</v>
      </c>
      <c r="G5801">
        <v>18.02</v>
      </c>
      <c r="H5801" t="s">
        <v>17</v>
      </c>
      <c r="I5801" t="str">
        <f>"061425001640"</f>
        <v>061425001640</v>
      </c>
    </row>
    <row r="5802" spans="1:9" x14ac:dyDescent="0.25">
      <c r="A5802" t="s">
        <v>5062</v>
      </c>
      <c r="B5802" t="s">
        <v>13</v>
      </c>
      <c r="C5802">
        <v>7.5</v>
      </c>
      <c r="D5802">
        <v>7</v>
      </c>
      <c r="E5802" t="s">
        <v>17</v>
      </c>
      <c r="F5802">
        <v>15.07</v>
      </c>
      <c r="G5802">
        <v>14.86</v>
      </c>
      <c r="H5802" t="s">
        <v>17</v>
      </c>
      <c r="I5802" t="str">
        <f>"063441005669"</f>
        <v>063441005669</v>
      </c>
    </row>
    <row r="5803" spans="1:9" x14ac:dyDescent="0.25">
      <c r="A5803" t="s">
        <v>5063</v>
      </c>
      <c r="B5803" t="s">
        <v>13</v>
      </c>
      <c r="C5803">
        <v>21.07</v>
      </c>
      <c r="D5803">
        <v>20.72</v>
      </c>
      <c r="E5803" t="s">
        <v>17</v>
      </c>
      <c r="F5803">
        <v>22.78</v>
      </c>
      <c r="G5803">
        <v>22.25</v>
      </c>
      <c r="H5803" t="s">
        <v>17</v>
      </c>
      <c r="I5803" t="str">
        <f>"060474000447"</f>
        <v>060474000447</v>
      </c>
    </row>
    <row r="5804" spans="1:9" x14ac:dyDescent="0.25">
      <c r="A5804" t="s">
        <v>5064</v>
      </c>
      <c r="B5804" t="s">
        <v>13</v>
      </c>
      <c r="C5804">
        <v>51.8</v>
      </c>
      <c r="D5804">
        <v>53.1</v>
      </c>
      <c r="E5804" t="s">
        <v>17</v>
      </c>
      <c r="F5804">
        <v>22.12</v>
      </c>
      <c r="G5804">
        <v>22</v>
      </c>
      <c r="H5804" t="s">
        <v>17</v>
      </c>
      <c r="I5804" t="str">
        <f>"063570002173"</f>
        <v>063570002173</v>
      </c>
    </row>
    <row r="5805" spans="1:9" x14ac:dyDescent="0.25">
      <c r="A5805" t="s">
        <v>5065</v>
      </c>
      <c r="B5805" t="s">
        <v>13</v>
      </c>
      <c r="C5805">
        <v>16</v>
      </c>
      <c r="D5805">
        <v>13</v>
      </c>
      <c r="E5805" t="s">
        <v>17</v>
      </c>
      <c r="F5805">
        <v>26.38</v>
      </c>
      <c r="G5805">
        <v>30.69</v>
      </c>
      <c r="H5805" t="s">
        <v>17</v>
      </c>
      <c r="I5805" t="str">
        <f>"061455001750"</f>
        <v>061455001750</v>
      </c>
    </row>
    <row r="5806" spans="1:9" x14ac:dyDescent="0.25">
      <c r="A5806" t="s">
        <v>5066</v>
      </c>
      <c r="B5806" t="s">
        <v>13</v>
      </c>
      <c r="C5806">
        <v>16.600000000000001</v>
      </c>
      <c r="D5806">
        <v>18.600000000000001</v>
      </c>
      <c r="E5806" t="s">
        <v>17</v>
      </c>
      <c r="F5806">
        <v>25.9</v>
      </c>
      <c r="G5806">
        <v>25.75</v>
      </c>
      <c r="H5806" t="s">
        <v>17</v>
      </c>
      <c r="I5806" t="str">
        <f>"061488001867"</f>
        <v>061488001867</v>
      </c>
    </row>
    <row r="5807" spans="1:9" x14ac:dyDescent="0.25">
      <c r="A5807" t="s">
        <v>5067</v>
      </c>
      <c r="B5807" t="s">
        <v>13</v>
      </c>
      <c r="C5807">
        <v>24.5</v>
      </c>
      <c r="D5807">
        <v>28</v>
      </c>
      <c r="E5807" t="s">
        <v>17</v>
      </c>
      <c r="F5807">
        <v>23.47</v>
      </c>
      <c r="G5807">
        <v>21.43</v>
      </c>
      <c r="H5807" t="s">
        <v>17</v>
      </c>
      <c r="I5807" t="str">
        <f>"062353003567"</f>
        <v>062353003567</v>
      </c>
    </row>
    <row r="5808" spans="1:9" x14ac:dyDescent="0.25">
      <c r="A5808" t="s">
        <v>5068</v>
      </c>
      <c r="B5808" t="s">
        <v>13</v>
      </c>
      <c r="C5808">
        <v>20.25</v>
      </c>
      <c r="D5808">
        <v>21.7</v>
      </c>
      <c r="E5808" t="s">
        <v>17</v>
      </c>
      <c r="F5808">
        <v>13.78</v>
      </c>
      <c r="G5808">
        <v>13.32</v>
      </c>
      <c r="H5808" t="s">
        <v>17</v>
      </c>
      <c r="I5808" t="str">
        <f>"062353003568"</f>
        <v>062353003568</v>
      </c>
    </row>
    <row r="5809" spans="1:9" x14ac:dyDescent="0.25">
      <c r="A5809" t="s">
        <v>5069</v>
      </c>
      <c r="B5809" t="s">
        <v>13</v>
      </c>
      <c r="C5809">
        <v>14.4</v>
      </c>
      <c r="D5809">
        <v>13.5</v>
      </c>
      <c r="E5809" t="s">
        <v>17</v>
      </c>
      <c r="F5809">
        <v>19.309999999999999</v>
      </c>
      <c r="G5809">
        <v>19.04</v>
      </c>
      <c r="H5809" t="s">
        <v>17</v>
      </c>
      <c r="I5809" t="str">
        <f>"062353003336"</f>
        <v>062353003336</v>
      </c>
    </row>
    <row r="5810" spans="1:9" x14ac:dyDescent="0.25">
      <c r="A5810" t="s">
        <v>5070</v>
      </c>
      <c r="B5810" t="s">
        <v>13</v>
      </c>
      <c r="C5810">
        <v>42</v>
      </c>
      <c r="D5810">
        <v>43</v>
      </c>
      <c r="E5810" t="s">
        <v>17</v>
      </c>
      <c r="F5810">
        <v>21.24</v>
      </c>
      <c r="G5810">
        <v>21.6</v>
      </c>
      <c r="H5810" t="s">
        <v>17</v>
      </c>
      <c r="I5810" t="str">
        <f>"062271003160"</f>
        <v>062271003160</v>
      </c>
    </row>
    <row r="5811" spans="1:9" x14ac:dyDescent="0.25">
      <c r="A5811" t="s">
        <v>5071</v>
      </c>
      <c r="B5811" t="s">
        <v>13</v>
      </c>
      <c r="C5811">
        <v>3.31</v>
      </c>
      <c r="D5811">
        <v>4.3099999999999996</v>
      </c>
      <c r="E5811" t="s">
        <v>17</v>
      </c>
      <c r="F5811">
        <v>14.5</v>
      </c>
      <c r="G5811">
        <v>12.53</v>
      </c>
      <c r="H5811" t="s">
        <v>17</v>
      </c>
      <c r="I5811" t="str">
        <f>"062355003569"</f>
        <v>062355003569</v>
      </c>
    </row>
    <row r="5812" spans="1:9" x14ac:dyDescent="0.25">
      <c r="A5812" t="s">
        <v>5072</v>
      </c>
      <c r="B5812" t="s">
        <v>13</v>
      </c>
      <c r="C5812">
        <v>23</v>
      </c>
      <c r="D5812">
        <v>23</v>
      </c>
      <c r="E5812" t="s">
        <v>17</v>
      </c>
      <c r="F5812">
        <v>32.43</v>
      </c>
      <c r="G5812">
        <v>31.91</v>
      </c>
      <c r="H5812" t="s">
        <v>17</v>
      </c>
      <c r="I5812" t="str">
        <f>"061455008843"</f>
        <v>061455008843</v>
      </c>
    </row>
    <row r="5813" spans="1:9" x14ac:dyDescent="0.25">
      <c r="A5813" t="s">
        <v>5073</v>
      </c>
      <c r="B5813" t="s">
        <v>13</v>
      </c>
      <c r="C5813">
        <v>8.34</v>
      </c>
      <c r="D5813">
        <v>5.3</v>
      </c>
      <c r="E5813" t="s">
        <v>17</v>
      </c>
      <c r="F5813">
        <v>23.02</v>
      </c>
      <c r="G5813">
        <v>22.45</v>
      </c>
      <c r="H5813" t="s">
        <v>17</v>
      </c>
      <c r="I5813" t="str">
        <f>"062079012442"</f>
        <v>062079012442</v>
      </c>
    </row>
    <row r="5814" spans="1:9" x14ac:dyDescent="0.25">
      <c r="A5814" t="s">
        <v>5074</v>
      </c>
      <c r="B5814" t="s">
        <v>13</v>
      </c>
      <c r="C5814" t="s">
        <v>14</v>
      </c>
      <c r="D5814">
        <v>19.71</v>
      </c>
      <c r="E5814" t="s">
        <v>17</v>
      </c>
      <c r="F5814" t="s">
        <v>17</v>
      </c>
      <c r="G5814">
        <v>16.84</v>
      </c>
      <c r="H5814" t="s">
        <v>17</v>
      </c>
      <c r="I5814" t="str">
        <f>"062805011349"</f>
        <v>062805011349</v>
      </c>
    </row>
    <row r="5815" spans="1:9" x14ac:dyDescent="0.25">
      <c r="A5815" t="s">
        <v>5075</v>
      </c>
      <c r="B5815" t="s">
        <v>13</v>
      </c>
      <c r="C5815">
        <v>22.84</v>
      </c>
      <c r="D5815">
        <v>21.67</v>
      </c>
      <c r="E5815" t="s">
        <v>17</v>
      </c>
      <c r="F5815">
        <v>26.01</v>
      </c>
      <c r="G5815">
        <v>27.41</v>
      </c>
      <c r="H5815" t="s">
        <v>17</v>
      </c>
      <c r="I5815" t="str">
        <f>"061392001124"</f>
        <v>061392001124</v>
      </c>
    </row>
    <row r="5816" spans="1:9" x14ac:dyDescent="0.25">
      <c r="A5816" t="s">
        <v>5076</v>
      </c>
      <c r="B5816" t="s">
        <v>13</v>
      </c>
      <c r="C5816">
        <v>59.31</v>
      </c>
      <c r="D5816">
        <v>57.19</v>
      </c>
      <c r="E5816" t="s">
        <v>17</v>
      </c>
      <c r="F5816">
        <v>23.44</v>
      </c>
      <c r="G5816">
        <v>24.18</v>
      </c>
      <c r="H5816" t="s">
        <v>17</v>
      </c>
      <c r="I5816" t="str">
        <f>"060002507535"</f>
        <v>060002507535</v>
      </c>
    </row>
    <row r="5817" spans="1:9" x14ac:dyDescent="0.25">
      <c r="A5817" t="s">
        <v>5077</v>
      </c>
      <c r="B5817" t="s">
        <v>13</v>
      </c>
      <c r="C5817" t="s">
        <v>17</v>
      </c>
      <c r="D5817" t="s">
        <v>14</v>
      </c>
      <c r="E5817" t="s">
        <v>14</v>
      </c>
      <c r="F5817" t="s">
        <v>17</v>
      </c>
      <c r="G5817" t="s">
        <v>14</v>
      </c>
      <c r="H5817" t="s">
        <v>14</v>
      </c>
      <c r="I5817" t="str">
        <f>"060002513480"</f>
        <v>060002513480</v>
      </c>
    </row>
    <row r="5818" spans="1:9" x14ac:dyDescent="0.25">
      <c r="A5818" t="s">
        <v>5078</v>
      </c>
      <c r="B5818" t="s">
        <v>13</v>
      </c>
      <c r="C5818">
        <v>15.5</v>
      </c>
      <c r="D5818">
        <v>17.02</v>
      </c>
      <c r="E5818" t="s">
        <v>17</v>
      </c>
      <c r="F5818">
        <v>21.68</v>
      </c>
      <c r="G5818">
        <v>22.39</v>
      </c>
      <c r="H5818" t="s">
        <v>17</v>
      </c>
      <c r="I5818" t="str">
        <f>"062271003161"</f>
        <v>062271003161</v>
      </c>
    </row>
    <row r="5819" spans="1:9" x14ac:dyDescent="0.25">
      <c r="A5819" t="s">
        <v>5079</v>
      </c>
      <c r="B5819" t="s">
        <v>13</v>
      </c>
      <c r="C5819">
        <v>32.9</v>
      </c>
      <c r="D5819">
        <v>32.229999999999997</v>
      </c>
      <c r="E5819" t="s">
        <v>17</v>
      </c>
      <c r="F5819">
        <v>25.35</v>
      </c>
      <c r="G5819">
        <v>25.22</v>
      </c>
      <c r="H5819" t="s">
        <v>17</v>
      </c>
      <c r="I5819" t="str">
        <f>"062223011417"</f>
        <v>062223011417</v>
      </c>
    </row>
    <row r="5820" spans="1:9" x14ac:dyDescent="0.25">
      <c r="A5820" t="s">
        <v>5080</v>
      </c>
      <c r="B5820" t="s">
        <v>13</v>
      </c>
      <c r="C5820">
        <v>41.95</v>
      </c>
      <c r="D5820">
        <v>43.6</v>
      </c>
      <c r="E5820" t="s">
        <v>17</v>
      </c>
      <c r="F5820">
        <v>27.1</v>
      </c>
      <c r="G5820">
        <v>26.31</v>
      </c>
      <c r="H5820" t="s">
        <v>17</v>
      </c>
      <c r="I5820" t="str">
        <f>"060261000160"</f>
        <v>060261000160</v>
      </c>
    </row>
    <row r="5821" spans="1:9" x14ac:dyDescent="0.25">
      <c r="A5821" t="s">
        <v>5081</v>
      </c>
      <c r="B5821" t="s">
        <v>13</v>
      </c>
      <c r="C5821">
        <v>11.5</v>
      </c>
      <c r="D5821">
        <v>11.5</v>
      </c>
      <c r="E5821" t="s">
        <v>17</v>
      </c>
      <c r="F5821">
        <v>29.22</v>
      </c>
      <c r="G5821">
        <v>29.57</v>
      </c>
      <c r="H5821" t="s">
        <v>17</v>
      </c>
      <c r="I5821" t="str">
        <f>"062250002742"</f>
        <v>062250002742</v>
      </c>
    </row>
    <row r="5822" spans="1:9" x14ac:dyDescent="0.25">
      <c r="A5822" t="s">
        <v>5082</v>
      </c>
      <c r="B5822" t="s">
        <v>13</v>
      </c>
      <c r="C5822">
        <v>60.5</v>
      </c>
      <c r="D5822">
        <v>62.5</v>
      </c>
      <c r="E5822" t="s">
        <v>17</v>
      </c>
      <c r="F5822">
        <v>15.22</v>
      </c>
      <c r="G5822">
        <v>15.62</v>
      </c>
      <c r="H5822" t="s">
        <v>17</v>
      </c>
      <c r="I5822" t="str">
        <f>"063432005510"</f>
        <v>063432005510</v>
      </c>
    </row>
    <row r="5823" spans="1:9" x14ac:dyDescent="0.25">
      <c r="A5823" t="s">
        <v>5083</v>
      </c>
      <c r="B5823" t="s">
        <v>13</v>
      </c>
      <c r="C5823">
        <v>21.09</v>
      </c>
      <c r="D5823">
        <v>20.09</v>
      </c>
      <c r="E5823" t="s">
        <v>17</v>
      </c>
      <c r="F5823">
        <v>20.34</v>
      </c>
      <c r="G5823">
        <v>20.76</v>
      </c>
      <c r="H5823" t="s">
        <v>17</v>
      </c>
      <c r="I5823" t="str">
        <f>"060000608773"</f>
        <v>060000608773</v>
      </c>
    </row>
    <row r="5824" spans="1:9" x14ac:dyDescent="0.25">
      <c r="A5824" t="s">
        <v>5084</v>
      </c>
      <c r="B5824" t="s">
        <v>13</v>
      </c>
      <c r="C5824">
        <v>5.3</v>
      </c>
      <c r="D5824">
        <v>5.7</v>
      </c>
      <c r="E5824" t="s">
        <v>17</v>
      </c>
      <c r="F5824">
        <v>12.26</v>
      </c>
      <c r="G5824">
        <v>9.3000000000000007</v>
      </c>
      <c r="H5824" t="s">
        <v>17</v>
      </c>
      <c r="I5824" t="str">
        <f>"062361006561"</f>
        <v>062361006561</v>
      </c>
    </row>
    <row r="5825" spans="1:9" x14ac:dyDescent="0.25">
      <c r="A5825" t="s">
        <v>5085</v>
      </c>
      <c r="B5825" t="s">
        <v>13</v>
      </c>
      <c r="C5825">
        <v>1</v>
      </c>
      <c r="D5825">
        <v>1</v>
      </c>
      <c r="E5825" t="s">
        <v>17</v>
      </c>
      <c r="F5825">
        <v>12</v>
      </c>
      <c r="G5825">
        <v>11</v>
      </c>
      <c r="H5825" t="s">
        <v>17</v>
      </c>
      <c r="I5825" t="str">
        <f>"062361007364"</f>
        <v>062361007364</v>
      </c>
    </row>
    <row r="5826" spans="1:9" x14ac:dyDescent="0.25">
      <c r="A5826" t="s">
        <v>5086</v>
      </c>
      <c r="B5826" t="s">
        <v>13</v>
      </c>
      <c r="C5826">
        <v>68.67</v>
      </c>
      <c r="D5826">
        <v>67.5</v>
      </c>
      <c r="E5826" t="s">
        <v>17</v>
      </c>
      <c r="F5826">
        <v>22.64</v>
      </c>
      <c r="G5826">
        <v>23.3</v>
      </c>
      <c r="H5826" t="s">
        <v>17</v>
      </c>
      <c r="I5826" t="str">
        <f>"062361003583"</f>
        <v>062361003583</v>
      </c>
    </row>
    <row r="5827" spans="1:9" x14ac:dyDescent="0.25">
      <c r="A5827" t="s">
        <v>5087</v>
      </c>
      <c r="B5827" t="s">
        <v>13</v>
      </c>
      <c r="C5827">
        <v>1.6</v>
      </c>
      <c r="D5827" t="s">
        <v>14</v>
      </c>
      <c r="E5827" t="s">
        <v>14</v>
      </c>
      <c r="F5827">
        <v>11.88</v>
      </c>
      <c r="G5827" t="s">
        <v>14</v>
      </c>
      <c r="H5827" t="s">
        <v>14</v>
      </c>
      <c r="I5827" t="str">
        <f>"062361013153"</f>
        <v>062361013153</v>
      </c>
    </row>
    <row r="5828" spans="1:9" x14ac:dyDescent="0.25">
      <c r="A5828" t="s">
        <v>5088</v>
      </c>
      <c r="B5828" t="s">
        <v>13</v>
      </c>
      <c r="C5828">
        <v>2</v>
      </c>
      <c r="D5828">
        <v>2</v>
      </c>
      <c r="E5828" t="s">
        <v>17</v>
      </c>
      <c r="F5828">
        <v>18.5</v>
      </c>
      <c r="G5828">
        <v>19</v>
      </c>
      <c r="H5828" t="s">
        <v>17</v>
      </c>
      <c r="I5828" t="str">
        <f>"062367003591"</f>
        <v>062367003591</v>
      </c>
    </row>
    <row r="5829" spans="1:9" x14ac:dyDescent="0.25">
      <c r="A5829" t="s">
        <v>5089</v>
      </c>
      <c r="B5829" t="s">
        <v>13</v>
      </c>
      <c r="C5829">
        <v>83.34</v>
      </c>
      <c r="D5829">
        <v>135.22999999999999</v>
      </c>
      <c r="E5829" t="s">
        <v>17</v>
      </c>
      <c r="F5829">
        <v>22.4</v>
      </c>
      <c r="G5829">
        <v>23.16</v>
      </c>
      <c r="H5829" t="s">
        <v>17</v>
      </c>
      <c r="I5829" t="str">
        <f>"062271003163"</f>
        <v>062271003163</v>
      </c>
    </row>
    <row r="5830" spans="1:9" x14ac:dyDescent="0.25">
      <c r="A5830" t="s">
        <v>5090</v>
      </c>
      <c r="B5830" t="s">
        <v>13</v>
      </c>
      <c r="C5830">
        <v>19</v>
      </c>
      <c r="D5830">
        <v>22</v>
      </c>
      <c r="E5830" t="s">
        <v>17</v>
      </c>
      <c r="F5830">
        <v>31.47</v>
      </c>
      <c r="G5830">
        <v>28.59</v>
      </c>
      <c r="H5830" t="s">
        <v>17</v>
      </c>
      <c r="I5830" t="str">
        <f>"063417005352"</f>
        <v>063417005352</v>
      </c>
    </row>
    <row r="5831" spans="1:9" x14ac:dyDescent="0.25">
      <c r="A5831" t="s">
        <v>5091</v>
      </c>
      <c r="B5831" t="s">
        <v>13</v>
      </c>
      <c r="C5831">
        <v>22.5</v>
      </c>
      <c r="D5831">
        <v>19.28</v>
      </c>
      <c r="E5831" t="s">
        <v>17</v>
      </c>
      <c r="F5831">
        <v>22</v>
      </c>
      <c r="G5831">
        <v>22.2</v>
      </c>
      <c r="H5831" t="s">
        <v>17</v>
      </c>
      <c r="I5831" t="str">
        <f>"061029001128"</f>
        <v>061029001128</v>
      </c>
    </row>
    <row r="5832" spans="1:9" x14ac:dyDescent="0.25">
      <c r="A5832" t="s">
        <v>5092</v>
      </c>
      <c r="B5832" t="s">
        <v>13</v>
      </c>
      <c r="C5832">
        <v>36.5</v>
      </c>
      <c r="D5832">
        <v>35</v>
      </c>
      <c r="E5832" t="s">
        <v>17</v>
      </c>
      <c r="F5832">
        <v>29.12</v>
      </c>
      <c r="G5832">
        <v>25.71</v>
      </c>
      <c r="H5832" t="s">
        <v>17</v>
      </c>
      <c r="I5832" t="str">
        <f>"063531010991"</f>
        <v>063531010991</v>
      </c>
    </row>
    <row r="5833" spans="1:9" x14ac:dyDescent="0.25">
      <c r="A5833" t="s">
        <v>5093</v>
      </c>
      <c r="B5833" t="s">
        <v>13</v>
      </c>
      <c r="C5833">
        <v>28.08</v>
      </c>
      <c r="D5833">
        <v>32.03</v>
      </c>
      <c r="E5833" t="s">
        <v>17</v>
      </c>
      <c r="F5833">
        <v>26.1</v>
      </c>
      <c r="G5833">
        <v>24.29</v>
      </c>
      <c r="H5833" t="s">
        <v>17</v>
      </c>
      <c r="I5833" t="str">
        <f>"060678000601"</f>
        <v>060678000601</v>
      </c>
    </row>
    <row r="5834" spans="1:9" x14ac:dyDescent="0.25">
      <c r="A5834" t="s">
        <v>5094</v>
      </c>
      <c r="B5834" t="s">
        <v>13</v>
      </c>
      <c r="C5834">
        <v>27</v>
      </c>
      <c r="D5834">
        <v>33</v>
      </c>
      <c r="E5834" t="s">
        <v>17</v>
      </c>
      <c r="F5834">
        <v>29.78</v>
      </c>
      <c r="G5834">
        <v>27.15</v>
      </c>
      <c r="H5834" t="s">
        <v>17</v>
      </c>
      <c r="I5834" t="str">
        <f>"064116012218"</f>
        <v>064116012218</v>
      </c>
    </row>
    <row r="5835" spans="1:9" x14ac:dyDescent="0.25">
      <c r="A5835" t="s">
        <v>5095</v>
      </c>
      <c r="B5835" t="s">
        <v>13</v>
      </c>
      <c r="C5835">
        <v>27</v>
      </c>
      <c r="D5835">
        <v>29</v>
      </c>
      <c r="E5835" t="s">
        <v>17</v>
      </c>
      <c r="F5835">
        <v>26.59</v>
      </c>
      <c r="G5835">
        <v>25.62</v>
      </c>
      <c r="H5835" t="s">
        <v>17</v>
      </c>
      <c r="I5835" t="str">
        <f>"069113507224"</f>
        <v>069113507224</v>
      </c>
    </row>
    <row r="5836" spans="1:9" x14ac:dyDescent="0.25">
      <c r="A5836" t="s">
        <v>5096</v>
      </c>
      <c r="B5836" t="s">
        <v>13</v>
      </c>
      <c r="C5836">
        <v>17</v>
      </c>
      <c r="D5836">
        <v>17</v>
      </c>
      <c r="E5836" t="s">
        <v>17</v>
      </c>
      <c r="F5836">
        <v>20.12</v>
      </c>
      <c r="G5836">
        <v>19.12</v>
      </c>
      <c r="H5836" t="s">
        <v>17</v>
      </c>
      <c r="I5836" t="str">
        <f>"062805004294"</f>
        <v>062805004294</v>
      </c>
    </row>
    <row r="5837" spans="1:9" x14ac:dyDescent="0.25">
      <c r="A5837" t="s">
        <v>5097</v>
      </c>
      <c r="B5837" t="s">
        <v>13</v>
      </c>
      <c r="C5837">
        <v>1</v>
      </c>
      <c r="D5837">
        <v>1</v>
      </c>
      <c r="E5837" t="s">
        <v>17</v>
      </c>
      <c r="F5837">
        <v>2</v>
      </c>
      <c r="G5837">
        <v>1</v>
      </c>
      <c r="H5837" t="s">
        <v>17</v>
      </c>
      <c r="I5837" t="str">
        <f>"060011607169"</f>
        <v>060011607169</v>
      </c>
    </row>
    <row r="5838" spans="1:9" x14ac:dyDescent="0.25">
      <c r="A5838" t="s">
        <v>5098</v>
      </c>
      <c r="B5838" t="s">
        <v>13</v>
      </c>
      <c r="C5838">
        <v>21</v>
      </c>
      <c r="D5838">
        <v>23</v>
      </c>
      <c r="E5838" t="s">
        <v>17</v>
      </c>
      <c r="F5838">
        <v>26.52</v>
      </c>
      <c r="G5838">
        <v>26.39</v>
      </c>
      <c r="H5838" t="s">
        <v>17</v>
      </c>
      <c r="I5838" t="str">
        <f>"063204004928"</f>
        <v>063204004928</v>
      </c>
    </row>
    <row r="5839" spans="1:9" x14ac:dyDescent="0.25">
      <c r="A5839" t="s">
        <v>5098</v>
      </c>
      <c r="B5839" t="s">
        <v>13</v>
      </c>
      <c r="C5839">
        <v>28.09</v>
      </c>
      <c r="D5839">
        <v>28.11</v>
      </c>
      <c r="E5839" t="s">
        <v>17</v>
      </c>
      <c r="F5839">
        <v>26.88</v>
      </c>
      <c r="G5839">
        <v>27.32</v>
      </c>
      <c r="H5839" t="s">
        <v>17</v>
      </c>
      <c r="I5839" t="str">
        <f>"062958004573"</f>
        <v>062958004573</v>
      </c>
    </row>
    <row r="5840" spans="1:9" x14ac:dyDescent="0.25">
      <c r="A5840" t="s">
        <v>5098</v>
      </c>
      <c r="B5840" t="s">
        <v>13</v>
      </c>
      <c r="C5840">
        <v>14</v>
      </c>
      <c r="D5840">
        <v>14</v>
      </c>
      <c r="E5840" t="s">
        <v>17</v>
      </c>
      <c r="F5840">
        <v>22.93</v>
      </c>
      <c r="G5840">
        <v>22.93</v>
      </c>
      <c r="H5840" t="s">
        <v>17</v>
      </c>
      <c r="I5840" t="str">
        <f>"061005001099"</f>
        <v>061005001099</v>
      </c>
    </row>
    <row r="5841" spans="1:9" x14ac:dyDescent="0.25">
      <c r="A5841" t="s">
        <v>5098</v>
      </c>
      <c r="B5841" t="s">
        <v>13</v>
      </c>
      <c r="C5841">
        <v>13.76</v>
      </c>
      <c r="D5841">
        <v>12.79</v>
      </c>
      <c r="E5841" t="s">
        <v>17</v>
      </c>
      <c r="F5841">
        <v>21.8</v>
      </c>
      <c r="G5841">
        <v>23.77</v>
      </c>
      <c r="H5841" t="s">
        <v>17</v>
      </c>
      <c r="I5841" t="str">
        <f>"062370003592"</f>
        <v>062370003592</v>
      </c>
    </row>
    <row r="5842" spans="1:9" x14ac:dyDescent="0.25">
      <c r="A5842" t="s">
        <v>5099</v>
      </c>
      <c r="B5842" t="s">
        <v>13</v>
      </c>
      <c r="C5842">
        <v>7.6</v>
      </c>
      <c r="D5842">
        <v>7.6</v>
      </c>
      <c r="E5842" t="s">
        <v>17</v>
      </c>
      <c r="F5842">
        <v>19.47</v>
      </c>
      <c r="G5842">
        <v>20.53</v>
      </c>
      <c r="H5842" t="s">
        <v>17</v>
      </c>
      <c r="I5842" t="str">
        <f>"063255008692"</f>
        <v>063255008692</v>
      </c>
    </row>
    <row r="5843" spans="1:9" x14ac:dyDescent="0.25">
      <c r="A5843" t="s">
        <v>5100</v>
      </c>
      <c r="B5843" t="s">
        <v>13</v>
      </c>
      <c r="C5843">
        <v>20.7</v>
      </c>
      <c r="D5843">
        <v>21.87</v>
      </c>
      <c r="E5843" t="s">
        <v>17</v>
      </c>
      <c r="F5843">
        <v>21.4</v>
      </c>
      <c r="G5843">
        <v>20.03</v>
      </c>
      <c r="H5843" t="s">
        <v>17</v>
      </c>
      <c r="I5843" t="str">
        <f>"062241012214"</f>
        <v>062241012214</v>
      </c>
    </row>
    <row r="5844" spans="1:9" x14ac:dyDescent="0.25">
      <c r="A5844" t="s">
        <v>5101</v>
      </c>
      <c r="B5844" t="s">
        <v>13</v>
      </c>
      <c r="C5844">
        <v>13.01</v>
      </c>
      <c r="D5844">
        <v>11</v>
      </c>
      <c r="E5844" t="s">
        <v>17</v>
      </c>
      <c r="F5844">
        <v>26.29</v>
      </c>
      <c r="G5844">
        <v>24.82</v>
      </c>
      <c r="H5844" t="s">
        <v>17</v>
      </c>
      <c r="I5844" t="str">
        <f>"062805011557"</f>
        <v>062805011557</v>
      </c>
    </row>
    <row r="5845" spans="1:9" x14ac:dyDescent="0.25">
      <c r="A5845" t="s">
        <v>5102</v>
      </c>
      <c r="B5845" t="s">
        <v>13</v>
      </c>
      <c r="C5845">
        <v>1.45</v>
      </c>
      <c r="D5845">
        <v>1.1299999999999999</v>
      </c>
      <c r="E5845" t="s">
        <v>17</v>
      </c>
      <c r="F5845">
        <v>7.59</v>
      </c>
      <c r="G5845">
        <v>12.39</v>
      </c>
      <c r="H5845" t="s">
        <v>17</v>
      </c>
      <c r="I5845" t="str">
        <f>"062373003593"</f>
        <v>062373003593</v>
      </c>
    </row>
    <row r="5846" spans="1:9" x14ac:dyDescent="0.25">
      <c r="A5846" t="s">
        <v>5102</v>
      </c>
      <c r="B5846" t="s">
        <v>13</v>
      </c>
      <c r="C5846">
        <v>24</v>
      </c>
      <c r="D5846">
        <v>26</v>
      </c>
      <c r="E5846" t="s">
        <v>17</v>
      </c>
      <c r="F5846">
        <v>29.21</v>
      </c>
      <c r="G5846">
        <v>27.54</v>
      </c>
      <c r="H5846" t="s">
        <v>17</v>
      </c>
      <c r="I5846" t="str">
        <f>"060903004482"</f>
        <v>060903004482</v>
      </c>
    </row>
    <row r="5847" spans="1:9" x14ac:dyDescent="0.25">
      <c r="A5847" t="s">
        <v>5103</v>
      </c>
      <c r="B5847" t="s">
        <v>13</v>
      </c>
      <c r="C5847">
        <v>11</v>
      </c>
      <c r="D5847">
        <v>11</v>
      </c>
      <c r="E5847" t="s">
        <v>17</v>
      </c>
      <c r="F5847">
        <v>25.09</v>
      </c>
      <c r="G5847">
        <v>25</v>
      </c>
      <c r="H5847" t="s">
        <v>17</v>
      </c>
      <c r="I5847" t="str">
        <f>"062376003594"</f>
        <v>062376003594</v>
      </c>
    </row>
    <row r="5848" spans="1:9" x14ac:dyDescent="0.25">
      <c r="A5848" t="s">
        <v>5103</v>
      </c>
      <c r="B5848" t="s">
        <v>13</v>
      </c>
      <c r="C5848">
        <v>17.8</v>
      </c>
      <c r="D5848">
        <v>15.64</v>
      </c>
      <c r="E5848" t="s">
        <v>17</v>
      </c>
      <c r="F5848">
        <v>22.64</v>
      </c>
      <c r="G5848">
        <v>25.64</v>
      </c>
      <c r="H5848" t="s">
        <v>17</v>
      </c>
      <c r="I5848" t="str">
        <f>"061473006099"</f>
        <v>061473006099</v>
      </c>
    </row>
    <row r="5849" spans="1:9" x14ac:dyDescent="0.25">
      <c r="A5849" t="s">
        <v>5103</v>
      </c>
      <c r="B5849" t="s">
        <v>13</v>
      </c>
      <c r="C5849">
        <v>17.010000000000002</v>
      </c>
      <c r="D5849">
        <v>19.04</v>
      </c>
      <c r="E5849" t="s">
        <v>17</v>
      </c>
      <c r="F5849">
        <v>19.52</v>
      </c>
      <c r="G5849">
        <v>18.7</v>
      </c>
      <c r="H5849" t="s">
        <v>17</v>
      </c>
      <c r="I5849" t="str">
        <f>"060964001018"</f>
        <v>060964001018</v>
      </c>
    </row>
    <row r="5850" spans="1:9" x14ac:dyDescent="0.25">
      <c r="A5850" t="s">
        <v>5103</v>
      </c>
      <c r="B5850" t="s">
        <v>13</v>
      </c>
      <c r="C5850">
        <v>27.5</v>
      </c>
      <c r="D5850">
        <v>24</v>
      </c>
      <c r="E5850" t="s">
        <v>17</v>
      </c>
      <c r="F5850">
        <v>24.55</v>
      </c>
      <c r="G5850">
        <v>26.67</v>
      </c>
      <c r="H5850" t="s">
        <v>17</v>
      </c>
      <c r="I5850" t="str">
        <f>"060001409080"</f>
        <v>060001409080</v>
      </c>
    </row>
    <row r="5851" spans="1:9" x14ac:dyDescent="0.25">
      <c r="A5851" t="s">
        <v>5103</v>
      </c>
      <c r="B5851" t="s">
        <v>13</v>
      </c>
      <c r="C5851">
        <v>26.58</v>
      </c>
      <c r="D5851">
        <v>24.92</v>
      </c>
      <c r="E5851" t="s">
        <v>17</v>
      </c>
      <c r="F5851">
        <v>26.37</v>
      </c>
      <c r="G5851">
        <v>27.61</v>
      </c>
      <c r="H5851" t="s">
        <v>17</v>
      </c>
      <c r="I5851" t="str">
        <f>"061392001594"</f>
        <v>061392001594</v>
      </c>
    </row>
    <row r="5852" spans="1:9" x14ac:dyDescent="0.25">
      <c r="A5852" t="s">
        <v>5103</v>
      </c>
      <c r="B5852" t="s">
        <v>13</v>
      </c>
      <c r="C5852">
        <v>8</v>
      </c>
      <c r="D5852">
        <v>9.4</v>
      </c>
      <c r="E5852" t="s">
        <v>17</v>
      </c>
      <c r="F5852">
        <v>28.88</v>
      </c>
      <c r="G5852">
        <v>28.83</v>
      </c>
      <c r="H5852" t="s">
        <v>17</v>
      </c>
      <c r="I5852" t="str">
        <f>"063384005265"</f>
        <v>063384005265</v>
      </c>
    </row>
    <row r="5853" spans="1:9" x14ac:dyDescent="0.25">
      <c r="A5853" t="s">
        <v>5103</v>
      </c>
      <c r="B5853" t="s">
        <v>13</v>
      </c>
      <c r="C5853">
        <v>35</v>
      </c>
      <c r="D5853">
        <v>34</v>
      </c>
      <c r="E5853" t="s">
        <v>17</v>
      </c>
      <c r="F5853">
        <v>21.26</v>
      </c>
      <c r="G5853">
        <v>22</v>
      </c>
      <c r="H5853" t="s">
        <v>17</v>
      </c>
      <c r="I5853" t="str">
        <f>"063987006615"</f>
        <v>063987006615</v>
      </c>
    </row>
    <row r="5854" spans="1:9" x14ac:dyDescent="0.25">
      <c r="A5854" t="s">
        <v>5104</v>
      </c>
      <c r="B5854" t="s">
        <v>13</v>
      </c>
      <c r="C5854">
        <v>9.4700000000000006</v>
      </c>
      <c r="D5854">
        <v>9.9700000000000006</v>
      </c>
      <c r="E5854" t="s">
        <v>17</v>
      </c>
      <c r="F5854">
        <v>20.059999999999999</v>
      </c>
      <c r="G5854">
        <v>21.66</v>
      </c>
      <c r="H5854" t="s">
        <v>17</v>
      </c>
      <c r="I5854" t="str">
        <f>"062241002687"</f>
        <v>062241002687</v>
      </c>
    </row>
    <row r="5855" spans="1:9" x14ac:dyDescent="0.25">
      <c r="A5855" t="s">
        <v>5105</v>
      </c>
      <c r="B5855" t="s">
        <v>13</v>
      </c>
      <c r="C5855">
        <v>21</v>
      </c>
      <c r="D5855">
        <v>21</v>
      </c>
      <c r="E5855" t="s">
        <v>17</v>
      </c>
      <c r="F5855">
        <v>26.05</v>
      </c>
      <c r="G5855">
        <v>24.38</v>
      </c>
      <c r="H5855" t="s">
        <v>17</v>
      </c>
      <c r="I5855" t="str">
        <f>"064128006839"</f>
        <v>064128006839</v>
      </c>
    </row>
    <row r="5856" spans="1:9" x14ac:dyDescent="0.25">
      <c r="A5856" t="s">
        <v>5106</v>
      </c>
      <c r="B5856" t="s">
        <v>13</v>
      </c>
      <c r="C5856">
        <v>11</v>
      </c>
      <c r="D5856">
        <v>11</v>
      </c>
      <c r="E5856" t="s">
        <v>17</v>
      </c>
      <c r="F5856">
        <v>20.09</v>
      </c>
      <c r="G5856">
        <v>19.55</v>
      </c>
      <c r="H5856" t="s">
        <v>17</v>
      </c>
      <c r="I5856" t="str">
        <f>"062271010855"</f>
        <v>062271010855</v>
      </c>
    </row>
    <row r="5857" spans="1:9" x14ac:dyDescent="0.25">
      <c r="A5857" t="s">
        <v>5107</v>
      </c>
      <c r="B5857" t="s">
        <v>13</v>
      </c>
      <c r="C5857">
        <v>44.01</v>
      </c>
      <c r="D5857">
        <v>44.64</v>
      </c>
      <c r="E5857" t="s">
        <v>17</v>
      </c>
      <c r="F5857">
        <v>22.97</v>
      </c>
      <c r="G5857">
        <v>23.81</v>
      </c>
      <c r="H5857" t="s">
        <v>17</v>
      </c>
      <c r="I5857" t="str">
        <f>"063864006485"</f>
        <v>063864006485</v>
      </c>
    </row>
    <row r="5858" spans="1:9" x14ac:dyDescent="0.25">
      <c r="A5858" t="s">
        <v>5108</v>
      </c>
      <c r="B5858" t="s">
        <v>13</v>
      </c>
      <c r="C5858">
        <v>9.16</v>
      </c>
      <c r="D5858" t="s">
        <v>14</v>
      </c>
      <c r="E5858" t="s">
        <v>14</v>
      </c>
      <c r="F5858" t="s">
        <v>14</v>
      </c>
      <c r="G5858" t="s">
        <v>14</v>
      </c>
      <c r="H5858" t="s">
        <v>14</v>
      </c>
      <c r="I5858" t="str">
        <f>"061185013217"</f>
        <v>061185013217</v>
      </c>
    </row>
    <row r="5859" spans="1:9" x14ac:dyDescent="0.25">
      <c r="A5859" t="s">
        <v>5109</v>
      </c>
      <c r="B5859" t="s">
        <v>13</v>
      </c>
      <c r="C5859">
        <v>17</v>
      </c>
      <c r="D5859">
        <v>16</v>
      </c>
      <c r="E5859" t="s">
        <v>17</v>
      </c>
      <c r="F5859">
        <v>26.24</v>
      </c>
      <c r="G5859">
        <v>27.75</v>
      </c>
      <c r="H5859" t="s">
        <v>17</v>
      </c>
      <c r="I5859" t="str">
        <f>"062949004545"</f>
        <v>062949004545</v>
      </c>
    </row>
    <row r="5860" spans="1:9" x14ac:dyDescent="0.25">
      <c r="A5860" t="s">
        <v>5109</v>
      </c>
      <c r="B5860" t="s">
        <v>13</v>
      </c>
      <c r="C5860">
        <v>26</v>
      </c>
      <c r="D5860">
        <v>27</v>
      </c>
      <c r="E5860" t="s">
        <v>17</v>
      </c>
      <c r="F5860">
        <v>23.08</v>
      </c>
      <c r="G5860">
        <v>23.11</v>
      </c>
      <c r="H5860" t="s">
        <v>17</v>
      </c>
      <c r="I5860" t="str">
        <f>"062271003164"</f>
        <v>062271003164</v>
      </c>
    </row>
    <row r="5861" spans="1:9" x14ac:dyDescent="0.25">
      <c r="A5861" t="s">
        <v>5109</v>
      </c>
      <c r="B5861" t="s">
        <v>13</v>
      </c>
      <c r="C5861">
        <v>26</v>
      </c>
      <c r="D5861">
        <v>25</v>
      </c>
      <c r="E5861" t="s">
        <v>17</v>
      </c>
      <c r="F5861">
        <v>22.73</v>
      </c>
      <c r="G5861">
        <v>23.4</v>
      </c>
      <c r="H5861" t="s">
        <v>17</v>
      </c>
      <c r="I5861" t="str">
        <f>"062817004353"</f>
        <v>062817004353</v>
      </c>
    </row>
    <row r="5862" spans="1:9" x14ac:dyDescent="0.25">
      <c r="A5862" t="s">
        <v>5110</v>
      </c>
      <c r="B5862" t="s">
        <v>13</v>
      </c>
      <c r="C5862">
        <v>61.74</v>
      </c>
      <c r="D5862">
        <v>58.95</v>
      </c>
      <c r="E5862" t="s">
        <v>17</v>
      </c>
      <c r="F5862">
        <v>28.05</v>
      </c>
      <c r="G5862">
        <v>26.84</v>
      </c>
      <c r="H5862" t="s">
        <v>17</v>
      </c>
      <c r="I5862" t="str">
        <f>"063864006486"</f>
        <v>063864006486</v>
      </c>
    </row>
    <row r="5863" spans="1:9" x14ac:dyDescent="0.25">
      <c r="A5863" t="s">
        <v>5111</v>
      </c>
      <c r="B5863" t="s">
        <v>13</v>
      </c>
      <c r="C5863">
        <v>19.38</v>
      </c>
      <c r="D5863">
        <v>20.8</v>
      </c>
      <c r="E5863" t="s">
        <v>17</v>
      </c>
      <c r="F5863">
        <v>27.61</v>
      </c>
      <c r="G5863">
        <v>27.69</v>
      </c>
      <c r="H5863" t="s">
        <v>17</v>
      </c>
      <c r="I5863" t="str">
        <f>"060744008752"</f>
        <v>060744008752</v>
      </c>
    </row>
    <row r="5864" spans="1:9" x14ac:dyDescent="0.25">
      <c r="A5864" t="s">
        <v>5112</v>
      </c>
      <c r="B5864" t="s">
        <v>13</v>
      </c>
      <c r="C5864">
        <v>1.3</v>
      </c>
      <c r="D5864">
        <v>2</v>
      </c>
      <c r="E5864" t="s">
        <v>17</v>
      </c>
      <c r="F5864">
        <v>6.92</v>
      </c>
      <c r="G5864">
        <v>4.5</v>
      </c>
      <c r="H5864" t="s">
        <v>17</v>
      </c>
      <c r="I5864" t="str">
        <f>"060006700732"</f>
        <v>060006700732</v>
      </c>
    </row>
    <row r="5865" spans="1:9" x14ac:dyDescent="0.25">
      <c r="A5865" t="s">
        <v>5113</v>
      </c>
      <c r="B5865" t="s">
        <v>13</v>
      </c>
      <c r="C5865">
        <v>1.2</v>
      </c>
      <c r="D5865">
        <v>2.2000000000000002</v>
      </c>
      <c r="E5865" t="s">
        <v>17</v>
      </c>
      <c r="F5865">
        <v>21.67</v>
      </c>
      <c r="G5865">
        <v>16.82</v>
      </c>
      <c r="H5865" t="s">
        <v>17</v>
      </c>
      <c r="I5865" t="str">
        <f>"060004406727"</f>
        <v>060004406727</v>
      </c>
    </row>
    <row r="5866" spans="1:9" x14ac:dyDescent="0.25">
      <c r="A5866" t="s">
        <v>5114</v>
      </c>
      <c r="B5866" t="s">
        <v>13</v>
      </c>
      <c r="C5866">
        <v>31.8</v>
      </c>
      <c r="D5866">
        <v>32.5</v>
      </c>
      <c r="E5866" t="s">
        <v>17</v>
      </c>
      <c r="F5866">
        <v>25.31</v>
      </c>
      <c r="G5866">
        <v>23.66</v>
      </c>
      <c r="H5866" t="s">
        <v>17</v>
      </c>
      <c r="I5866" t="str">
        <f>"069113511725"</f>
        <v>069113511725</v>
      </c>
    </row>
    <row r="5867" spans="1:9" x14ac:dyDescent="0.25">
      <c r="A5867" t="s">
        <v>5115</v>
      </c>
      <c r="B5867" t="s">
        <v>13</v>
      </c>
      <c r="C5867">
        <v>26.57</v>
      </c>
      <c r="D5867">
        <v>31.4</v>
      </c>
      <c r="E5867" t="s">
        <v>17</v>
      </c>
      <c r="F5867">
        <v>12.76</v>
      </c>
      <c r="G5867">
        <v>11.27</v>
      </c>
      <c r="H5867" t="s">
        <v>17</v>
      </c>
      <c r="I5867" t="str">
        <f>"062580003868"</f>
        <v>062580003868</v>
      </c>
    </row>
    <row r="5868" spans="1:9" x14ac:dyDescent="0.25">
      <c r="A5868" t="s">
        <v>5116</v>
      </c>
      <c r="B5868" t="s">
        <v>13</v>
      </c>
      <c r="C5868">
        <v>7.4</v>
      </c>
      <c r="D5868">
        <v>8.4</v>
      </c>
      <c r="E5868" t="s">
        <v>17</v>
      </c>
      <c r="F5868">
        <v>14.05</v>
      </c>
      <c r="G5868">
        <v>18.93</v>
      </c>
      <c r="H5868" t="s">
        <v>17</v>
      </c>
      <c r="I5868" t="str">
        <f>"062580008561"</f>
        <v>062580008561</v>
      </c>
    </row>
    <row r="5869" spans="1:9" x14ac:dyDescent="0.25">
      <c r="A5869" t="s">
        <v>5117</v>
      </c>
      <c r="B5869" t="s">
        <v>13</v>
      </c>
      <c r="C5869">
        <v>71</v>
      </c>
      <c r="D5869">
        <v>71.25</v>
      </c>
      <c r="E5869" t="s">
        <v>17</v>
      </c>
      <c r="F5869">
        <v>26.75</v>
      </c>
      <c r="G5869">
        <v>27.69</v>
      </c>
      <c r="H5869" t="s">
        <v>17</v>
      </c>
      <c r="I5869" t="str">
        <f>"062316010903"</f>
        <v>062316010903</v>
      </c>
    </row>
    <row r="5870" spans="1:9" x14ac:dyDescent="0.25">
      <c r="A5870" t="s">
        <v>5118</v>
      </c>
      <c r="B5870" t="s">
        <v>13</v>
      </c>
      <c r="C5870">
        <v>53.35</v>
      </c>
      <c r="D5870">
        <v>58.4</v>
      </c>
      <c r="E5870" t="s">
        <v>17</v>
      </c>
      <c r="F5870">
        <v>25.55</v>
      </c>
      <c r="G5870">
        <v>23.63</v>
      </c>
      <c r="H5870" t="s">
        <v>17</v>
      </c>
      <c r="I5870" t="str">
        <f>"060744000694"</f>
        <v>060744000694</v>
      </c>
    </row>
    <row r="5871" spans="1:9" x14ac:dyDescent="0.25">
      <c r="A5871" t="s">
        <v>5119</v>
      </c>
      <c r="B5871" t="s">
        <v>13</v>
      </c>
      <c r="C5871" t="str">
        <f>"0.81"</f>
        <v>0.81</v>
      </c>
      <c r="D5871">
        <v>8.6</v>
      </c>
      <c r="E5871" t="s">
        <v>17</v>
      </c>
      <c r="F5871">
        <v>190.12</v>
      </c>
      <c r="G5871">
        <v>19.3</v>
      </c>
      <c r="H5871" t="s">
        <v>17</v>
      </c>
      <c r="I5871" t="str">
        <f>"062380003595"</f>
        <v>062380003595</v>
      </c>
    </row>
    <row r="5872" spans="1:9" x14ac:dyDescent="0.25">
      <c r="A5872" t="s">
        <v>5120</v>
      </c>
      <c r="B5872" t="s">
        <v>13</v>
      </c>
      <c r="C5872">
        <v>18.100000000000001</v>
      </c>
      <c r="D5872">
        <v>17.100000000000001</v>
      </c>
      <c r="E5872" t="s">
        <v>17</v>
      </c>
      <c r="F5872">
        <v>22.87</v>
      </c>
      <c r="G5872">
        <v>21.87</v>
      </c>
      <c r="H5872" t="s">
        <v>17</v>
      </c>
      <c r="I5872" t="str">
        <f>"064074006724"</f>
        <v>064074006724</v>
      </c>
    </row>
    <row r="5873" spans="1:9" x14ac:dyDescent="0.25">
      <c r="A5873" t="s">
        <v>5121</v>
      </c>
      <c r="B5873" t="s">
        <v>13</v>
      </c>
      <c r="C5873">
        <v>18.649999999999999</v>
      </c>
      <c r="D5873">
        <v>16</v>
      </c>
      <c r="E5873" t="s">
        <v>17</v>
      </c>
      <c r="F5873">
        <v>23.38</v>
      </c>
      <c r="G5873">
        <v>25.56</v>
      </c>
      <c r="H5873" t="s">
        <v>17</v>
      </c>
      <c r="I5873" t="str">
        <f>"064074008398"</f>
        <v>064074008398</v>
      </c>
    </row>
    <row r="5874" spans="1:9" x14ac:dyDescent="0.25">
      <c r="A5874" t="s">
        <v>5122</v>
      </c>
      <c r="B5874" t="s">
        <v>13</v>
      </c>
      <c r="C5874">
        <v>31</v>
      </c>
      <c r="D5874">
        <v>29</v>
      </c>
      <c r="E5874" t="s">
        <v>17</v>
      </c>
      <c r="F5874">
        <v>22.94</v>
      </c>
      <c r="G5874">
        <v>23.55</v>
      </c>
      <c r="H5874" t="s">
        <v>17</v>
      </c>
      <c r="I5874" t="str">
        <f>"063750006333"</f>
        <v>063750006333</v>
      </c>
    </row>
    <row r="5875" spans="1:9" x14ac:dyDescent="0.25">
      <c r="A5875" t="s">
        <v>5123</v>
      </c>
      <c r="B5875" t="s">
        <v>13</v>
      </c>
      <c r="C5875">
        <v>29.4</v>
      </c>
      <c r="D5875">
        <v>30.9</v>
      </c>
      <c r="E5875" t="s">
        <v>17</v>
      </c>
      <c r="F5875">
        <v>20.37</v>
      </c>
      <c r="G5875">
        <v>20.190000000000001</v>
      </c>
      <c r="H5875" t="s">
        <v>17</v>
      </c>
      <c r="I5875" t="str">
        <f>"061479007238"</f>
        <v>061479007238</v>
      </c>
    </row>
    <row r="5876" spans="1:9" x14ac:dyDescent="0.25">
      <c r="A5876" t="s">
        <v>5124</v>
      </c>
      <c r="B5876" t="s">
        <v>13</v>
      </c>
      <c r="C5876">
        <v>25.6</v>
      </c>
      <c r="D5876">
        <v>21</v>
      </c>
      <c r="E5876" t="s">
        <v>17</v>
      </c>
      <c r="F5876">
        <v>20.47</v>
      </c>
      <c r="G5876">
        <v>21.14</v>
      </c>
      <c r="H5876" t="s">
        <v>17</v>
      </c>
      <c r="I5876" t="str">
        <f>"061578008851"</f>
        <v>061578008851</v>
      </c>
    </row>
    <row r="5877" spans="1:9" x14ac:dyDescent="0.25">
      <c r="A5877" t="s">
        <v>5125</v>
      </c>
      <c r="B5877" t="s">
        <v>13</v>
      </c>
      <c r="C5877">
        <v>23</v>
      </c>
      <c r="D5877">
        <v>23.5</v>
      </c>
      <c r="E5877" t="s">
        <v>17</v>
      </c>
      <c r="F5877">
        <v>22.26</v>
      </c>
      <c r="G5877">
        <v>21.45</v>
      </c>
      <c r="H5877" t="s">
        <v>17</v>
      </c>
      <c r="I5877" t="str">
        <f>"060369000334"</f>
        <v>060369000334</v>
      </c>
    </row>
    <row r="5878" spans="1:9" x14ac:dyDescent="0.25">
      <c r="A5878" t="s">
        <v>5126</v>
      </c>
      <c r="B5878" t="s">
        <v>13</v>
      </c>
      <c r="C5878">
        <v>16.5</v>
      </c>
      <c r="D5878">
        <v>16</v>
      </c>
      <c r="E5878" t="s">
        <v>17</v>
      </c>
      <c r="F5878">
        <v>29.27</v>
      </c>
      <c r="G5878">
        <v>26.88</v>
      </c>
      <c r="H5878" t="s">
        <v>17</v>
      </c>
      <c r="I5878" t="str">
        <f>"061203001335"</f>
        <v>061203001335</v>
      </c>
    </row>
    <row r="5879" spans="1:9" x14ac:dyDescent="0.25">
      <c r="A5879" t="s">
        <v>5127</v>
      </c>
      <c r="B5879" t="s">
        <v>13</v>
      </c>
      <c r="C5879" t="s">
        <v>14</v>
      </c>
      <c r="D5879" t="s">
        <v>17</v>
      </c>
      <c r="E5879" t="s">
        <v>17</v>
      </c>
      <c r="F5879" t="s">
        <v>17</v>
      </c>
      <c r="G5879" t="s">
        <v>17</v>
      </c>
      <c r="H5879" t="s">
        <v>17</v>
      </c>
      <c r="I5879" t="str">
        <f>"069103312003"</f>
        <v>069103312003</v>
      </c>
    </row>
    <row r="5880" spans="1:9" x14ac:dyDescent="0.25">
      <c r="A5880" t="s">
        <v>5128</v>
      </c>
      <c r="B5880" t="s">
        <v>13</v>
      </c>
      <c r="C5880">
        <v>6</v>
      </c>
      <c r="D5880">
        <v>6</v>
      </c>
      <c r="E5880" t="s">
        <v>17</v>
      </c>
      <c r="F5880">
        <v>13</v>
      </c>
      <c r="G5880">
        <v>15.33</v>
      </c>
      <c r="H5880" t="s">
        <v>17</v>
      </c>
      <c r="I5880" t="str">
        <f>"061077001195"</f>
        <v>061077001195</v>
      </c>
    </row>
    <row r="5881" spans="1:9" x14ac:dyDescent="0.25">
      <c r="A5881" t="s">
        <v>5129</v>
      </c>
      <c r="B5881" t="s">
        <v>13</v>
      </c>
      <c r="C5881">
        <v>26.09</v>
      </c>
      <c r="D5881">
        <v>25.82</v>
      </c>
      <c r="E5881" t="s">
        <v>17</v>
      </c>
      <c r="F5881">
        <v>27.33</v>
      </c>
      <c r="G5881">
        <v>27.11</v>
      </c>
      <c r="H5881" t="s">
        <v>17</v>
      </c>
      <c r="I5881" t="str">
        <f>"061044002336"</f>
        <v>061044002336</v>
      </c>
    </row>
    <row r="5882" spans="1:9" x14ac:dyDescent="0.25">
      <c r="A5882" t="s">
        <v>5130</v>
      </c>
      <c r="B5882" t="s">
        <v>13</v>
      </c>
      <c r="C5882">
        <v>18</v>
      </c>
      <c r="D5882">
        <v>16</v>
      </c>
      <c r="E5882" t="s">
        <v>17</v>
      </c>
      <c r="F5882">
        <v>21.06</v>
      </c>
      <c r="G5882">
        <v>21.5</v>
      </c>
      <c r="H5882" t="s">
        <v>17</v>
      </c>
      <c r="I5882" t="str">
        <f>"061887002288"</f>
        <v>061887002288</v>
      </c>
    </row>
    <row r="5883" spans="1:9" x14ac:dyDescent="0.25">
      <c r="A5883" t="s">
        <v>5131</v>
      </c>
      <c r="B5883" t="s">
        <v>13</v>
      </c>
      <c r="C5883">
        <v>20</v>
      </c>
      <c r="D5883">
        <v>21</v>
      </c>
      <c r="E5883" t="s">
        <v>17</v>
      </c>
      <c r="F5883">
        <v>24.2</v>
      </c>
      <c r="G5883">
        <v>23.86</v>
      </c>
      <c r="H5883" t="s">
        <v>17</v>
      </c>
      <c r="I5883" t="str">
        <f>"062460003694"</f>
        <v>062460003694</v>
      </c>
    </row>
    <row r="5884" spans="1:9" x14ac:dyDescent="0.25">
      <c r="A5884" t="s">
        <v>5132</v>
      </c>
      <c r="B5884" t="s">
        <v>13</v>
      </c>
      <c r="C5884">
        <v>21.5</v>
      </c>
      <c r="D5884">
        <v>24</v>
      </c>
      <c r="E5884" t="s">
        <v>17</v>
      </c>
      <c r="F5884">
        <v>31.07</v>
      </c>
      <c r="G5884">
        <v>28.46</v>
      </c>
      <c r="H5884" t="s">
        <v>17</v>
      </c>
      <c r="I5884" t="str">
        <f>"062964004604"</f>
        <v>062964004604</v>
      </c>
    </row>
    <row r="5885" spans="1:9" x14ac:dyDescent="0.25">
      <c r="A5885" t="s">
        <v>5133</v>
      </c>
      <c r="B5885" t="s">
        <v>13</v>
      </c>
      <c r="C5885">
        <v>37.81</v>
      </c>
      <c r="D5885">
        <v>37.65</v>
      </c>
      <c r="E5885" t="s">
        <v>17</v>
      </c>
      <c r="F5885">
        <v>24.76</v>
      </c>
      <c r="G5885">
        <v>25.55</v>
      </c>
      <c r="H5885" t="s">
        <v>17</v>
      </c>
      <c r="I5885" t="str">
        <f>"060002809505"</f>
        <v>060002809505</v>
      </c>
    </row>
    <row r="5886" spans="1:9" x14ac:dyDescent="0.25">
      <c r="A5886" t="s">
        <v>5134</v>
      </c>
      <c r="B5886" t="s">
        <v>13</v>
      </c>
      <c r="C5886">
        <v>24.67</v>
      </c>
      <c r="D5886">
        <v>27.33</v>
      </c>
      <c r="E5886" t="s">
        <v>17</v>
      </c>
      <c r="F5886">
        <v>27.32</v>
      </c>
      <c r="G5886">
        <v>24.52</v>
      </c>
      <c r="H5886" t="s">
        <v>17</v>
      </c>
      <c r="I5886" t="str">
        <f>"060015310939"</f>
        <v>060015310939</v>
      </c>
    </row>
    <row r="5887" spans="1:9" x14ac:dyDescent="0.25">
      <c r="A5887" t="s">
        <v>5135</v>
      </c>
      <c r="B5887" t="s">
        <v>13</v>
      </c>
      <c r="C5887">
        <v>20.2</v>
      </c>
      <c r="D5887">
        <v>17</v>
      </c>
      <c r="E5887" t="s">
        <v>17</v>
      </c>
      <c r="F5887">
        <v>23.96</v>
      </c>
      <c r="G5887">
        <v>29.53</v>
      </c>
      <c r="H5887" t="s">
        <v>17</v>
      </c>
      <c r="I5887" t="str">
        <f>"060994001078"</f>
        <v>060994001078</v>
      </c>
    </row>
    <row r="5888" spans="1:9" x14ac:dyDescent="0.25">
      <c r="A5888" t="s">
        <v>5136</v>
      </c>
      <c r="B5888" t="s">
        <v>13</v>
      </c>
      <c r="C5888">
        <v>16.600000000000001</v>
      </c>
      <c r="D5888">
        <v>19.399999999999999</v>
      </c>
      <c r="E5888" t="s">
        <v>17</v>
      </c>
      <c r="F5888">
        <v>24.22</v>
      </c>
      <c r="G5888">
        <v>20.98</v>
      </c>
      <c r="H5888" t="s">
        <v>17</v>
      </c>
      <c r="I5888" t="str">
        <f>"061062010456"</f>
        <v>061062010456</v>
      </c>
    </row>
    <row r="5889" spans="1:9" x14ac:dyDescent="0.25">
      <c r="A5889" t="s">
        <v>5137</v>
      </c>
      <c r="B5889" t="s">
        <v>13</v>
      </c>
      <c r="C5889">
        <v>67.650000000000006</v>
      </c>
      <c r="D5889">
        <v>66.92</v>
      </c>
      <c r="E5889" t="s">
        <v>17</v>
      </c>
      <c r="F5889">
        <v>24.35</v>
      </c>
      <c r="G5889">
        <v>23.89</v>
      </c>
      <c r="H5889" t="s">
        <v>17</v>
      </c>
      <c r="I5889" t="str">
        <f>"063583006679"</f>
        <v>063583006679</v>
      </c>
    </row>
    <row r="5890" spans="1:9" x14ac:dyDescent="0.25">
      <c r="A5890" t="s">
        <v>5138</v>
      </c>
      <c r="B5890" t="s">
        <v>13</v>
      </c>
      <c r="C5890">
        <v>17</v>
      </c>
      <c r="D5890">
        <v>16.600000000000001</v>
      </c>
      <c r="E5890" t="s">
        <v>17</v>
      </c>
      <c r="F5890">
        <v>16.47</v>
      </c>
      <c r="G5890">
        <v>15.9</v>
      </c>
      <c r="H5890" t="s">
        <v>17</v>
      </c>
      <c r="I5890" t="str">
        <f>"060001312302"</f>
        <v>060001312302</v>
      </c>
    </row>
    <row r="5891" spans="1:9" x14ac:dyDescent="0.25">
      <c r="A5891" t="s">
        <v>5139</v>
      </c>
      <c r="B5891" t="s">
        <v>13</v>
      </c>
      <c r="C5891">
        <v>38.9</v>
      </c>
      <c r="D5891">
        <v>40.299999999999997</v>
      </c>
      <c r="E5891" t="s">
        <v>17</v>
      </c>
      <c r="F5891">
        <v>23.44</v>
      </c>
      <c r="G5891">
        <v>22.85</v>
      </c>
      <c r="H5891" t="s">
        <v>17</v>
      </c>
      <c r="I5891" t="str">
        <f>"063543007867"</f>
        <v>063543007867</v>
      </c>
    </row>
    <row r="5892" spans="1:9" x14ac:dyDescent="0.25">
      <c r="A5892" t="s">
        <v>5140</v>
      </c>
      <c r="B5892" t="s">
        <v>13</v>
      </c>
      <c r="C5892">
        <v>23.07</v>
      </c>
      <c r="D5892">
        <v>22.8</v>
      </c>
      <c r="E5892" t="s">
        <v>17</v>
      </c>
      <c r="F5892">
        <v>26.48</v>
      </c>
      <c r="G5892">
        <v>22.5</v>
      </c>
      <c r="H5892" t="s">
        <v>17</v>
      </c>
      <c r="I5892" t="str">
        <f>"060744009118"</f>
        <v>060744009118</v>
      </c>
    </row>
    <row r="5893" spans="1:9" x14ac:dyDescent="0.25">
      <c r="A5893" t="s">
        <v>5141</v>
      </c>
      <c r="B5893" t="s">
        <v>13</v>
      </c>
      <c r="C5893">
        <v>25</v>
      </c>
      <c r="D5893">
        <v>22</v>
      </c>
      <c r="E5893" t="s">
        <v>17</v>
      </c>
      <c r="F5893">
        <v>25</v>
      </c>
      <c r="G5893">
        <v>25.95</v>
      </c>
      <c r="H5893" t="s">
        <v>17</v>
      </c>
      <c r="I5893" t="str">
        <f>"060001709100"</f>
        <v>060001709100</v>
      </c>
    </row>
    <row r="5894" spans="1:9" x14ac:dyDescent="0.25">
      <c r="A5894" t="s">
        <v>5142</v>
      </c>
      <c r="B5894" t="s">
        <v>13</v>
      </c>
      <c r="C5894">
        <v>18</v>
      </c>
      <c r="D5894">
        <v>18</v>
      </c>
      <c r="E5894" t="s">
        <v>17</v>
      </c>
      <c r="F5894">
        <v>23.17</v>
      </c>
      <c r="G5894">
        <v>24.94</v>
      </c>
      <c r="H5894" t="s">
        <v>17</v>
      </c>
      <c r="I5894" t="str">
        <f>"062271003165"</f>
        <v>062271003165</v>
      </c>
    </row>
    <row r="5895" spans="1:9" x14ac:dyDescent="0.25">
      <c r="A5895" t="s">
        <v>5143</v>
      </c>
      <c r="B5895" t="s">
        <v>13</v>
      </c>
      <c r="C5895">
        <v>28.55</v>
      </c>
      <c r="D5895">
        <v>25.27</v>
      </c>
      <c r="E5895" t="s">
        <v>17</v>
      </c>
      <c r="F5895">
        <v>21.68</v>
      </c>
      <c r="G5895">
        <v>22.71</v>
      </c>
      <c r="H5895" t="s">
        <v>17</v>
      </c>
      <c r="I5895" t="str">
        <f>"062628003923"</f>
        <v>062628003923</v>
      </c>
    </row>
    <row r="5896" spans="1:9" x14ac:dyDescent="0.25">
      <c r="A5896" t="s">
        <v>5144</v>
      </c>
      <c r="B5896" t="s">
        <v>13</v>
      </c>
      <c r="C5896" t="s">
        <v>14</v>
      </c>
      <c r="D5896" t="s">
        <v>17</v>
      </c>
      <c r="E5896" t="s">
        <v>14</v>
      </c>
      <c r="F5896" t="s">
        <v>17</v>
      </c>
      <c r="G5896" t="s">
        <v>17</v>
      </c>
      <c r="H5896" t="s">
        <v>14</v>
      </c>
      <c r="I5896" t="str">
        <f>"062382012686"</f>
        <v>062382012686</v>
      </c>
    </row>
    <row r="5897" spans="1:9" x14ac:dyDescent="0.25">
      <c r="A5897" t="s">
        <v>5145</v>
      </c>
      <c r="B5897" t="s">
        <v>13</v>
      </c>
      <c r="C5897">
        <v>8.51</v>
      </c>
      <c r="D5897">
        <v>6.8</v>
      </c>
      <c r="E5897" t="s">
        <v>17</v>
      </c>
      <c r="F5897">
        <v>18.100000000000001</v>
      </c>
      <c r="G5897">
        <v>17.5</v>
      </c>
      <c r="H5897" t="s">
        <v>17</v>
      </c>
      <c r="I5897" t="str">
        <f>"062382003596"</f>
        <v>062382003596</v>
      </c>
    </row>
    <row r="5898" spans="1:9" x14ac:dyDescent="0.25">
      <c r="A5898" t="s">
        <v>5146</v>
      </c>
      <c r="B5898" t="s">
        <v>13</v>
      </c>
      <c r="C5898">
        <v>8.0299999999999994</v>
      </c>
      <c r="D5898">
        <v>9.91</v>
      </c>
      <c r="E5898" t="s">
        <v>17</v>
      </c>
      <c r="F5898">
        <v>9.09</v>
      </c>
      <c r="G5898">
        <v>7.57</v>
      </c>
      <c r="H5898" t="s">
        <v>17</v>
      </c>
      <c r="I5898" t="str">
        <f>"062382003597"</f>
        <v>062382003597</v>
      </c>
    </row>
    <row r="5899" spans="1:9" x14ac:dyDescent="0.25">
      <c r="A5899" t="s">
        <v>5147</v>
      </c>
      <c r="B5899" t="s">
        <v>13</v>
      </c>
      <c r="C5899">
        <v>3.5</v>
      </c>
      <c r="D5899">
        <v>3.41</v>
      </c>
      <c r="E5899" t="s">
        <v>17</v>
      </c>
      <c r="F5899">
        <v>25.71</v>
      </c>
      <c r="G5899">
        <v>18.77</v>
      </c>
      <c r="H5899" t="s">
        <v>17</v>
      </c>
      <c r="I5899" t="str">
        <f>"062382012615"</f>
        <v>062382012615</v>
      </c>
    </row>
    <row r="5900" spans="1:9" x14ac:dyDescent="0.25">
      <c r="A5900" t="s">
        <v>5148</v>
      </c>
      <c r="B5900" t="s">
        <v>13</v>
      </c>
      <c r="C5900">
        <v>17</v>
      </c>
      <c r="D5900">
        <v>16.3</v>
      </c>
      <c r="E5900" t="s">
        <v>17</v>
      </c>
      <c r="F5900">
        <v>25.24</v>
      </c>
      <c r="G5900">
        <v>31.53</v>
      </c>
      <c r="H5900" t="s">
        <v>17</v>
      </c>
      <c r="I5900" t="str">
        <f>"061488007724"</f>
        <v>061488007724</v>
      </c>
    </row>
    <row r="5901" spans="1:9" x14ac:dyDescent="0.25">
      <c r="A5901" t="s">
        <v>5149</v>
      </c>
      <c r="B5901" t="s">
        <v>13</v>
      </c>
      <c r="C5901">
        <v>20.03</v>
      </c>
      <c r="D5901">
        <v>22</v>
      </c>
      <c r="E5901" t="s">
        <v>17</v>
      </c>
      <c r="F5901">
        <v>28.46</v>
      </c>
      <c r="G5901">
        <v>24.32</v>
      </c>
      <c r="H5901" t="s">
        <v>17</v>
      </c>
      <c r="I5901" t="str">
        <f>"063462005795"</f>
        <v>063462005795</v>
      </c>
    </row>
    <row r="5902" spans="1:9" x14ac:dyDescent="0.25">
      <c r="A5902" t="s">
        <v>5150</v>
      </c>
      <c r="B5902" t="s">
        <v>13</v>
      </c>
      <c r="C5902">
        <v>23.17</v>
      </c>
      <c r="D5902">
        <v>21.7</v>
      </c>
      <c r="E5902" t="s">
        <v>17</v>
      </c>
      <c r="F5902">
        <v>23.35</v>
      </c>
      <c r="G5902">
        <v>24.65</v>
      </c>
      <c r="H5902" t="s">
        <v>17</v>
      </c>
      <c r="I5902" t="str">
        <f>"060837000821"</f>
        <v>060837000821</v>
      </c>
    </row>
    <row r="5903" spans="1:9" x14ac:dyDescent="0.25">
      <c r="A5903" t="s">
        <v>5151</v>
      </c>
      <c r="B5903" t="s">
        <v>13</v>
      </c>
      <c r="C5903">
        <v>4.68</v>
      </c>
      <c r="D5903">
        <v>5.16</v>
      </c>
      <c r="E5903" t="s">
        <v>17</v>
      </c>
      <c r="F5903">
        <v>21.58</v>
      </c>
      <c r="G5903">
        <v>21.51</v>
      </c>
      <c r="H5903" t="s">
        <v>17</v>
      </c>
      <c r="I5903" t="str">
        <f>"069101809230"</f>
        <v>069101809230</v>
      </c>
    </row>
    <row r="5904" spans="1:9" x14ac:dyDescent="0.25">
      <c r="A5904" t="s">
        <v>5152</v>
      </c>
      <c r="B5904" t="s">
        <v>13</v>
      </c>
      <c r="C5904">
        <v>1</v>
      </c>
      <c r="D5904">
        <v>1</v>
      </c>
      <c r="E5904" t="s">
        <v>17</v>
      </c>
      <c r="F5904">
        <v>8</v>
      </c>
      <c r="G5904">
        <v>11</v>
      </c>
      <c r="H5904" t="s">
        <v>17</v>
      </c>
      <c r="I5904" t="str">
        <f>"069101811913"</f>
        <v>069101811913</v>
      </c>
    </row>
    <row r="5905" spans="1:9" x14ac:dyDescent="0.25">
      <c r="A5905" t="s">
        <v>5153</v>
      </c>
      <c r="B5905" t="s">
        <v>13</v>
      </c>
      <c r="C5905" t="s">
        <v>17</v>
      </c>
      <c r="D5905" t="s">
        <v>17</v>
      </c>
      <c r="E5905" t="s">
        <v>17</v>
      </c>
      <c r="F5905" t="s">
        <v>17</v>
      </c>
      <c r="G5905" t="s">
        <v>17</v>
      </c>
      <c r="H5905" t="s">
        <v>17</v>
      </c>
      <c r="I5905" t="str">
        <f>"060011710955"</f>
        <v>060011710955</v>
      </c>
    </row>
    <row r="5906" spans="1:9" x14ac:dyDescent="0.25">
      <c r="A5906" t="s">
        <v>5154</v>
      </c>
      <c r="B5906" t="s">
        <v>13</v>
      </c>
      <c r="C5906">
        <v>25.5</v>
      </c>
      <c r="D5906">
        <v>25.5</v>
      </c>
      <c r="E5906" t="s">
        <v>17</v>
      </c>
      <c r="F5906">
        <v>8.31</v>
      </c>
      <c r="G5906">
        <v>8.16</v>
      </c>
      <c r="H5906" t="s">
        <v>17</v>
      </c>
      <c r="I5906" t="str">
        <f>"069101807135"</f>
        <v>069101807135</v>
      </c>
    </row>
    <row r="5907" spans="1:9" x14ac:dyDescent="0.25">
      <c r="A5907" t="s">
        <v>5155</v>
      </c>
      <c r="B5907" t="s">
        <v>13</v>
      </c>
      <c r="C5907">
        <v>24.4</v>
      </c>
      <c r="D5907">
        <v>24.7</v>
      </c>
      <c r="E5907" t="s">
        <v>17</v>
      </c>
      <c r="F5907">
        <v>21.07</v>
      </c>
      <c r="G5907">
        <v>20.73</v>
      </c>
      <c r="H5907" t="s">
        <v>17</v>
      </c>
      <c r="I5907" t="str">
        <f>"060186000062"</f>
        <v>060186000062</v>
      </c>
    </row>
    <row r="5908" spans="1:9" x14ac:dyDescent="0.25">
      <c r="A5908" t="s">
        <v>5156</v>
      </c>
      <c r="B5908" t="s">
        <v>13</v>
      </c>
      <c r="C5908">
        <v>5.4</v>
      </c>
      <c r="D5908">
        <v>5.6</v>
      </c>
      <c r="E5908" t="s">
        <v>17</v>
      </c>
      <c r="F5908">
        <v>12.41</v>
      </c>
      <c r="G5908">
        <v>13.21</v>
      </c>
      <c r="H5908" t="s">
        <v>17</v>
      </c>
      <c r="I5908" t="str">
        <f>"062772004190"</f>
        <v>062772004190</v>
      </c>
    </row>
    <row r="5909" spans="1:9" x14ac:dyDescent="0.25">
      <c r="A5909" t="s">
        <v>5157</v>
      </c>
      <c r="B5909" t="s">
        <v>13</v>
      </c>
      <c r="C5909" t="s">
        <v>17</v>
      </c>
      <c r="D5909" t="s">
        <v>14</v>
      </c>
      <c r="E5909" t="s">
        <v>14</v>
      </c>
      <c r="F5909" t="s">
        <v>17</v>
      </c>
      <c r="G5909" t="s">
        <v>14</v>
      </c>
      <c r="H5909" t="s">
        <v>14</v>
      </c>
      <c r="I5909" t="str">
        <f>"062553013547"</f>
        <v>062553013547</v>
      </c>
    </row>
    <row r="5910" spans="1:9" x14ac:dyDescent="0.25">
      <c r="A5910" t="s">
        <v>5158</v>
      </c>
      <c r="B5910" t="s">
        <v>13</v>
      </c>
      <c r="C5910">
        <v>35.33</v>
      </c>
      <c r="D5910">
        <v>42.01</v>
      </c>
      <c r="E5910" t="s">
        <v>17</v>
      </c>
      <c r="F5910">
        <v>21.88</v>
      </c>
      <c r="G5910">
        <v>20.71</v>
      </c>
      <c r="H5910" t="s">
        <v>17</v>
      </c>
      <c r="I5910" t="str">
        <f>"062271003166"</f>
        <v>062271003166</v>
      </c>
    </row>
    <row r="5911" spans="1:9" x14ac:dyDescent="0.25">
      <c r="A5911" t="s">
        <v>5159</v>
      </c>
      <c r="B5911" t="s">
        <v>13</v>
      </c>
      <c r="C5911">
        <v>103.59</v>
      </c>
      <c r="D5911">
        <v>104.72</v>
      </c>
      <c r="E5911" t="s">
        <v>17</v>
      </c>
      <c r="F5911">
        <v>26.48</v>
      </c>
      <c r="G5911">
        <v>27</v>
      </c>
      <c r="H5911" t="s">
        <v>17</v>
      </c>
      <c r="I5911" t="str">
        <f>"061806002232"</f>
        <v>061806002232</v>
      </c>
    </row>
    <row r="5912" spans="1:9" x14ac:dyDescent="0.25">
      <c r="A5912" t="s">
        <v>5159</v>
      </c>
      <c r="B5912" t="s">
        <v>13</v>
      </c>
      <c r="C5912">
        <v>32.54</v>
      </c>
      <c r="D5912">
        <v>34.99</v>
      </c>
      <c r="E5912" t="s">
        <v>17</v>
      </c>
      <c r="F5912">
        <v>18.47</v>
      </c>
      <c r="G5912">
        <v>18.12</v>
      </c>
      <c r="H5912" t="s">
        <v>17</v>
      </c>
      <c r="I5912" t="str">
        <f>"062553011697"</f>
        <v>062553011697</v>
      </c>
    </row>
    <row r="5913" spans="1:9" x14ac:dyDescent="0.25">
      <c r="A5913" t="s">
        <v>5160</v>
      </c>
      <c r="B5913" t="s">
        <v>13</v>
      </c>
      <c r="C5913">
        <v>39.799999999999997</v>
      </c>
      <c r="D5913">
        <v>38.799999999999997</v>
      </c>
      <c r="E5913" t="s">
        <v>17</v>
      </c>
      <c r="F5913">
        <v>20.53</v>
      </c>
      <c r="G5913">
        <v>21.39</v>
      </c>
      <c r="H5913" t="s">
        <v>17</v>
      </c>
      <c r="I5913" t="str">
        <f>"063441005645"</f>
        <v>063441005645</v>
      </c>
    </row>
    <row r="5914" spans="1:9" x14ac:dyDescent="0.25">
      <c r="A5914" t="s">
        <v>5161</v>
      </c>
      <c r="B5914" t="s">
        <v>13</v>
      </c>
      <c r="C5914">
        <v>35.15</v>
      </c>
      <c r="D5914">
        <v>34.78</v>
      </c>
      <c r="E5914" t="s">
        <v>17</v>
      </c>
      <c r="F5914">
        <v>22.87</v>
      </c>
      <c r="G5914">
        <v>22.86</v>
      </c>
      <c r="H5914" t="s">
        <v>17</v>
      </c>
      <c r="I5914" t="str">
        <f>"063231008948"</f>
        <v>063231008948</v>
      </c>
    </row>
    <row r="5915" spans="1:9" x14ac:dyDescent="0.25">
      <c r="A5915" t="s">
        <v>5162</v>
      </c>
      <c r="B5915" t="s">
        <v>13</v>
      </c>
      <c r="C5915">
        <v>20</v>
      </c>
      <c r="D5915">
        <v>19</v>
      </c>
      <c r="E5915" t="s">
        <v>17</v>
      </c>
      <c r="F5915">
        <v>21.2</v>
      </c>
      <c r="G5915">
        <v>23.68</v>
      </c>
      <c r="H5915" t="s">
        <v>17</v>
      </c>
      <c r="I5915" t="str">
        <f>"062553007181"</f>
        <v>062553007181</v>
      </c>
    </row>
    <row r="5916" spans="1:9" x14ac:dyDescent="0.25">
      <c r="A5916" t="s">
        <v>5162</v>
      </c>
      <c r="B5916" t="s">
        <v>13</v>
      </c>
      <c r="C5916">
        <v>26.5</v>
      </c>
      <c r="D5916">
        <v>25.5</v>
      </c>
      <c r="E5916" t="s">
        <v>17</v>
      </c>
      <c r="F5916">
        <v>25.09</v>
      </c>
      <c r="G5916">
        <v>25.25</v>
      </c>
      <c r="H5916" t="s">
        <v>17</v>
      </c>
      <c r="I5916" t="str">
        <f>"063060012268"</f>
        <v>063060012268</v>
      </c>
    </row>
    <row r="5917" spans="1:9" x14ac:dyDescent="0.25">
      <c r="A5917" t="s">
        <v>5163</v>
      </c>
      <c r="B5917" t="s">
        <v>13</v>
      </c>
      <c r="C5917">
        <v>25.9</v>
      </c>
      <c r="D5917">
        <v>27</v>
      </c>
      <c r="E5917" t="s">
        <v>17</v>
      </c>
      <c r="F5917">
        <v>27.72</v>
      </c>
      <c r="G5917">
        <v>27.22</v>
      </c>
      <c r="H5917" t="s">
        <v>17</v>
      </c>
      <c r="I5917" t="str">
        <f>"062922004510"</f>
        <v>062922004510</v>
      </c>
    </row>
    <row r="5918" spans="1:9" x14ac:dyDescent="0.25">
      <c r="A5918" t="s">
        <v>5164</v>
      </c>
      <c r="B5918" t="s">
        <v>13</v>
      </c>
      <c r="C5918">
        <v>35</v>
      </c>
      <c r="D5918">
        <v>32.5</v>
      </c>
      <c r="E5918" t="s">
        <v>17</v>
      </c>
      <c r="F5918">
        <v>25.37</v>
      </c>
      <c r="G5918">
        <v>25.97</v>
      </c>
      <c r="H5918" t="s">
        <v>17</v>
      </c>
      <c r="I5918" t="str">
        <f>"062814004338"</f>
        <v>062814004338</v>
      </c>
    </row>
    <row r="5919" spans="1:9" x14ac:dyDescent="0.25">
      <c r="A5919" t="s">
        <v>5165</v>
      </c>
      <c r="B5919" t="s">
        <v>13</v>
      </c>
      <c r="C5919">
        <v>33</v>
      </c>
      <c r="D5919">
        <v>33</v>
      </c>
      <c r="E5919" t="s">
        <v>17</v>
      </c>
      <c r="F5919">
        <v>23.85</v>
      </c>
      <c r="G5919">
        <v>23.61</v>
      </c>
      <c r="H5919" t="s">
        <v>17</v>
      </c>
      <c r="I5919" t="str">
        <f>"062724004120"</f>
        <v>062724004120</v>
      </c>
    </row>
    <row r="5920" spans="1:9" x14ac:dyDescent="0.25">
      <c r="A5920" t="s">
        <v>5166</v>
      </c>
      <c r="B5920" t="s">
        <v>13</v>
      </c>
      <c r="C5920">
        <v>29</v>
      </c>
      <c r="D5920">
        <v>27</v>
      </c>
      <c r="E5920" t="s">
        <v>17</v>
      </c>
      <c r="F5920">
        <v>27.31</v>
      </c>
      <c r="G5920">
        <v>27</v>
      </c>
      <c r="H5920" t="s">
        <v>17</v>
      </c>
      <c r="I5920" t="str">
        <f>"061455011998"</f>
        <v>061455011998</v>
      </c>
    </row>
    <row r="5921" spans="1:9" x14ac:dyDescent="0.25">
      <c r="A5921" t="s">
        <v>5167</v>
      </c>
      <c r="B5921" t="s">
        <v>13</v>
      </c>
      <c r="C5921">
        <v>15.02</v>
      </c>
      <c r="D5921">
        <v>19.5</v>
      </c>
      <c r="E5921" t="s">
        <v>17</v>
      </c>
      <c r="F5921">
        <v>27.9</v>
      </c>
      <c r="G5921">
        <v>23.69</v>
      </c>
      <c r="H5921" t="s">
        <v>17</v>
      </c>
      <c r="I5921" t="str">
        <f>"063462005796"</f>
        <v>063462005796</v>
      </c>
    </row>
    <row r="5922" spans="1:9" x14ac:dyDescent="0.25">
      <c r="A5922" t="s">
        <v>5168</v>
      </c>
      <c r="B5922" t="s">
        <v>13</v>
      </c>
      <c r="C5922">
        <v>29.06</v>
      </c>
      <c r="D5922">
        <v>28.79</v>
      </c>
      <c r="E5922" t="s">
        <v>17</v>
      </c>
      <c r="F5922">
        <v>19.579999999999998</v>
      </c>
      <c r="G5922">
        <v>20.28</v>
      </c>
      <c r="H5922" t="s">
        <v>17</v>
      </c>
      <c r="I5922" t="str">
        <f>"062394003602"</f>
        <v>062394003602</v>
      </c>
    </row>
    <row r="5923" spans="1:9" x14ac:dyDescent="0.25">
      <c r="A5923" t="s">
        <v>5169</v>
      </c>
      <c r="B5923" t="s">
        <v>13</v>
      </c>
      <c r="C5923">
        <v>18</v>
      </c>
      <c r="D5923">
        <v>14.5</v>
      </c>
      <c r="E5923" t="s">
        <v>17</v>
      </c>
      <c r="F5923">
        <v>22.61</v>
      </c>
      <c r="G5923">
        <v>24.55</v>
      </c>
      <c r="H5923" t="s">
        <v>17</v>
      </c>
      <c r="I5923" t="str">
        <f>"062394003603"</f>
        <v>062394003603</v>
      </c>
    </row>
    <row r="5924" spans="1:9" x14ac:dyDescent="0.25">
      <c r="A5924" t="s">
        <v>5169</v>
      </c>
      <c r="B5924" t="s">
        <v>13</v>
      </c>
      <c r="C5924">
        <v>21</v>
      </c>
      <c r="D5924">
        <v>22</v>
      </c>
      <c r="E5924" t="s">
        <v>17</v>
      </c>
      <c r="F5924">
        <v>28.43</v>
      </c>
      <c r="G5924">
        <v>27</v>
      </c>
      <c r="H5924" t="s">
        <v>17</v>
      </c>
      <c r="I5924" t="str">
        <f>"062088002509"</f>
        <v>062088002509</v>
      </c>
    </row>
    <row r="5925" spans="1:9" x14ac:dyDescent="0.25">
      <c r="A5925" t="s">
        <v>5169</v>
      </c>
      <c r="B5925" t="s">
        <v>13</v>
      </c>
      <c r="C5925">
        <v>18</v>
      </c>
      <c r="D5925">
        <v>18.5</v>
      </c>
      <c r="E5925" t="s">
        <v>17</v>
      </c>
      <c r="F5925">
        <v>29.56</v>
      </c>
      <c r="G5925">
        <v>29.46</v>
      </c>
      <c r="H5925" t="s">
        <v>17</v>
      </c>
      <c r="I5925" t="str">
        <f>"060588000531"</f>
        <v>060588000531</v>
      </c>
    </row>
    <row r="5926" spans="1:9" x14ac:dyDescent="0.25">
      <c r="A5926" t="s">
        <v>5169</v>
      </c>
      <c r="B5926" t="s">
        <v>13</v>
      </c>
      <c r="C5926">
        <v>22.29</v>
      </c>
      <c r="D5926">
        <v>22.54</v>
      </c>
      <c r="E5926" t="s">
        <v>17</v>
      </c>
      <c r="F5926">
        <v>26.38</v>
      </c>
      <c r="G5926">
        <v>25.2</v>
      </c>
      <c r="H5926" t="s">
        <v>17</v>
      </c>
      <c r="I5926" t="str">
        <f>"063207004940"</f>
        <v>063207004940</v>
      </c>
    </row>
    <row r="5927" spans="1:9" x14ac:dyDescent="0.25">
      <c r="A5927" t="s">
        <v>5169</v>
      </c>
      <c r="B5927" t="s">
        <v>13</v>
      </c>
      <c r="C5927">
        <v>40.21</v>
      </c>
      <c r="D5927">
        <v>41</v>
      </c>
      <c r="E5927" t="s">
        <v>17</v>
      </c>
      <c r="F5927">
        <v>17.43</v>
      </c>
      <c r="G5927">
        <v>20.41</v>
      </c>
      <c r="H5927" t="s">
        <v>17</v>
      </c>
      <c r="I5927" t="str">
        <f>"062847004406"</f>
        <v>062847004406</v>
      </c>
    </row>
    <row r="5928" spans="1:9" x14ac:dyDescent="0.25">
      <c r="A5928" t="s">
        <v>5170</v>
      </c>
      <c r="B5928" t="s">
        <v>13</v>
      </c>
      <c r="C5928" t="s">
        <v>14</v>
      </c>
      <c r="D5928">
        <v>11.3</v>
      </c>
      <c r="E5928" t="s">
        <v>17</v>
      </c>
      <c r="F5928" t="s">
        <v>17</v>
      </c>
      <c r="G5928">
        <v>21.24</v>
      </c>
      <c r="H5928" t="s">
        <v>17</v>
      </c>
      <c r="I5928" t="str">
        <f>"062394003604"</f>
        <v>062394003604</v>
      </c>
    </row>
    <row r="5929" spans="1:9" x14ac:dyDescent="0.25">
      <c r="A5929" t="s">
        <v>5171</v>
      </c>
      <c r="B5929" t="s">
        <v>13</v>
      </c>
      <c r="C5929">
        <v>14.46</v>
      </c>
      <c r="D5929">
        <v>13.36</v>
      </c>
      <c r="E5929" t="s">
        <v>17</v>
      </c>
      <c r="F5929">
        <v>23.79</v>
      </c>
      <c r="G5929">
        <v>22.46</v>
      </c>
      <c r="H5929" t="s">
        <v>17</v>
      </c>
      <c r="I5929" t="str">
        <f>"062100012182"</f>
        <v>062100012182</v>
      </c>
    </row>
    <row r="5930" spans="1:9" x14ac:dyDescent="0.25">
      <c r="A5930" t="s">
        <v>5172</v>
      </c>
      <c r="B5930" t="s">
        <v>13</v>
      </c>
      <c r="C5930">
        <v>13</v>
      </c>
      <c r="D5930">
        <v>13</v>
      </c>
      <c r="E5930" t="s">
        <v>17</v>
      </c>
      <c r="F5930">
        <v>20.77</v>
      </c>
      <c r="G5930">
        <v>22.46</v>
      </c>
      <c r="H5930" t="s">
        <v>17</v>
      </c>
      <c r="I5930" t="str">
        <f>"062271010876"</f>
        <v>062271010876</v>
      </c>
    </row>
    <row r="5931" spans="1:9" x14ac:dyDescent="0.25">
      <c r="A5931" t="s">
        <v>5173</v>
      </c>
      <c r="B5931" t="s">
        <v>13</v>
      </c>
      <c r="C5931">
        <v>16.5</v>
      </c>
      <c r="D5931">
        <v>17.329999999999998</v>
      </c>
      <c r="E5931" t="s">
        <v>17</v>
      </c>
      <c r="F5931">
        <v>24.42</v>
      </c>
      <c r="G5931">
        <v>23.14</v>
      </c>
      <c r="H5931" t="s">
        <v>17</v>
      </c>
      <c r="I5931" t="str">
        <f>"061887002289"</f>
        <v>061887002289</v>
      </c>
    </row>
    <row r="5932" spans="1:9" x14ac:dyDescent="0.25">
      <c r="A5932" t="s">
        <v>5174</v>
      </c>
      <c r="B5932" t="s">
        <v>13</v>
      </c>
      <c r="C5932">
        <v>15.2</v>
      </c>
      <c r="D5932">
        <v>18.5</v>
      </c>
      <c r="E5932" t="s">
        <v>17</v>
      </c>
      <c r="F5932">
        <v>30.79</v>
      </c>
      <c r="G5932">
        <v>27.78</v>
      </c>
      <c r="H5932" t="s">
        <v>17</v>
      </c>
      <c r="I5932" t="str">
        <f>"064015006649"</f>
        <v>064015006649</v>
      </c>
    </row>
    <row r="5933" spans="1:9" x14ac:dyDescent="0.25">
      <c r="A5933" t="s">
        <v>5175</v>
      </c>
      <c r="B5933" t="s">
        <v>13</v>
      </c>
      <c r="C5933">
        <v>15.98</v>
      </c>
      <c r="D5933">
        <v>11.3</v>
      </c>
      <c r="E5933" t="s">
        <v>17</v>
      </c>
      <c r="F5933">
        <v>26.16</v>
      </c>
      <c r="G5933">
        <v>36.81</v>
      </c>
      <c r="H5933" t="s">
        <v>17</v>
      </c>
      <c r="I5933" t="str">
        <f>"063384005267"</f>
        <v>063384005267</v>
      </c>
    </row>
    <row r="5934" spans="1:9" x14ac:dyDescent="0.25">
      <c r="A5934" t="s">
        <v>5176</v>
      </c>
      <c r="B5934" t="s">
        <v>13</v>
      </c>
      <c r="C5934">
        <v>19</v>
      </c>
      <c r="D5934">
        <v>19.5</v>
      </c>
      <c r="E5934" t="s">
        <v>17</v>
      </c>
      <c r="F5934">
        <v>31</v>
      </c>
      <c r="G5934">
        <v>30.92</v>
      </c>
      <c r="H5934" t="s">
        <v>17</v>
      </c>
      <c r="I5934" t="str">
        <f>"062985004649"</f>
        <v>062985004649</v>
      </c>
    </row>
    <row r="5935" spans="1:9" x14ac:dyDescent="0.25">
      <c r="A5935" t="s">
        <v>5177</v>
      </c>
      <c r="B5935" t="s">
        <v>13</v>
      </c>
      <c r="C5935">
        <v>40.25</v>
      </c>
      <c r="D5935">
        <v>40</v>
      </c>
      <c r="E5935" t="s">
        <v>17</v>
      </c>
      <c r="F5935">
        <v>23.83</v>
      </c>
      <c r="G5935">
        <v>23.08</v>
      </c>
      <c r="H5935" t="s">
        <v>17</v>
      </c>
      <c r="I5935" t="str">
        <f>"061524001935"</f>
        <v>061524001935</v>
      </c>
    </row>
    <row r="5936" spans="1:9" x14ac:dyDescent="0.25">
      <c r="A5936" t="s">
        <v>5178</v>
      </c>
      <c r="B5936" t="s">
        <v>13</v>
      </c>
      <c r="C5936">
        <v>82.25</v>
      </c>
      <c r="D5936">
        <v>84.3</v>
      </c>
      <c r="E5936" t="s">
        <v>17</v>
      </c>
      <c r="F5936">
        <v>29.41</v>
      </c>
      <c r="G5936">
        <v>29.75</v>
      </c>
      <c r="H5936" t="s">
        <v>17</v>
      </c>
      <c r="I5936" t="str">
        <f>"060015310930"</f>
        <v>060015310930</v>
      </c>
    </row>
    <row r="5937" spans="1:9" x14ac:dyDescent="0.25">
      <c r="A5937" t="s">
        <v>5179</v>
      </c>
      <c r="B5937" t="s">
        <v>13</v>
      </c>
      <c r="C5937" t="s">
        <v>17</v>
      </c>
      <c r="D5937" t="s">
        <v>17</v>
      </c>
      <c r="E5937" t="s">
        <v>17</v>
      </c>
      <c r="F5937" t="s">
        <v>17</v>
      </c>
      <c r="G5937" t="s">
        <v>17</v>
      </c>
      <c r="H5937" t="s">
        <v>17</v>
      </c>
      <c r="I5937" t="str">
        <f>"062397008452"</f>
        <v>062397008452</v>
      </c>
    </row>
    <row r="5938" spans="1:9" x14ac:dyDescent="0.25">
      <c r="A5938" t="s">
        <v>5180</v>
      </c>
      <c r="B5938" t="s">
        <v>13</v>
      </c>
      <c r="C5938">
        <v>21</v>
      </c>
      <c r="D5938">
        <v>20.96</v>
      </c>
      <c r="E5938" t="s">
        <v>17</v>
      </c>
      <c r="F5938">
        <v>26.71</v>
      </c>
      <c r="G5938">
        <v>24.71</v>
      </c>
      <c r="H5938" t="s">
        <v>17</v>
      </c>
      <c r="I5938" t="str">
        <f>"062397003609"</f>
        <v>062397003609</v>
      </c>
    </row>
    <row r="5939" spans="1:9" x14ac:dyDescent="0.25">
      <c r="A5939" t="s">
        <v>5180</v>
      </c>
      <c r="B5939" t="s">
        <v>13</v>
      </c>
      <c r="C5939">
        <v>41.2</v>
      </c>
      <c r="D5939">
        <v>40.200000000000003</v>
      </c>
      <c r="E5939" t="s">
        <v>17</v>
      </c>
      <c r="F5939">
        <v>26.19</v>
      </c>
      <c r="G5939">
        <v>26.22</v>
      </c>
      <c r="H5939" t="s">
        <v>17</v>
      </c>
      <c r="I5939" t="str">
        <f>"063315011719"</f>
        <v>063315011719</v>
      </c>
    </row>
    <row r="5940" spans="1:9" x14ac:dyDescent="0.25">
      <c r="A5940" t="s">
        <v>5180</v>
      </c>
      <c r="B5940" t="s">
        <v>13</v>
      </c>
      <c r="C5940">
        <v>17</v>
      </c>
      <c r="D5940">
        <v>17</v>
      </c>
      <c r="E5940" t="s">
        <v>17</v>
      </c>
      <c r="F5940">
        <v>29.65</v>
      </c>
      <c r="G5940">
        <v>29.71</v>
      </c>
      <c r="H5940" t="s">
        <v>17</v>
      </c>
      <c r="I5940" t="str">
        <f>"060969001039"</f>
        <v>060969001039</v>
      </c>
    </row>
    <row r="5941" spans="1:9" x14ac:dyDescent="0.25">
      <c r="A5941" t="s">
        <v>5180</v>
      </c>
      <c r="B5941" t="s">
        <v>13</v>
      </c>
      <c r="C5941">
        <v>20.6</v>
      </c>
      <c r="D5941">
        <v>20.5</v>
      </c>
      <c r="E5941" t="s">
        <v>17</v>
      </c>
      <c r="F5941">
        <v>25.05</v>
      </c>
      <c r="G5941">
        <v>25.41</v>
      </c>
      <c r="H5941" t="s">
        <v>17</v>
      </c>
      <c r="I5941" t="str">
        <f>"062121002543"</f>
        <v>062121002543</v>
      </c>
    </row>
    <row r="5942" spans="1:9" x14ac:dyDescent="0.25">
      <c r="A5942" t="s">
        <v>5180</v>
      </c>
      <c r="B5942" t="s">
        <v>13</v>
      </c>
      <c r="C5942">
        <v>22</v>
      </c>
      <c r="D5942">
        <v>31</v>
      </c>
      <c r="E5942" t="s">
        <v>17</v>
      </c>
      <c r="F5942">
        <v>30.41</v>
      </c>
      <c r="G5942">
        <v>21.81</v>
      </c>
      <c r="H5942" t="s">
        <v>17</v>
      </c>
      <c r="I5942" t="str">
        <f>"062316003539"</f>
        <v>062316003539</v>
      </c>
    </row>
    <row r="5943" spans="1:9" x14ac:dyDescent="0.25">
      <c r="A5943" t="s">
        <v>5180</v>
      </c>
      <c r="B5943" t="s">
        <v>13</v>
      </c>
      <c r="C5943">
        <v>13</v>
      </c>
      <c r="D5943">
        <v>16.3</v>
      </c>
      <c r="E5943" t="s">
        <v>17</v>
      </c>
      <c r="F5943">
        <v>29.69</v>
      </c>
      <c r="G5943">
        <v>24.72</v>
      </c>
      <c r="H5943" t="s">
        <v>17</v>
      </c>
      <c r="I5943" t="str">
        <f>"063384005268"</f>
        <v>063384005268</v>
      </c>
    </row>
    <row r="5944" spans="1:9" x14ac:dyDescent="0.25">
      <c r="A5944" t="s">
        <v>5181</v>
      </c>
      <c r="B5944" t="s">
        <v>13</v>
      </c>
      <c r="C5944">
        <v>25.9</v>
      </c>
      <c r="D5944">
        <v>26.68</v>
      </c>
      <c r="E5944" t="s">
        <v>17</v>
      </c>
      <c r="F5944">
        <v>27.68</v>
      </c>
      <c r="G5944">
        <v>28.15</v>
      </c>
      <c r="H5944" t="s">
        <v>17</v>
      </c>
      <c r="I5944" t="str">
        <f>"062513003742"</f>
        <v>062513003742</v>
      </c>
    </row>
    <row r="5945" spans="1:9" x14ac:dyDescent="0.25">
      <c r="A5945" t="s">
        <v>5182</v>
      </c>
      <c r="B5945" t="s">
        <v>13</v>
      </c>
      <c r="C5945">
        <v>40.83</v>
      </c>
      <c r="D5945">
        <v>41.77</v>
      </c>
      <c r="E5945" t="s">
        <v>17</v>
      </c>
      <c r="F5945">
        <v>17.46</v>
      </c>
      <c r="G5945">
        <v>16.760000000000002</v>
      </c>
      <c r="H5945" t="s">
        <v>17</v>
      </c>
      <c r="I5945" t="str">
        <f>"062271003167"</f>
        <v>062271003167</v>
      </c>
    </row>
    <row r="5946" spans="1:9" x14ac:dyDescent="0.25">
      <c r="A5946" t="s">
        <v>5183</v>
      </c>
      <c r="B5946" t="s">
        <v>13</v>
      </c>
      <c r="C5946">
        <v>8.5</v>
      </c>
      <c r="D5946">
        <v>4</v>
      </c>
      <c r="E5946" t="s">
        <v>17</v>
      </c>
      <c r="F5946">
        <v>7.88</v>
      </c>
      <c r="G5946">
        <v>18</v>
      </c>
      <c r="H5946" t="s">
        <v>17</v>
      </c>
      <c r="I5946" t="str">
        <f>"061488002337"</f>
        <v>061488002337</v>
      </c>
    </row>
    <row r="5947" spans="1:9" x14ac:dyDescent="0.25">
      <c r="A5947" t="s">
        <v>5184</v>
      </c>
      <c r="B5947" t="s">
        <v>13</v>
      </c>
      <c r="C5947">
        <v>7</v>
      </c>
      <c r="D5947">
        <v>7</v>
      </c>
      <c r="E5947" t="s">
        <v>17</v>
      </c>
      <c r="F5947">
        <v>24.14</v>
      </c>
      <c r="G5947">
        <v>26</v>
      </c>
      <c r="H5947" t="s">
        <v>17</v>
      </c>
      <c r="I5947" t="str">
        <f>"062400011479"</f>
        <v>062400011479</v>
      </c>
    </row>
    <row r="5948" spans="1:9" x14ac:dyDescent="0.25">
      <c r="A5948" t="s">
        <v>5185</v>
      </c>
      <c r="B5948" t="s">
        <v>13</v>
      </c>
      <c r="C5948">
        <v>18.27</v>
      </c>
      <c r="D5948">
        <v>19.27</v>
      </c>
      <c r="E5948" t="s">
        <v>17</v>
      </c>
      <c r="F5948">
        <v>21.35</v>
      </c>
      <c r="G5948">
        <v>20.55</v>
      </c>
      <c r="H5948" t="s">
        <v>17</v>
      </c>
      <c r="I5948" t="str">
        <f>"062400003610"</f>
        <v>062400003610</v>
      </c>
    </row>
    <row r="5949" spans="1:9" x14ac:dyDescent="0.25">
      <c r="A5949" t="s">
        <v>5186</v>
      </c>
      <c r="B5949" t="s">
        <v>13</v>
      </c>
      <c r="C5949">
        <v>18.010000000000002</v>
      </c>
      <c r="D5949">
        <v>20</v>
      </c>
      <c r="E5949" t="s">
        <v>17</v>
      </c>
      <c r="F5949">
        <v>20.04</v>
      </c>
      <c r="G5949">
        <v>17.649999999999999</v>
      </c>
      <c r="H5949" t="s">
        <v>17</v>
      </c>
      <c r="I5949" t="str">
        <f>"062805004296"</f>
        <v>062805004296</v>
      </c>
    </row>
    <row r="5950" spans="1:9" x14ac:dyDescent="0.25">
      <c r="A5950" t="s">
        <v>5187</v>
      </c>
      <c r="B5950" t="s">
        <v>13</v>
      </c>
      <c r="C5950">
        <v>30</v>
      </c>
      <c r="D5950">
        <v>30.02</v>
      </c>
      <c r="E5950" t="s">
        <v>17</v>
      </c>
      <c r="F5950">
        <v>9.8699999999999992</v>
      </c>
      <c r="G5950">
        <v>10.39</v>
      </c>
      <c r="H5950" t="s">
        <v>17</v>
      </c>
      <c r="I5950" t="str">
        <f>"062271007759"</f>
        <v>062271007759</v>
      </c>
    </row>
    <row r="5951" spans="1:9" x14ac:dyDescent="0.25">
      <c r="A5951" t="s">
        <v>5188</v>
      </c>
      <c r="B5951" t="s">
        <v>13</v>
      </c>
      <c r="C5951">
        <v>25.5</v>
      </c>
      <c r="D5951">
        <v>25.5</v>
      </c>
      <c r="E5951" t="s">
        <v>17</v>
      </c>
      <c r="F5951">
        <v>22.55</v>
      </c>
      <c r="G5951">
        <v>23.02</v>
      </c>
      <c r="H5951" t="s">
        <v>17</v>
      </c>
      <c r="I5951" t="str">
        <f>"062271003170"</f>
        <v>062271003170</v>
      </c>
    </row>
    <row r="5952" spans="1:9" x14ac:dyDescent="0.25">
      <c r="A5952" t="s">
        <v>5189</v>
      </c>
      <c r="B5952" t="s">
        <v>13</v>
      </c>
      <c r="C5952">
        <v>23.8</v>
      </c>
      <c r="D5952">
        <v>24.4</v>
      </c>
      <c r="E5952" t="s">
        <v>17</v>
      </c>
      <c r="F5952">
        <v>23.57</v>
      </c>
      <c r="G5952">
        <v>23.89</v>
      </c>
      <c r="H5952" t="s">
        <v>17</v>
      </c>
      <c r="I5952" t="str">
        <f>"060837007945"</f>
        <v>060837007945</v>
      </c>
    </row>
    <row r="5953" spans="1:9" x14ac:dyDescent="0.25">
      <c r="A5953" t="s">
        <v>5190</v>
      </c>
      <c r="B5953" t="s">
        <v>13</v>
      </c>
      <c r="C5953">
        <v>30.9</v>
      </c>
      <c r="D5953">
        <v>28.5</v>
      </c>
      <c r="E5953" t="s">
        <v>17</v>
      </c>
      <c r="F5953">
        <v>22.36</v>
      </c>
      <c r="G5953">
        <v>24.42</v>
      </c>
      <c r="H5953" t="s">
        <v>17</v>
      </c>
      <c r="I5953" t="str">
        <f>"060591010754"</f>
        <v>060591010754</v>
      </c>
    </row>
    <row r="5954" spans="1:9" x14ac:dyDescent="0.25">
      <c r="A5954" t="s">
        <v>5191</v>
      </c>
      <c r="B5954" t="s">
        <v>13</v>
      </c>
      <c r="C5954">
        <v>19</v>
      </c>
      <c r="D5954">
        <v>17.5</v>
      </c>
      <c r="E5954" t="s">
        <v>17</v>
      </c>
      <c r="F5954">
        <v>27.89</v>
      </c>
      <c r="G5954">
        <v>29.77</v>
      </c>
      <c r="H5954" t="s">
        <v>17</v>
      </c>
      <c r="I5954" t="str">
        <f>"060285000214"</f>
        <v>060285000214</v>
      </c>
    </row>
    <row r="5955" spans="1:9" x14ac:dyDescent="0.25">
      <c r="A5955" t="s">
        <v>5192</v>
      </c>
      <c r="B5955" t="s">
        <v>13</v>
      </c>
      <c r="C5955" t="s">
        <v>14</v>
      </c>
      <c r="D5955" t="s">
        <v>14</v>
      </c>
      <c r="E5955" t="s">
        <v>17</v>
      </c>
      <c r="F5955" t="s">
        <v>14</v>
      </c>
      <c r="G5955" t="s">
        <v>14</v>
      </c>
      <c r="H5955" t="s">
        <v>17</v>
      </c>
      <c r="I5955" t="str">
        <f>"061494001897"</f>
        <v>061494001897</v>
      </c>
    </row>
    <row r="5956" spans="1:9" x14ac:dyDescent="0.25">
      <c r="A5956" t="s">
        <v>5192</v>
      </c>
      <c r="B5956" t="s">
        <v>13</v>
      </c>
      <c r="C5956">
        <v>27.93</v>
      </c>
      <c r="D5956">
        <v>27.5</v>
      </c>
      <c r="E5956" t="s">
        <v>17</v>
      </c>
      <c r="F5956">
        <v>24.56</v>
      </c>
      <c r="G5956">
        <v>27.56</v>
      </c>
      <c r="H5956" t="s">
        <v>17</v>
      </c>
      <c r="I5956" t="str">
        <f>"060261000161"</f>
        <v>060261000161</v>
      </c>
    </row>
    <row r="5957" spans="1:9" x14ac:dyDescent="0.25">
      <c r="A5957" t="s">
        <v>5193</v>
      </c>
      <c r="B5957" t="s">
        <v>13</v>
      </c>
      <c r="C5957">
        <v>32</v>
      </c>
      <c r="D5957">
        <v>32.5</v>
      </c>
      <c r="E5957" t="s">
        <v>17</v>
      </c>
      <c r="F5957">
        <v>22.78</v>
      </c>
      <c r="G5957">
        <v>22.37</v>
      </c>
      <c r="H5957" t="s">
        <v>17</v>
      </c>
      <c r="I5957" t="str">
        <f>"060861008298"</f>
        <v>060861008298</v>
      </c>
    </row>
    <row r="5958" spans="1:9" x14ac:dyDescent="0.25">
      <c r="A5958" t="s">
        <v>5194</v>
      </c>
      <c r="B5958" t="s">
        <v>13</v>
      </c>
      <c r="C5958">
        <v>35.83</v>
      </c>
      <c r="D5958">
        <v>41.56</v>
      </c>
      <c r="E5958" t="s">
        <v>17</v>
      </c>
      <c r="F5958">
        <v>15.02</v>
      </c>
      <c r="G5958">
        <v>15.35</v>
      </c>
      <c r="H5958" t="s">
        <v>17</v>
      </c>
      <c r="I5958" t="str">
        <f>"063441003976"</f>
        <v>063441003976</v>
      </c>
    </row>
    <row r="5959" spans="1:9" x14ac:dyDescent="0.25">
      <c r="A5959" t="s">
        <v>5195</v>
      </c>
      <c r="B5959" t="s">
        <v>13</v>
      </c>
      <c r="C5959">
        <v>30.79</v>
      </c>
      <c r="D5959">
        <v>35.450000000000003</v>
      </c>
      <c r="E5959" t="s">
        <v>17</v>
      </c>
      <c r="F5959">
        <v>24.88</v>
      </c>
      <c r="G5959">
        <v>22.82</v>
      </c>
      <c r="H5959" t="s">
        <v>17</v>
      </c>
      <c r="I5959" t="str">
        <f>"062250002743"</f>
        <v>062250002743</v>
      </c>
    </row>
    <row r="5960" spans="1:9" x14ac:dyDescent="0.25">
      <c r="A5960" t="s">
        <v>5196</v>
      </c>
      <c r="B5960" t="s">
        <v>13</v>
      </c>
      <c r="C5960">
        <v>20</v>
      </c>
      <c r="D5960">
        <v>20.5</v>
      </c>
      <c r="E5960" t="s">
        <v>17</v>
      </c>
      <c r="F5960">
        <v>22.75</v>
      </c>
      <c r="G5960">
        <v>21.37</v>
      </c>
      <c r="H5960" t="s">
        <v>17</v>
      </c>
      <c r="I5960" t="str">
        <f>"061425001641"</f>
        <v>061425001641</v>
      </c>
    </row>
    <row r="5961" spans="1:9" x14ac:dyDescent="0.25">
      <c r="A5961" t="s">
        <v>5196</v>
      </c>
      <c r="B5961" t="s">
        <v>13</v>
      </c>
      <c r="C5961">
        <v>14.2</v>
      </c>
      <c r="D5961">
        <v>12</v>
      </c>
      <c r="E5961" t="s">
        <v>17</v>
      </c>
      <c r="F5961">
        <v>17.54</v>
      </c>
      <c r="G5961">
        <v>20.329999999999998</v>
      </c>
      <c r="H5961" t="s">
        <v>17</v>
      </c>
      <c r="I5961" t="str">
        <f>"063441005646"</f>
        <v>063441005646</v>
      </c>
    </row>
    <row r="5962" spans="1:9" x14ac:dyDescent="0.25">
      <c r="A5962" t="s">
        <v>5196</v>
      </c>
      <c r="B5962" t="s">
        <v>13</v>
      </c>
      <c r="C5962">
        <v>37</v>
      </c>
      <c r="D5962">
        <v>36.35</v>
      </c>
      <c r="E5962" t="s">
        <v>17</v>
      </c>
      <c r="F5962">
        <v>14.22</v>
      </c>
      <c r="G5962">
        <v>14.99</v>
      </c>
      <c r="H5962" t="s">
        <v>17</v>
      </c>
      <c r="I5962" t="str">
        <f>"063432005512"</f>
        <v>063432005512</v>
      </c>
    </row>
    <row r="5963" spans="1:9" x14ac:dyDescent="0.25">
      <c r="A5963" t="s">
        <v>5196</v>
      </c>
      <c r="B5963" t="s">
        <v>13</v>
      </c>
      <c r="C5963" t="s">
        <v>14</v>
      </c>
      <c r="D5963">
        <v>10</v>
      </c>
      <c r="E5963" t="s">
        <v>17</v>
      </c>
      <c r="F5963" t="s">
        <v>17</v>
      </c>
      <c r="G5963">
        <v>18.399999999999999</v>
      </c>
      <c r="H5963" t="s">
        <v>17</v>
      </c>
      <c r="I5963" t="str">
        <f>"062805004281"</f>
        <v>062805004281</v>
      </c>
    </row>
    <row r="5964" spans="1:9" x14ac:dyDescent="0.25">
      <c r="A5964" t="s">
        <v>5196</v>
      </c>
      <c r="B5964" t="s">
        <v>13</v>
      </c>
      <c r="C5964">
        <v>19.739999999999998</v>
      </c>
      <c r="D5964">
        <v>20.72</v>
      </c>
      <c r="E5964" t="s">
        <v>17</v>
      </c>
      <c r="F5964">
        <v>22.7</v>
      </c>
      <c r="G5964">
        <v>20.56</v>
      </c>
      <c r="H5964" t="s">
        <v>17</v>
      </c>
      <c r="I5964" t="str">
        <f>"060780000746"</f>
        <v>060780000746</v>
      </c>
    </row>
    <row r="5965" spans="1:9" x14ac:dyDescent="0.25">
      <c r="A5965" t="s">
        <v>5196</v>
      </c>
      <c r="B5965" t="s">
        <v>13</v>
      </c>
      <c r="C5965">
        <v>17</v>
      </c>
      <c r="D5965">
        <v>19</v>
      </c>
      <c r="E5965" t="s">
        <v>17</v>
      </c>
      <c r="F5965">
        <v>31.41</v>
      </c>
      <c r="G5965">
        <v>27.11</v>
      </c>
      <c r="H5965" t="s">
        <v>17</v>
      </c>
      <c r="I5965" t="str">
        <f>"063417005368"</f>
        <v>063417005368</v>
      </c>
    </row>
    <row r="5966" spans="1:9" x14ac:dyDescent="0.25">
      <c r="A5966" t="s">
        <v>5197</v>
      </c>
      <c r="B5966" t="s">
        <v>13</v>
      </c>
      <c r="C5966">
        <v>76.459999999999994</v>
      </c>
      <c r="D5966">
        <v>77.8</v>
      </c>
      <c r="E5966" t="s">
        <v>17</v>
      </c>
      <c r="F5966">
        <v>24.17</v>
      </c>
      <c r="G5966">
        <v>24.43</v>
      </c>
      <c r="H5966" t="s">
        <v>17</v>
      </c>
      <c r="I5966" t="str">
        <f>"062994004679"</f>
        <v>062994004679</v>
      </c>
    </row>
    <row r="5967" spans="1:9" x14ac:dyDescent="0.25">
      <c r="A5967" t="s">
        <v>5198</v>
      </c>
      <c r="B5967" t="s">
        <v>13</v>
      </c>
      <c r="C5967">
        <v>25</v>
      </c>
      <c r="D5967">
        <v>25</v>
      </c>
      <c r="E5967" t="s">
        <v>17</v>
      </c>
      <c r="F5967">
        <v>23.12</v>
      </c>
      <c r="G5967">
        <v>23.68</v>
      </c>
      <c r="H5967" t="s">
        <v>17</v>
      </c>
      <c r="I5967" t="str">
        <f>"060720000671"</f>
        <v>060720000671</v>
      </c>
    </row>
    <row r="5968" spans="1:9" x14ac:dyDescent="0.25">
      <c r="A5968" t="s">
        <v>5199</v>
      </c>
      <c r="B5968" t="s">
        <v>13</v>
      </c>
      <c r="C5968">
        <v>56.01</v>
      </c>
      <c r="D5968">
        <v>56.65</v>
      </c>
      <c r="E5968" t="s">
        <v>17</v>
      </c>
      <c r="F5968">
        <v>27.21</v>
      </c>
      <c r="G5968">
        <v>26.25</v>
      </c>
      <c r="H5968" t="s">
        <v>17</v>
      </c>
      <c r="I5968" t="str">
        <f>"063432007688"</f>
        <v>063432007688</v>
      </c>
    </row>
    <row r="5969" spans="1:9" x14ac:dyDescent="0.25">
      <c r="A5969" t="s">
        <v>5199</v>
      </c>
      <c r="B5969" t="s">
        <v>13</v>
      </c>
      <c r="C5969">
        <v>24.5</v>
      </c>
      <c r="D5969">
        <v>26</v>
      </c>
      <c r="E5969" t="s">
        <v>17</v>
      </c>
      <c r="F5969">
        <v>25.35</v>
      </c>
      <c r="G5969">
        <v>24.77</v>
      </c>
      <c r="H5969" t="s">
        <v>17</v>
      </c>
      <c r="I5969" t="str">
        <f>"063132004846"</f>
        <v>063132004846</v>
      </c>
    </row>
    <row r="5970" spans="1:9" x14ac:dyDescent="0.25">
      <c r="A5970" t="s">
        <v>5200</v>
      </c>
      <c r="B5970" t="s">
        <v>13</v>
      </c>
      <c r="C5970">
        <v>26</v>
      </c>
      <c r="D5970">
        <v>26</v>
      </c>
      <c r="E5970" t="s">
        <v>17</v>
      </c>
      <c r="F5970">
        <v>26.81</v>
      </c>
      <c r="G5970">
        <v>27.69</v>
      </c>
      <c r="H5970" t="s">
        <v>17</v>
      </c>
      <c r="I5970" t="str">
        <f>"062450003669"</f>
        <v>062450003669</v>
      </c>
    </row>
    <row r="5971" spans="1:9" x14ac:dyDescent="0.25">
      <c r="A5971" t="s">
        <v>5201</v>
      </c>
      <c r="B5971" t="s">
        <v>13</v>
      </c>
      <c r="C5971">
        <v>38.81</v>
      </c>
      <c r="D5971">
        <v>41.42</v>
      </c>
      <c r="E5971" t="s">
        <v>17</v>
      </c>
      <c r="F5971">
        <v>19.97</v>
      </c>
      <c r="G5971">
        <v>19.68</v>
      </c>
      <c r="H5971" t="s">
        <v>17</v>
      </c>
      <c r="I5971" t="str">
        <f>"063432005513"</f>
        <v>063432005513</v>
      </c>
    </row>
    <row r="5972" spans="1:9" x14ac:dyDescent="0.25">
      <c r="A5972" t="s">
        <v>5202</v>
      </c>
      <c r="B5972" t="s">
        <v>13</v>
      </c>
      <c r="C5972">
        <v>37.5</v>
      </c>
      <c r="D5972">
        <v>40.5</v>
      </c>
      <c r="E5972" t="s">
        <v>17</v>
      </c>
      <c r="F5972">
        <v>27.97</v>
      </c>
      <c r="G5972">
        <v>26.27</v>
      </c>
      <c r="H5972" t="s">
        <v>17</v>
      </c>
      <c r="I5972" t="str">
        <f>"060015310940"</f>
        <v>060015310940</v>
      </c>
    </row>
    <row r="5973" spans="1:9" x14ac:dyDescent="0.25">
      <c r="A5973" t="s">
        <v>5203</v>
      </c>
      <c r="B5973" t="s">
        <v>13</v>
      </c>
      <c r="C5973">
        <v>10</v>
      </c>
      <c r="D5973">
        <v>11</v>
      </c>
      <c r="E5973" t="s">
        <v>17</v>
      </c>
      <c r="F5973">
        <v>23.8</v>
      </c>
      <c r="G5973">
        <v>21.91</v>
      </c>
      <c r="H5973" t="s">
        <v>17</v>
      </c>
      <c r="I5973" t="str">
        <f>"062271011618"</f>
        <v>062271011618</v>
      </c>
    </row>
    <row r="5974" spans="1:9" x14ac:dyDescent="0.25">
      <c r="A5974" t="s">
        <v>5204</v>
      </c>
      <c r="B5974" t="s">
        <v>13</v>
      </c>
      <c r="C5974">
        <v>28</v>
      </c>
      <c r="D5974">
        <v>31</v>
      </c>
      <c r="E5974" t="s">
        <v>17</v>
      </c>
      <c r="F5974">
        <v>26.68</v>
      </c>
      <c r="G5974">
        <v>23.94</v>
      </c>
      <c r="H5974" t="s">
        <v>17</v>
      </c>
      <c r="I5974" t="str">
        <f>"063531005996"</f>
        <v>063531005996</v>
      </c>
    </row>
    <row r="5975" spans="1:9" x14ac:dyDescent="0.25">
      <c r="A5975" t="s">
        <v>5204</v>
      </c>
      <c r="B5975" t="s">
        <v>13</v>
      </c>
      <c r="C5975">
        <v>18</v>
      </c>
      <c r="D5975">
        <v>16</v>
      </c>
      <c r="E5975" t="s">
        <v>17</v>
      </c>
      <c r="F5975">
        <v>24.61</v>
      </c>
      <c r="G5975">
        <v>25.31</v>
      </c>
      <c r="H5975" t="s">
        <v>17</v>
      </c>
      <c r="I5975" t="str">
        <f>"063753009197"</f>
        <v>063753009197</v>
      </c>
    </row>
    <row r="5976" spans="1:9" x14ac:dyDescent="0.25">
      <c r="A5976" t="s">
        <v>5205</v>
      </c>
      <c r="B5976" t="s">
        <v>13</v>
      </c>
      <c r="C5976">
        <v>22.5</v>
      </c>
      <c r="D5976">
        <v>18.5</v>
      </c>
      <c r="E5976" t="s">
        <v>17</v>
      </c>
      <c r="F5976">
        <v>20.18</v>
      </c>
      <c r="G5976">
        <v>21.41</v>
      </c>
      <c r="H5976" t="s">
        <v>17</v>
      </c>
      <c r="I5976" t="str">
        <f>"062553003829"</f>
        <v>062553003829</v>
      </c>
    </row>
    <row r="5977" spans="1:9" x14ac:dyDescent="0.25">
      <c r="A5977" t="s">
        <v>5206</v>
      </c>
      <c r="B5977" t="s">
        <v>13</v>
      </c>
      <c r="C5977">
        <v>28</v>
      </c>
      <c r="D5977">
        <v>29</v>
      </c>
      <c r="E5977" t="s">
        <v>17</v>
      </c>
      <c r="F5977">
        <v>21.71</v>
      </c>
      <c r="G5977">
        <v>19.03</v>
      </c>
      <c r="H5977" t="s">
        <v>17</v>
      </c>
      <c r="I5977" t="str">
        <f>"060962000986"</f>
        <v>060962000986</v>
      </c>
    </row>
    <row r="5978" spans="1:9" x14ac:dyDescent="0.25">
      <c r="A5978" t="s">
        <v>5207</v>
      </c>
      <c r="B5978" t="s">
        <v>13</v>
      </c>
      <c r="C5978">
        <v>28</v>
      </c>
      <c r="D5978">
        <v>28.5</v>
      </c>
      <c r="E5978" t="s">
        <v>17</v>
      </c>
      <c r="F5978">
        <v>20.54</v>
      </c>
      <c r="G5978">
        <v>20.11</v>
      </c>
      <c r="H5978" t="s">
        <v>17</v>
      </c>
      <c r="I5978" t="str">
        <f>"061647005804"</f>
        <v>061647005804</v>
      </c>
    </row>
    <row r="5979" spans="1:9" x14ac:dyDescent="0.25">
      <c r="A5979" t="s">
        <v>5207</v>
      </c>
      <c r="B5979" t="s">
        <v>13</v>
      </c>
      <c r="C5979">
        <v>14.5</v>
      </c>
      <c r="D5979">
        <v>15</v>
      </c>
      <c r="E5979" t="s">
        <v>17</v>
      </c>
      <c r="F5979">
        <v>28.07</v>
      </c>
      <c r="G5979">
        <v>28.47</v>
      </c>
      <c r="H5979" t="s">
        <v>17</v>
      </c>
      <c r="I5979" t="str">
        <f>"061203009797"</f>
        <v>061203009797</v>
      </c>
    </row>
    <row r="5980" spans="1:9" x14ac:dyDescent="0.25">
      <c r="A5980" t="s">
        <v>5207</v>
      </c>
      <c r="B5980" t="s">
        <v>13</v>
      </c>
      <c r="C5980">
        <v>29.5</v>
      </c>
      <c r="D5980">
        <v>31</v>
      </c>
      <c r="E5980" t="s">
        <v>17</v>
      </c>
      <c r="F5980">
        <v>28.51</v>
      </c>
      <c r="G5980">
        <v>26.87</v>
      </c>
      <c r="H5980" t="s">
        <v>17</v>
      </c>
      <c r="I5980" t="str">
        <f>"063531006148"</f>
        <v>063531006148</v>
      </c>
    </row>
    <row r="5981" spans="1:9" x14ac:dyDescent="0.25">
      <c r="A5981" t="s">
        <v>5207</v>
      </c>
      <c r="B5981" t="s">
        <v>13</v>
      </c>
      <c r="C5981">
        <v>22</v>
      </c>
      <c r="D5981">
        <v>21</v>
      </c>
      <c r="E5981" t="s">
        <v>17</v>
      </c>
      <c r="F5981">
        <v>23.73</v>
      </c>
      <c r="G5981">
        <v>25.57</v>
      </c>
      <c r="H5981" t="s">
        <v>17</v>
      </c>
      <c r="I5981" t="str">
        <f>"062271003332"</f>
        <v>062271003332</v>
      </c>
    </row>
    <row r="5982" spans="1:9" x14ac:dyDescent="0.25">
      <c r="A5982" t="s">
        <v>5208</v>
      </c>
      <c r="B5982" t="s">
        <v>13</v>
      </c>
      <c r="C5982">
        <v>117.09</v>
      </c>
      <c r="D5982">
        <v>111.45</v>
      </c>
      <c r="E5982" t="s">
        <v>17</v>
      </c>
      <c r="F5982">
        <v>27.66</v>
      </c>
      <c r="G5982">
        <v>27.48</v>
      </c>
      <c r="H5982" t="s">
        <v>17</v>
      </c>
      <c r="I5982" t="str">
        <f>"063315008268"</f>
        <v>063315008268</v>
      </c>
    </row>
    <row r="5983" spans="1:9" x14ac:dyDescent="0.25">
      <c r="A5983" t="s">
        <v>5209</v>
      </c>
      <c r="B5983" t="s">
        <v>13</v>
      </c>
      <c r="C5983">
        <v>28.01</v>
      </c>
      <c r="D5983" t="s">
        <v>14</v>
      </c>
      <c r="E5983" t="s">
        <v>14</v>
      </c>
      <c r="F5983">
        <v>23.81</v>
      </c>
      <c r="G5983" t="s">
        <v>14</v>
      </c>
      <c r="H5983" t="s">
        <v>14</v>
      </c>
      <c r="I5983" t="str">
        <f>"063060013016"</f>
        <v>063060013016</v>
      </c>
    </row>
    <row r="5984" spans="1:9" x14ac:dyDescent="0.25">
      <c r="A5984" t="s">
        <v>5210</v>
      </c>
      <c r="B5984" t="s">
        <v>13</v>
      </c>
      <c r="C5984">
        <v>41.01</v>
      </c>
      <c r="D5984">
        <v>50</v>
      </c>
      <c r="E5984" t="s">
        <v>17</v>
      </c>
      <c r="F5984">
        <v>20.65</v>
      </c>
      <c r="G5984">
        <v>18.260000000000002</v>
      </c>
      <c r="H5984" t="s">
        <v>17</v>
      </c>
      <c r="I5984" t="str">
        <f>"063417008185"</f>
        <v>063417008185</v>
      </c>
    </row>
    <row r="5985" spans="1:9" x14ac:dyDescent="0.25">
      <c r="A5985" t="s">
        <v>5210</v>
      </c>
      <c r="B5985" t="s">
        <v>13</v>
      </c>
      <c r="C5985">
        <v>57.71</v>
      </c>
      <c r="D5985">
        <v>54.3</v>
      </c>
      <c r="E5985" t="s">
        <v>17</v>
      </c>
      <c r="F5985">
        <v>25.99</v>
      </c>
      <c r="G5985">
        <v>26.32</v>
      </c>
      <c r="H5985" t="s">
        <v>17</v>
      </c>
      <c r="I5985" t="str">
        <f>"062825003970"</f>
        <v>062825003970</v>
      </c>
    </row>
    <row r="5986" spans="1:9" x14ac:dyDescent="0.25">
      <c r="A5986" t="s">
        <v>5210</v>
      </c>
      <c r="B5986" t="s">
        <v>13</v>
      </c>
      <c r="C5986">
        <v>41.5</v>
      </c>
      <c r="D5986">
        <v>42.5</v>
      </c>
      <c r="E5986" t="s">
        <v>17</v>
      </c>
      <c r="F5986">
        <v>17.73</v>
      </c>
      <c r="G5986">
        <v>16.8</v>
      </c>
      <c r="H5986" t="s">
        <v>17</v>
      </c>
      <c r="I5986" t="str">
        <f>"062334004613"</f>
        <v>062334004613</v>
      </c>
    </row>
    <row r="5987" spans="1:9" x14ac:dyDescent="0.25">
      <c r="A5987" t="s">
        <v>5211</v>
      </c>
      <c r="B5987" t="s">
        <v>13</v>
      </c>
      <c r="C5987">
        <v>19.66</v>
      </c>
      <c r="D5987">
        <v>18.059999999999999</v>
      </c>
      <c r="E5987" t="s">
        <v>17</v>
      </c>
      <c r="F5987">
        <v>20.5</v>
      </c>
      <c r="G5987">
        <v>22.59</v>
      </c>
      <c r="H5987" t="s">
        <v>17</v>
      </c>
      <c r="I5987" t="str">
        <f>"060133207729"</f>
        <v>060133207729</v>
      </c>
    </row>
    <row r="5988" spans="1:9" x14ac:dyDescent="0.25">
      <c r="A5988" t="s">
        <v>5212</v>
      </c>
      <c r="B5988" t="s">
        <v>13</v>
      </c>
      <c r="C5988">
        <v>46.75</v>
      </c>
      <c r="D5988">
        <v>49.29</v>
      </c>
      <c r="E5988" t="s">
        <v>17</v>
      </c>
      <c r="F5988">
        <v>18.82</v>
      </c>
      <c r="G5988">
        <v>18.670000000000002</v>
      </c>
      <c r="H5988" t="s">
        <v>17</v>
      </c>
      <c r="I5988" t="str">
        <f>"060474000443"</f>
        <v>060474000443</v>
      </c>
    </row>
    <row r="5989" spans="1:9" x14ac:dyDescent="0.25">
      <c r="A5989" t="s">
        <v>5213</v>
      </c>
      <c r="B5989" t="s">
        <v>13</v>
      </c>
      <c r="C5989">
        <v>22</v>
      </c>
      <c r="D5989">
        <v>19.399999999999999</v>
      </c>
      <c r="E5989" t="s">
        <v>17</v>
      </c>
      <c r="F5989">
        <v>24.95</v>
      </c>
      <c r="G5989">
        <v>32.47</v>
      </c>
      <c r="H5989" t="s">
        <v>17</v>
      </c>
      <c r="I5989" t="str">
        <f>"063384009430"</f>
        <v>063384009430</v>
      </c>
    </row>
    <row r="5990" spans="1:9" x14ac:dyDescent="0.25">
      <c r="A5990" t="s">
        <v>5207</v>
      </c>
      <c r="B5990" t="s">
        <v>13</v>
      </c>
      <c r="C5990">
        <v>15.01</v>
      </c>
      <c r="D5990">
        <v>16</v>
      </c>
      <c r="E5990" t="s">
        <v>17</v>
      </c>
      <c r="F5990">
        <v>21.85</v>
      </c>
      <c r="G5990">
        <v>17.63</v>
      </c>
      <c r="H5990" t="s">
        <v>17</v>
      </c>
      <c r="I5990" t="str">
        <f>"062805004297"</f>
        <v>062805004297</v>
      </c>
    </row>
    <row r="5991" spans="1:9" x14ac:dyDescent="0.25">
      <c r="A5991" t="s">
        <v>5210</v>
      </c>
      <c r="B5991" t="s">
        <v>13</v>
      </c>
      <c r="C5991">
        <v>26.34</v>
      </c>
      <c r="D5991">
        <v>27.33</v>
      </c>
      <c r="E5991" t="s">
        <v>17</v>
      </c>
      <c r="F5991">
        <v>27.22</v>
      </c>
      <c r="G5991">
        <v>22.5</v>
      </c>
      <c r="H5991" t="s">
        <v>17</v>
      </c>
      <c r="I5991" t="str">
        <f>"061674002107"</f>
        <v>061674002107</v>
      </c>
    </row>
    <row r="5992" spans="1:9" x14ac:dyDescent="0.25">
      <c r="A5992" t="s">
        <v>5214</v>
      </c>
      <c r="B5992" t="s">
        <v>13</v>
      </c>
      <c r="C5992">
        <v>7.8</v>
      </c>
      <c r="D5992">
        <v>5</v>
      </c>
      <c r="E5992" t="s">
        <v>17</v>
      </c>
      <c r="F5992">
        <v>6.15</v>
      </c>
      <c r="G5992">
        <v>11</v>
      </c>
      <c r="H5992" t="s">
        <v>17</v>
      </c>
      <c r="I5992" t="str">
        <f>"063600006164"</f>
        <v>063600006164</v>
      </c>
    </row>
    <row r="5993" spans="1:9" x14ac:dyDescent="0.25">
      <c r="A5993" t="s">
        <v>5215</v>
      </c>
      <c r="B5993" t="s">
        <v>13</v>
      </c>
      <c r="C5993">
        <v>20.91</v>
      </c>
      <c r="D5993">
        <v>20.91</v>
      </c>
      <c r="E5993" t="s">
        <v>17</v>
      </c>
      <c r="F5993">
        <v>25.54</v>
      </c>
      <c r="G5993">
        <v>26.49</v>
      </c>
      <c r="H5993" t="s">
        <v>17</v>
      </c>
      <c r="I5993" t="str">
        <f>"062583003880"</f>
        <v>062583003880</v>
      </c>
    </row>
    <row r="5994" spans="1:9" x14ac:dyDescent="0.25">
      <c r="A5994" t="s">
        <v>5216</v>
      </c>
      <c r="B5994" t="s">
        <v>13</v>
      </c>
      <c r="C5994">
        <v>31</v>
      </c>
      <c r="D5994">
        <v>33</v>
      </c>
      <c r="E5994" t="s">
        <v>17</v>
      </c>
      <c r="F5994">
        <v>29.23</v>
      </c>
      <c r="G5994">
        <v>26.61</v>
      </c>
      <c r="H5994" t="s">
        <v>17</v>
      </c>
      <c r="I5994" t="str">
        <f>"063531000758"</f>
        <v>063531000758</v>
      </c>
    </row>
    <row r="5995" spans="1:9" x14ac:dyDescent="0.25">
      <c r="A5995" t="s">
        <v>5217</v>
      </c>
      <c r="B5995" t="s">
        <v>13</v>
      </c>
      <c r="C5995">
        <v>24</v>
      </c>
      <c r="D5995">
        <v>22</v>
      </c>
      <c r="E5995" t="s">
        <v>17</v>
      </c>
      <c r="F5995">
        <v>23.08</v>
      </c>
      <c r="G5995">
        <v>24.95</v>
      </c>
      <c r="H5995" t="s">
        <v>17</v>
      </c>
      <c r="I5995" t="str">
        <f>"061111001233"</f>
        <v>061111001233</v>
      </c>
    </row>
    <row r="5996" spans="1:9" x14ac:dyDescent="0.25">
      <c r="A5996" t="s">
        <v>5218</v>
      </c>
      <c r="B5996" t="s">
        <v>13</v>
      </c>
      <c r="C5996" t="s">
        <v>17</v>
      </c>
      <c r="D5996" t="s">
        <v>17</v>
      </c>
      <c r="E5996" t="s">
        <v>17</v>
      </c>
      <c r="F5996" t="s">
        <v>17</v>
      </c>
      <c r="G5996" t="s">
        <v>17</v>
      </c>
      <c r="H5996" t="s">
        <v>17</v>
      </c>
      <c r="I5996" t="str">
        <f>"062403012601"</f>
        <v>062403012601</v>
      </c>
    </row>
    <row r="5997" spans="1:9" x14ac:dyDescent="0.25">
      <c r="A5997" t="s">
        <v>5219</v>
      </c>
      <c r="B5997" t="s">
        <v>13</v>
      </c>
      <c r="C5997">
        <v>37.200000000000003</v>
      </c>
      <c r="D5997">
        <v>36.4</v>
      </c>
      <c r="E5997" t="s">
        <v>17</v>
      </c>
      <c r="F5997">
        <v>23.2</v>
      </c>
      <c r="G5997">
        <v>23.85</v>
      </c>
      <c r="H5997" t="s">
        <v>17</v>
      </c>
      <c r="I5997" t="str">
        <f>"062403003618"</f>
        <v>062403003618</v>
      </c>
    </row>
    <row r="5998" spans="1:9" x14ac:dyDescent="0.25">
      <c r="A5998" t="s">
        <v>5220</v>
      </c>
      <c r="B5998" t="s">
        <v>13</v>
      </c>
      <c r="C5998">
        <v>29.83</v>
      </c>
      <c r="D5998">
        <v>29.83</v>
      </c>
      <c r="E5998" t="s">
        <v>17</v>
      </c>
      <c r="F5998">
        <v>22.73</v>
      </c>
      <c r="G5998">
        <v>22.96</v>
      </c>
      <c r="H5998" t="s">
        <v>17</v>
      </c>
      <c r="I5998" t="str">
        <f>"060015811516"</f>
        <v>060015811516</v>
      </c>
    </row>
    <row r="5999" spans="1:9" x14ac:dyDescent="0.25">
      <c r="A5999" t="s">
        <v>5221</v>
      </c>
      <c r="B5999" t="s">
        <v>13</v>
      </c>
      <c r="C5999">
        <v>40</v>
      </c>
      <c r="D5999">
        <v>37</v>
      </c>
      <c r="E5999" t="s">
        <v>17</v>
      </c>
      <c r="F5999">
        <v>23.18</v>
      </c>
      <c r="G5999">
        <v>23.22</v>
      </c>
      <c r="H5999" t="s">
        <v>17</v>
      </c>
      <c r="I5999" t="str">
        <f>"062271003172"</f>
        <v>062271003172</v>
      </c>
    </row>
    <row r="6000" spans="1:9" x14ac:dyDescent="0.25">
      <c r="A6000" t="s">
        <v>5221</v>
      </c>
      <c r="B6000" t="s">
        <v>13</v>
      </c>
      <c r="C6000">
        <v>18</v>
      </c>
      <c r="D6000">
        <v>17</v>
      </c>
      <c r="E6000" t="s">
        <v>17</v>
      </c>
      <c r="F6000">
        <v>20.170000000000002</v>
      </c>
      <c r="G6000">
        <v>20.059999999999999</v>
      </c>
      <c r="H6000" t="s">
        <v>17</v>
      </c>
      <c r="I6000" t="str">
        <f>"063432005514"</f>
        <v>063432005514</v>
      </c>
    </row>
    <row r="6001" spans="1:9" x14ac:dyDescent="0.25">
      <c r="A6001" t="s">
        <v>5222</v>
      </c>
      <c r="B6001" t="s">
        <v>13</v>
      </c>
      <c r="C6001">
        <v>1</v>
      </c>
      <c r="D6001" t="s">
        <v>17</v>
      </c>
      <c r="E6001" t="s">
        <v>17</v>
      </c>
      <c r="F6001">
        <v>4</v>
      </c>
      <c r="G6001" t="s">
        <v>17</v>
      </c>
      <c r="H6001" t="s">
        <v>17</v>
      </c>
      <c r="I6001" t="str">
        <f>"063462011080"</f>
        <v>063462011080</v>
      </c>
    </row>
    <row r="6002" spans="1:9" x14ac:dyDescent="0.25">
      <c r="A6002" t="s">
        <v>5223</v>
      </c>
      <c r="B6002" t="s">
        <v>13</v>
      </c>
      <c r="C6002">
        <v>21</v>
      </c>
      <c r="D6002">
        <v>21</v>
      </c>
      <c r="E6002" t="s">
        <v>17</v>
      </c>
      <c r="F6002">
        <v>29.48</v>
      </c>
      <c r="G6002">
        <v>29.14</v>
      </c>
      <c r="H6002" t="s">
        <v>17</v>
      </c>
      <c r="I6002" t="str">
        <f>"063867011872"</f>
        <v>063867011872</v>
      </c>
    </row>
    <row r="6003" spans="1:9" x14ac:dyDescent="0.25">
      <c r="A6003" t="s">
        <v>5224</v>
      </c>
      <c r="B6003" t="s">
        <v>13</v>
      </c>
      <c r="C6003">
        <v>32.5</v>
      </c>
      <c r="D6003">
        <v>33</v>
      </c>
      <c r="E6003" t="s">
        <v>17</v>
      </c>
      <c r="F6003">
        <v>22.58</v>
      </c>
      <c r="G6003">
        <v>23.48</v>
      </c>
      <c r="H6003" t="s">
        <v>17</v>
      </c>
      <c r="I6003" t="str">
        <f>"060939000952"</f>
        <v>060939000952</v>
      </c>
    </row>
    <row r="6004" spans="1:9" x14ac:dyDescent="0.25">
      <c r="A6004" t="s">
        <v>5225</v>
      </c>
      <c r="B6004" t="s">
        <v>13</v>
      </c>
      <c r="C6004" t="s">
        <v>14</v>
      </c>
      <c r="D6004" t="s">
        <v>17</v>
      </c>
      <c r="E6004" t="s">
        <v>17</v>
      </c>
      <c r="F6004" t="s">
        <v>14</v>
      </c>
      <c r="G6004" t="s">
        <v>17</v>
      </c>
      <c r="H6004" t="s">
        <v>17</v>
      </c>
      <c r="I6004" t="str">
        <f>"060006607920"</f>
        <v>060006607920</v>
      </c>
    </row>
    <row r="6005" spans="1:9" x14ac:dyDescent="0.25">
      <c r="A6005" t="s">
        <v>5225</v>
      </c>
      <c r="B6005" t="s">
        <v>13</v>
      </c>
      <c r="C6005" t="s">
        <v>17</v>
      </c>
      <c r="D6005" t="s">
        <v>14</v>
      </c>
      <c r="E6005" t="s">
        <v>14</v>
      </c>
      <c r="F6005" t="s">
        <v>17</v>
      </c>
      <c r="G6005" t="s">
        <v>14</v>
      </c>
      <c r="H6005" t="s">
        <v>14</v>
      </c>
      <c r="I6005" t="str">
        <f>"060142207920"</f>
        <v>060142207920</v>
      </c>
    </row>
    <row r="6006" spans="1:9" x14ac:dyDescent="0.25">
      <c r="A6006" t="s">
        <v>5226</v>
      </c>
      <c r="B6006" t="s">
        <v>13</v>
      </c>
      <c r="C6006">
        <v>31</v>
      </c>
      <c r="D6006">
        <v>34.1</v>
      </c>
      <c r="E6006" t="s">
        <v>17</v>
      </c>
      <c r="F6006">
        <v>26.52</v>
      </c>
      <c r="G6006">
        <v>24.69</v>
      </c>
      <c r="H6006" t="s">
        <v>17</v>
      </c>
      <c r="I6006" t="str">
        <f>"061626002029"</f>
        <v>061626002029</v>
      </c>
    </row>
    <row r="6007" spans="1:9" x14ac:dyDescent="0.25">
      <c r="A6007" t="s">
        <v>5227</v>
      </c>
      <c r="B6007" t="s">
        <v>13</v>
      </c>
      <c r="C6007" t="s">
        <v>17</v>
      </c>
      <c r="D6007" t="s">
        <v>14</v>
      </c>
      <c r="E6007" t="s">
        <v>14</v>
      </c>
      <c r="F6007" t="s">
        <v>17</v>
      </c>
      <c r="G6007" t="s">
        <v>14</v>
      </c>
      <c r="H6007" t="s">
        <v>14</v>
      </c>
      <c r="I6007" t="str">
        <f>"060591013420"</f>
        <v>060591013420</v>
      </c>
    </row>
    <row r="6008" spans="1:9" x14ac:dyDescent="0.25">
      <c r="A6008" t="s">
        <v>5228</v>
      </c>
      <c r="B6008" t="s">
        <v>13</v>
      </c>
      <c r="C6008">
        <v>17.75</v>
      </c>
      <c r="D6008">
        <v>20.5</v>
      </c>
      <c r="E6008" t="s">
        <v>17</v>
      </c>
      <c r="F6008">
        <v>23.1</v>
      </c>
      <c r="G6008">
        <v>18.68</v>
      </c>
      <c r="H6008" t="s">
        <v>17</v>
      </c>
      <c r="I6008" t="str">
        <f>"061608002009"</f>
        <v>061608002009</v>
      </c>
    </row>
    <row r="6009" spans="1:9" x14ac:dyDescent="0.25">
      <c r="A6009" t="s">
        <v>5229</v>
      </c>
      <c r="B6009" t="s">
        <v>13</v>
      </c>
      <c r="C6009">
        <v>22.8</v>
      </c>
      <c r="D6009">
        <v>19.5</v>
      </c>
      <c r="E6009" t="s">
        <v>17</v>
      </c>
      <c r="F6009">
        <v>20.440000000000001</v>
      </c>
      <c r="G6009">
        <v>20.77</v>
      </c>
      <c r="H6009" t="s">
        <v>17</v>
      </c>
      <c r="I6009" t="str">
        <f>"063025004716"</f>
        <v>063025004716</v>
      </c>
    </row>
    <row r="6010" spans="1:9" x14ac:dyDescent="0.25">
      <c r="A6010" t="s">
        <v>5230</v>
      </c>
      <c r="B6010" t="s">
        <v>13</v>
      </c>
      <c r="C6010">
        <v>21.91</v>
      </c>
      <c r="D6010">
        <v>24.5</v>
      </c>
      <c r="E6010" t="s">
        <v>17</v>
      </c>
      <c r="F6010">
        <v>29.99</v>
      </c>
      <c r="G6010">
        <v>27.27</v>
      </c>
      <c r="H6010" t="s">
        <v>17</v>
      </c>
      <c r="I6010" t="str">
        <f>"063462005772"</f>
        <v>063462005772</v>
      </c>
    </row>
    <row r="6011" spans="1:9" x14ac:dyDescent="0.25">
      <c r="A6011" t="s">
        <v>5231</v>
      </c>
      <c r="B6011" t="s">
        <v>13</v>
      </c>
      <c r="C6011">
        <v>20</v>
      </c>
      <c r="D6011">
        <v>19</v>
      </c>
      <c r="E6011" t="s">
        <v>17</v>
      </c>
      <c r="F6011">
        <v>21.8</v>
      </c>
      <c r="G6011">
        <v>21.37</v>
      </c>
      <c r="H6011" t="s">
        <v>17</v>
      </c>
      <c r="I6011" t="str">
        <f>"061122010255"</f>
        <v>061122010255</v>
      </c>
    </row>
    <row r="6012" spans="1:9" x14ac:dyDescent="0.25">
      <c r="A6012" t="s">
        <v>5232</v>
      </c>
      <c r="B6012" t="s">
        <v>13</v>
      </c>
      <c r="C6012">
        <v>18</v>
      </c>
      <c r="D6012">
        <v>18</v>
      </c>
      <c r="E6012" t="s">
        <v>17</v>
      </c>
      <c r="F6012">
        <v>26.83</v>
      </c>
      <c r="G6012">
        <v>27.11</v>
      </c>
      <c r="H6012" t="s">
        <v>17</v>
      </c>
      <c r="I6012" t="str">
        <f>"060462000424"</f>
        <v>060462000424</v>
      </c>
    </row>
    <row r="6013" spans="1:9" x14ac:dyDescent="0.25">
      <c r="A6013" t="s">
        <v>5233</v>
      </c>
      <c r="B6013" t="s">
        <v>13</v>
      </c>
      <c r="C6013">
        <v>36.5</v>
      </c>
      <c r="D6013">
        <v>33.33</v>
      </c>
      <c r="E6013" t="s">
        <v>17</v>
      </c>
      <c r="F6013">
        <v>25.59</v>
      </c>
      <c r="G6013">
        <v>28.86</v>
      </c>
      <c r="H6013" t="s">
        <v>17</v>
      </c>
      <c r="I6013" t="str">
        <f>"061350001543"</f>
        <v>061350001543</v>
      </c>
    </row>
    <row r="6014" spans="1:9" x14ac:dyDescent="0.25">
      <c r="A6014" t="s">
        <v>5234</v>
      </c>
      <c r="B6014" t="s">
        <v>13</v>
      </c>
      <c r="C6014">
        <v>19</v>
      </c>
      <c r="D6014">
        <v>18.04</v>
      </c>
      <c r="E6014" t="s">
        <v>17</v>
      </c>
      <c r="F6014">
        <v>29.16</v>
      </c>
      <c r="G6014">
        <v>28.99</v>
      </c>
      <c r="H6014" t="s">
        <v>17</v>
      </c>
      <c r="I6014" t="str">
        <f>"063795011497"</f>
        <v>063795011497</v>
      </c>
    </row>
    <row r="6015" spans="1:9" x14ac:dyDescent="0.25">
      <c r="A6015" t="s">
        <v>5235</v>
      </c>
      <c r="B6015" t="s">
        <v>13</v>
      </c>
      <c r="C6015">
        <v>29</v>
      </c>
      <c r="D6015">
        <v>31</v>
      </c>
      <c r="E6015" t="s">
        <v>17</v>
      </c>
      <c r="F6015">
        <v>25.28</v>
      </c>
      <c r="G6015">
        <v>24.03</v>
      </c>
      <c r="H6015" t="s">
        <v>17</v>
      </c>
      <c r="I6015" t="str">
        <f>"069113510290"</f>
        <v>069113510290</v>
      </c>
    </row>
    <row r="6016" spans="1:9" x14ac:dyDescent="0.25">
      <c r="A6016" t="s">
        <v>5236</v>
      </c>
      <c r="B6016" t="s">
        <v>13</v>
      </c>
      <c r="C6016">
        <v>70</v>
      </c>
      <c r="D6016">
        <v>77.52</v>
      </c>
      <c r="E6016" t="s">
        <v>17</v>
      </c>
      <c r="F6016">
        <v>19.13</v>
      </c>
      <c r="G6016">
        <v>16.690000000000001</v>
      </c>
      <c r="H6016" t="s">
        <v>17</v>
      </c>
      <c r="I6016" t="str">
        <f>"062271002856"</f>
        <v>062271002856</v>
      </c>
    </row>
    <row r="6017" spans="1:9" x14ac:dyDescent="0.25">
      <c r="A6017" t="s">
        <v>5237</v>
      </c>
      <c r="B6017" t="s">
        <v>13</v>
      </c>
      <c r="C6017">
        <v>36.200000000000003</v>
      </c>
      <c r="D6017">
        <v>37.450000000000003</v>
      </c>
      <c r="E6017" t="s">
        <v>17</v>
      </c>
      <c r="F6017">
        <v>25.39</v>
      </c>
      <c r="G6017">
        <v>25.34</v>
      </c>
      <c r="H6017" t="s">
        <v>17</v>
      </c>
      <c r="I6017" t="str">
        <f>"063261005071"</f>
        <v>063261005071</v>
      </c>
    </row>
    <row r="6018" spans="1:9" x14ac:dyDescent="0.25">
      <c r="A6018" t="s">
        <v>5238</v>
      </c>
      <c r="B6018" t="s">
        <v>13</v>
      </c>
      <c r="C6018">
        <v>19</v>
      </c>
      <c r="D6018">
        <v>18</v>
      </c>
      <c r="E6018" t="s">
        <v>17</v>
      </c>
      <c r="F6018">
        <v>20.74</v>
      </c>
      <c r="G6018">
        <v>20.39</v>
      </c>
      <c r="H6018" t="s">
        <v>17</v>
      </c>
      <c r="I6018" t="str">
        <f>"061077005574"</f>
        <v>061077005574</v>
      </c>
    </row>
    <row r="6019" spans="1:9" x14ac:dyDescent="0.25">
      <c r="A6019" t="s">
        <v>5239</v>
      </c>
      <c r="B6019" t="s">
        <v>13</v>
      </c>
      <c r="C6019">
        <v>37</v>
      </c>
      <c r="D6019">
        <v>37</v>
      </c>
      <c r="E6019" t="s">
        <v>17</v>
      </c>
      <c r="F6019">
        <v>25.73</v>
      </c>
      <c r="G6019">
        <v>25.51</v>
      </c>
      <c r="H6019" t="s">
        <v>17</v>
      </c>
      <c r="I6019" t="str">
        <f>"061233001034"</f>
        <v>061233001034</v>
      </c>
    </row>
    <row r="6020" spans="1:9" x14ac:dyDescent="0.25">
      <c r="A6020" t="s">
        <v>5240</v>
      </c>
      <c r="B6020" t="s">
        <v>13</v>
      </c>
      <c r="C6020">
        <v>14.85</v>
      </c>
      <c r="D6020">
        <v>14</v>
      </c>
      <c r="E6020" t="s">
        <v>17</v>
      </c>
      <c r="F6020">
        <v>25.05</v>
      </c>
      <c r="G6020">
        <v>28.93</v>
      </c>
      <c r="H6020" t="s">
        <v>17</v>
      </c>
      <c r="I6020" t="str">
        <f>"062025002437"</f>
        <v>062025002437</v>
      </c>
    </row>
    <row r="6021" spans="1:9" x14ac:dyDescent="0.25">
      <c r="A6021" t="s">
        <v>5241</v>
      </c>
      <c r="B6021" t="s">
        <v>13</v>
      </c>
      <c r="C6021">
        <v>26</v>
      </c>
      <c r="D6021">
        <v>27</v>
      </c>
      <c r="E6021" t="s">
        <v>17</v>
      </c>
      <c r="F6021">
        <v>22.65</v>
      </c>
      <c r="G6021">
        <v>23</v>
      </c>
      <c r="H6021" t="s">
        <v>17</v>
      </c>
      <c r="I6021" t="str">
        <f>"064119011769"</f>
        <v>064119011769</v>
      </c>
    </row>
    <row r="6022" spans="1:9" x14ac:dyDescent="0.25">
      <c r="A6022" t="s">
        <v>5242</v>
      </c>
      <c r="B6022" t="s">
        <v>13</v>
      </c>
      <c r="C6022">
        <v>30.65</v>
      </c>
      <c r="D6022">
        <v>29.65</v>
      </c>
      <c r="E6022" t="s">
        <v>17</v>
      </c>
      <c r="F6022">
        <v>15.63</v>
      </c>
      <c r="G6022">
        <v>16.53</v>
      </c>
      <c r="H6022" t="s">
        <v>17</v>
      </c>
      <c r="I6022" t="str">
        <f>"062211002631"</f>
        <v>062211002631</v>
      </c>
    </row>
    <row r="6023" spans="1:9" x14ac:dyDescent="0.25">
      <c r="A6023" t="s">
        <v>5243</v>
      </c>
      <c r="B6023" t="s">
        <v>13</v>
      </c>
      <c r="C6023">
        <v>19.899999999999999</v>
      </c>
      <c r="D6023">
        <v>20.2</v>
      </c>
      <c r="E6023" t="s">
        <v>17</v>
      </c>
      <c r="F6023">
        <v>18.89</v>
      </c>
      <c r="G6023">
        <v>16.579999999999998</v>
      </c>
      <c r="H6023" t="s">
        <v>17</v>
      </c>
      <c r="I6023" t="str">
        <f>"062409008671"</f>
        <v>062409008671</v>
      </c>
    </row>
    <row r="6024" spans="1:9" x14ac:dyDescent="0.25">
      <c r="A6024" t="s">
        <v>5244</v>
      </c>
      <c r="B6024" t="s">
        <v>13</v>
      </c>
      <c r="C6024">
        <v>37.200000000000003</v>
      </c>
      <c r="D6024">
        <v>37.9</v>
      </c>
      <c r="E6024" t="s">
        <v>17</v>
      </c>
      <c r="F6024">
        <v>25.03</v>
      </c>
      <c r="G6024">
        <v>23.88</v>
      </c>
      <c r="H6024" t="s">
        <v>17</v>
      </c>
      <c r="I6024" t="str">
        <f>"062409003633"</f>
        <v>062409003633</v>
      </c>
    </row>
    <row r="6025" spans="1:9" x14ac:dyDescent="0.25">
      <c r="A6025" t="s">
        <v>5245</v>
      </c>
      <c r="B6025" t="s">
        <v>13</v>
      </c>
      <c r="C6025">
        <v>38.200000000000003</v>
      </c>
      <c r="D6025">
        <v>36.9</v>
      </c>
      <c r="E6025" t="s">
        <v>17</v>
      </c>
      <c r="F6025">
        <v>22.38</v>
      </c>
      <c r="G6025">
        <v>21.98</v>
      </c>
      <c r="H6025" t="s">
        <v>17</v>
      </c>
      <c r="I6025" t="str">
        <f>"063432005515"</f>
        <v>063432005515</v>
      </c>
    </row>
    <row r="6026" spans="1:9" x14ac:dyDescent="0.25">
      <c r="A6026" t="s">
        <v>5246</v>
      </c>
      <c r="B6026" t="s">
        <v>13</v>
      </c>
      <c r="C6026">
        <v>30.51</v>
      </c>
      <c r="D6026">
        <v>31</v>
      </c>
      <c r="E6026" t="s">
        <v>17</v>
      </c>
      <c r="F6026">
        <v>26.88</v>
      </c>
      <c r="G6026">
        <v>27.68</v>
      </c>
      <c r="H6026" t="s">
        <v>17</v>
      </c>
      <c r="I6026" t="str">
        <f>"061422001628"</f>
        <v>061422001628</v>
      </c>
    </row>
    <row r="6027" spans="1:9" x14ac:dyDescent="0.25">
      <c r="A6027" t="s">
        <v>5247</v>
      </c>
      <c r="B6027" t="s">
        <v>13</v>
      </c>
      <c r="C6027" t="s">
        <v>17</v>
      </c>
      <c r="D6027" t="s">
        <v>14</v>
      </c>
      <c r="E6027" t="s">
        <v>14</v>
      </c>
      <c r="F6027" t="s">
        <v>17</v>
      </c>
      <c r="G6027" t="s">
        <v>14</v>
      </c>
      <c r="H6027" t="s">
        <v>14</v>
      </c>
      <c r="I6027" t="str">
        <f>"062271013084"</f>
        <v>062271013084</v>
      </c>
    </row>
    <row r="6028" spans="1:9" x14ac:dyDescent="0.25">
      <c r="A6028" t="s">
        <v>5248</v>
      </c>
      <c r="B6028" t="s">
        <v>13</v>
      </c>
      <c r="C6028">
        <v>19.989999999999998</v>
      </c>
      <c r="D6028">
        <v>18.010000000000002</v>
      </c>
      <c r="E6028" t="s">
        <v>17</v>
      </c>
      <c r="F6028">
        <v>17.61</v>
      </c>
      <c r="G6028">
        <v>20.88</v>
      </c>
      <c r="H6028" t="s">
        <v>17</v>
      </c>
      <c r="I6028" t="str">
        <f>"062271012791"</f>
        <v>062271012791</v>
      </c>
    </row>
    <row r="6029" spans="1:9" x14ac:dyDescent="0.25">
      <c r="A6029" t="s">
        <v>5249</v>
      </c>
      <c r="B6029" t="s">
        <v>13</v>
      </c>
      <c r="C6029">
        <v>17.7</v>
      </c>
      <c r="D6029">
        <v>17.7</v>
      </c>
      <c r="E6029" t="s">
        <v>17</v>
      </c>
      <c r="F6029">
        <v>26.72</v>
      </c>
      <c r="G6029">
        <v>26.61</v>
      </c>
      <c r="H6029" t="s">
        <v>17</v>
      </c>
      <c r="I6029" t="str">
        <f>"061389008575"</f>
        <v>061389008575</v>
      </c>
    </row>
    <row r="6030" spans="1:9" x14ac:dyDescent="0.25">
      <c r="A6030" t="s">
        <v>5250</v>
      </c>
      <c r="B6030" t="s">
        <v>13</v>
      </c>
      <c r="C6030">
        <v>6.2</v>
      </c>
      <c r="D6030">
        <v>7.3</v>
      </c>
      <c r="E6030" t="s">
        <v>17</v>
      </c>
      <c r="F6030">
        <v>7.1</v>
      </c>
      <c r="G6030">
        <v>7.4</v>
      </c>
      <c r="H6030" t="s">
        <v>17</v>
      </c>
      <c r="I6030" t="str">
        <f>"061389007609"</f>
        <v>061389007609</v>
      </c>
    </row>
    <row r="6031" spans="1:9" x14ac:dyDescent="0.25">
      <c r="A6031" t="s">
        <v>5251</v>
      </c>
      <c r="B6031" t="s">
        <v>13</v>
      </c>
      <c r="C6031">
        <v>16</v>
      </c>
      <c r="D6031">
        <v>16</v>
      </c>
      <c r="E6031" t="s">
        <v>17</v>
      </c>
      <c r="F6031">
        <v>29.69</v>
      </c>
      <c r="G6031">
        <v>28.31</v>
      </c>
      <c r="H6031" t="s">
        <v>17</v>
      </c>
      <c r="I6031" t="str">
        <f>"062991004655"</f>
        <v>062991004655</v>
      </c>
    </row>
    <row r="6032" spans="1:9" x14ac:dyDescent="0.25">
      <c r="A6032" t="s">
        <v>5252</v>
      </c>
      <c r="B6032" t="s">
        <v>13</v>
      </c>
      <c r="C6032">
        <v>18.77</v>
      </c>
      <c r="D6032">
        <v>19.75</v>
      </c>
      <c r="E6032" t="s">
        <v>17</v>
      </c>
      <c r="F6032">
        <v>23.71</v>
      </c>
      <c r="G6032">
        <v>23.85</v>
      </c>
      <c r="H6032" t="s">
        <v>17</v>
      </c>
      <c r="I6032" t="str">
        <f>"062827004376"</f>
        <v>062827004376</v>
      </c>
    </row>
    <row r="6033" spans="1:9" x14ac:dyDescent="0.25">
      <c r="A6033" t="s">
        <v>5253</v>
      </c>
      <c r="B6033" t="s">
        <v>13</v>
      </c>
      <c r="C6033">
        <v>21.5</v>
      </c>
      <c r="D6033">
        <v>24.05</v>
      </c>
      <c r="E6033" t="s">
        <v>17</v>
      </c>
      <c r="F6033">
        <v>30.79</v>
      </c>
      <c r="G6033">
        <v>27.94</v>
      </c>
      <c r="H6033" t="s">
        <v>17</v>
      </c>
      <c r="I6033" t="str">
        <f>"063384002539"</f>
        <v>063384002539</v>
      </c>
    </row>
    <row r="6034" spans="1:9" x14ac:dyDescent="0.25">
      <c r="A6034" t="s">
        <v>5254</v>
      </c>
      <c r="B6034" t="s">
        <v>13</v>
      </c>
      <c r="C6034">
        <v>10</v>
      </c>
      <c r="D6034">
        <v>12</v>
      </c>
      <c r="E6034" t="s">
        <v>17</v>
      </c>
      <c r="F6034">
        <v>16.399999999999999</v>
      </c>
      <c r="G6034">
        <v>11.58</v>
      </c>
      <c r="H6034" t="s">
        <v>17</v>
      </c>
      <c r="I6034" t="str">
        <f>"061336012797"</f>
        <v>061336012797</v>
      </c>
    </row>
    <row r="6035" spans="1:9" x14ac:dyDescent="0.25">
      <c r="A6035" t="s">
        <v>5255</v>
      </c>
      <c r="B6035" t="s">
        <v>13</v>
      </c>
      <c r="C6035">
        <v>40.6</v>
      </c>
      <c r="D6035">
        <v>43.2</v>
      </c>
      <c r="E6035" t="s">
        <v>17</v>
      </c>
      <c r="F6035">
        <v>25.32</v>
      </c>
      <c r="G6035">
        <v>23.47</v>
      </c>
      <c r="H6035" t="s">
        <v>17</v>
      </c>
      <c r="I6035" t="str">
        <f>"063315005138"</f>
        <v>063315005138</v>
      </c>
    </row>
    <row r="6036" spans="1:9" x14ac:dyDescent="0.25">
      <c r="A6036" t="s">
        <v>5256</v>
      </c>
      <c r="B6036" t="s">
        <v>13</v>
      </c>
      <c r="C6036">
        <v>20</v>
      </c>
      <c r="D6036">
        <v>21</v>
      </c>
      <c r="E6036" t="s">
        <v>17</v>
      </c>
      <c r="F6036">
        <v>26.55</v>
      </c>
      <c r="G6036">
        <v>25.43</v>
      </c>
      <c r="H6036" t="s">
        <v>17</v>
      </c>
      <c r="I6036" t="str">
        <f>"060462002832"</f>
        <v>060462002832</v>
      </c>
    </row>
    <row r="6037" spans="1:9" x14ac:dyDescent="0.25">
      <c r="A6037" t="s">
        <v>5257</v>
      </c>
      <c r="B6037" t="s">
        <v>13</v>
      </c>
      <c r="C6037">
        <v>30</v>
      </c>
      <c r="D6037">
        <v>31</v>
      </c>
      <c r="E6037" t="s">
        <v>17</v>
      </c>
      <c r="F6037">
        <v>26.17</v>
      </c>
      <c r="G6037">
        <v>25.19</v>
      </c>
      <c r="H6037" t="s">
        <v>17</v>
      </c>
      <c r="I6037" t="str">
        <f>"062343003561"</f>
        <v>062343003561</v>
      </c>
    </row>
    <row r="6038" spans="1:9" x14ac:dyDescent="0.25">
      <c r="A6038" t="s">
        <v>5258</v>
      </c>
      <c r="B6038" t="s">
        <v>13</v>
      </c>
      <c r="C6038">
        <v>24.5</v>
      </c>
      <c r="D6038">
        <v>19</v>
      </c>
      <c r="E6038" t="s">
        <v>17</v>
      </c>
      <c r="F6038">
        <v>21.18</v>
      </c>
      <c r="G6038">
        <v>24.79</v>
      </c>
      <c r="H6038" t="s">
        <v>17</v>
      </c>
      <c r="I6038" t="str">
        <f>"060003401797"</f>
        <v>060003401797</v>
      </c>
    </row>
    <row r="6039" spans="1:9" x14ac:dyDescent="0.25">
      <c r="A6039" t="s">
        <v>5259</v>
      </c>
      <c r="B6039" t="s">
        <v>13</v>
      </c>
      <c r="C6039">
        <v>3.9</v>
      </c>
      <c r="D6039">
        <v>3.4</v>
      </c>
      <c r="E6039" t="s">
        <v>17</v>
      </c>
      <c r="F6039">
        <v>11.54</v>
      </c>
      <c r="G6039">
        <v>13.24</v>
      </c>
      <c r="H6039" t="s">
        <v>17</v>
      </c>
      <c r="I6039" t="str">
        <f>"060003803640"</f>
        <v>060003803640</v>
      </c>
    </row>
    <row r="6040" spans="1:9" x14ac:dyDescent="0.25">
      <c r="A6040" t="s">
        <v>5260</v>
      </c>
      <c r="B6040" t="s">
        <v>13</v>
      </c>
      <c r="C6040">
        <v>3.6</v>
      </c>
      <c r="D6040">
        <v>3.6</v>
      </c>
      <c r="E6040" t="s">
        <v>17</v>
      </c>
      <c r="F6040">
        <v>1.94</v>
      </c>
      <c r="G6040">
        <v>1.67</v>
      </c>
      <c r="H6040" t="s">
        <v>17</v>
      </c>
      <c r="I6040" t="str">
        <f>"060003801994"</f>
        <v>060003801994</v>
      </c>
    </row>
    <row r="6041" spans="1:9" x14ac:dyDescent="0.25">
      <c r="A6041" t="s">
        <v>5261</v>
      </c>
      <c r="B6041" t="s">
        <v>13</v>
      </c>
      <c r="C6041">
        <v>48.83</v>
      </c>
      <c r="D6041">
        <v>42.58</v>
      </c>
      <c r="E6041" t="s">
        <v>17</v>
      </c>
      <c r="F6041">
        <v>15.05</v>
      </c>
      <c r="G6041">
        <v>15.66</v>
      </c>
      <c r="H6041" t="s">
        <v>17</v>
      </c>
      <c r="I6041" t="str">
        <f>"060003807500"</f>
        <v>060003807500</v>
      </c>
    </row>
    <row r="6042" spans="1:9" x14ac:dyDescent="0.25">
      <c r="A6042" t="s">
        <v>5262</v>
      </c>
      <c r="B6042" t="s">
        <v>13</v>
      </c>
      <c r="C6042">
        <v>23</v>
      </c>
      <c r="D6042">
        <v>24</v>
      </c>
      <c r="E6042" t="s">
        <v>17</v>
      </c>
      <c r="F6042">
        <v>22.74</v>
      </c>
      <c r="G6042">
        <v>20.67</v>
      </c>
      <c r="H6042" t="s">
        <v>17</v>
      </c>
      <c r="I6042" t="str">
        <f>"062724007194"</f>
        <v>062724007194</v>
      </c>
    </row>
    <row r="6043" spans="1:9" x14ac:dyDescent="0.25">
      <c r="A6043" t="s">
        <v>5263</v>
      </c>
      <c r="B6043" t="s">
        <v>13</v>
      </c>
      <c r="C6043">
        <v>25</v>
      </c>
      <c r="D6043">
        <v>28.5</v>
      </c>
      <c r="E6043" t="s">
        <v>17</v>
      </c>
      <c r="F6043">
        <v>24.08</v>
      </c>
      <c r="G6043">
        <v>24.6</v>
      </c>
      <c r="H6043" t="s">
        <v>17</v>
      </c>
      <c r="I6043" t="str">
        <f>"062271011624"</f>
        <v>062271011624</v>
      </c>
    </row>
    <row r="6044" spans="1:9" x14ac:dyDescent="0.25">
      <c r="A6044" t="s">
        <v>5264</v>
      </c>
      <c r="B6044" t="s">
        <v>13</v>
      </c>
      <c r="C6044">
        <v>27.98</v>
      </c>
      <c r="D6044">
        <v>23.42</v>
      </c>
      <c r="E6044" t="s">
        <v>17</v>
      </c>
      <c r="F6044">
        <v>32.56</v>
      </c>
      <c r="G6044">
        <v>24.3</v>
      </c>
      <c r="H6044" t="s">
        <v>17</v>
      </c>
      <c r="I6044" t="str">
        <f>"063801011779"</f>
        <v>063801011779</v>
      </c>
    </row>
    <row r="6045" spans="1:9" x14ac:dyDescent="0.25">
      <c r="A6045" t="s">
        <v>5265</v>
      </c>
      <c r="B6045" t="s">
        <v>13</v>
      </c>
      <c r="C6045">
        <v>19.399999999999999</v>
      </c>
      <c r="D6045">
        <v>22.65</v>
      </c>
      <c r="E6045" t="s">
        <v>17</v>
      </c>
      <c r="F6045">
        <v>32.159999999999997</v>
      </c>
      <c r="G6045">
        <v>30.51</v>
      </c>
      <c r="H6045" t="s">
        <v>17</v>
      </c>
      <c r="I6045" t="str">
        <f>"062619003916"</f>
        <v>062619003916</v>
      </c>
    </row>
    <row r="6046" spans="1:9" x14ac:dyDescent="0.25">
      <c r="A6046" t="s">
        <v>5266</v>
      </c>
      <c r="B6046" t="s">
        <v>13</v>
      </c>
      <c r="C6046">
        <v>10.6</v>
      </c>
      <c r="D6046">
        <v>11.7</v>
      </c>
      <c r="E6046" t="s">
        <v>17</v>
      </c>
      <c r="F6046">
        <v>21.79</v>
      </c>
      <c r="G6046">
        <v>21.03</v>
      </c>
      <c r="H6046" t="s">
        <v>17</v>
      </c>
      <c r="I6046" t="str">
        <f>"062415003641"</f>
        <v>062415003641</v>
      </c>
    </row>
    <row r="6047" spans="1:9" x14ac:dyDescent="0.25">
      <c r="A6047" t="s">
        <v>5266</v>
      </c>
      <c r="B6047" t="s">
        <v>13</v>
      </c>
      <c r="C6047">
        <v>18</v>
      </c>
      <c r="D6047">
        <v>15</v>
      </c>
      <c r="E6047" t="s">
        <v>17</v>
      </c>
      <c r="F6047">
        <v>19.829999999999998</v>
      </c>
      <c r="G6047">
        <v>23.93</v>
      </c>
      <c r="H6047" t="s">
        <v>17</v>
      </c>
      <c r="I6047" t="str">
        <f>"061152001285"</f>
        <v>061152001285</v>
      </c>
    </row>
    <row r="6048" spans="1:9" x14ac:dyDescent="0.25">
      <c r="A6048" t="s">
        <v>5267</v>
      </c>
      <c r="B6048" t="s">
        <v>13</v>
      </c>
      <c r="C6048">
        <v>8.4</v>
      </c>
      <c r="D6048">
        <v>9.3000000000000007</v>
      </c>
      <c r="E6048" t="s">
        <v>17</v>
      </c>
      <c r="F6048">
        <v>13.57</v>
      </c>
      <c r="G6048">
        <v>13.76</v>
      </c>
      <c r="H6048" t="s">
        <v>17</v>
      </c>
      <c r="I6048" t="str">
        <f>"062415003642"</f>
        <v>062415003642</v>
      </c>
    </row>
    <row r="6049" spans="1:9" x14ac:dyDescent="0.25">
      <c r="A6049" t="s">
        <v>5268</v>
      </c>
      <c r="B6049" t="s">
        <v>13</v>
      </c>
      <c r="C6049" t="s">
        <v>14</v>
      </c>
      <c r="D6049">
        <v>14</v>
      </c>
      <c r="E6049" t="s">
        <v>17</v>
      </c>
      <c r="F6049" t="s">
        <v>17</v>
      </c>
      <c r="G6049">
        <v>16</v>
      </c>
      <c r="H6049" t="s">
        <v>17</v>
      </c>
      <c r="I6049" t="str">
        <f>"062805004298"</f>
        <v>062805004298</v>
      </c>
    </row>
    <row r="6050" spans="1:9" x14ac:dyDescent="0.25">
      <c r="A6050" t="s">
        <v>5269</v>
      </c>
      <c r="B6050" t="s">
        <v>13</v>
      </c>
      <c r="C6050" t="s">
        <v>14</v>
      </c>
      <c r="D6050" t="s">
        <v>14</v>
      </c>
      <c r="E6050" t="s">
        <v>17</v>
      </c>
      <c r="F6050" t="s">
        <v>14</v>
      </c>
      <c r="G6050" t="s">
        <v>14</v>
      </c>
      <c r="H6050" t="s">
        <v>17</v>
      </c>
      <c r="I6050" t="str">
        <f>"062871004462"</f>
        <v>062871004462</v>
      </c>
    </row>
    <row r="6051" spans="1:9" x14ac:dyDescent="0.25">
      <c r="A6051" t="s">
        <v>5270</v>
      </c>
      <c r="B6051" t="s">
        <v>13</v>
      </c>
      <c r="C6051">
        <v>34</v>
      </c>
      <c r="D6051">
        <v>32</v>
      </c>
      <c r="E6051" t="s">
        <v>17</v>
      </c>
      <c r="F6051">
        <v>28.21</v>
      </c>
      <c r="G6051">
        <v>27.94</v>
      </c>
      <c r="H6051" t="s">
        <v>17</v>
      </c>
      <c r="I6051" t="str">
        <f>"069113512262"</f>
        <v>069113512262</v>
      </c>
    </row>
    <row r="6052" spans="1:9" x14ac:dyDescent="0.25">
      <c r="A6052" t="s">
        <v>5271</v>
      </c>
      <c r="B6052" t="s">
        <v>13</v>
      </c>
      <c r="C6052">
        <v>17.5</v>
      </c>
      <c r="D6052" t="s">
        <v>14</v>
      </c>
      <c r="E6052" t="s">
        <v>14</v>
      </c>
      <c r="F6052">
        <v>17.2</v>
      </c>
      <c r="G6052" t="s">
        <v>14</v>
      </c>
      <c r="H6052" t="s">
        <v>14</v>
      </c>
      <c r="I6052" t="str">
        <f>"060177013107"</f>
        <v>060177013107</v>
      </c>
    </row>
    <row r="6053" spans="1:9" x14ac:dyDescent="0.25">
      <c r="A6053" t="s">
        <v>5272</v>
      </c>
      <c r="B6053" t="s">
        <v>13</v>
      </c>
      <c r="C6053">
        <v>19</v>
      </c>
      <c r="D6053">
        <v>19</v>
      </c>
      <c r="E6053" t="s">
        <v>17</v>
      </c>
      <c r="F6053">
        <v>22.89</v>
      </c>
      <c r="G6053">
        <v>23.21</v>
      </c>
      <c r="H6053" t="s">
        <v>17</v>
      </c>
      <c r="I6053" t="str">
        <f>"062271003174"</f>
        <v>062271003174</v>
      </c>
    </row>
    <row r="6054" spans="1:9" x14ac:dyDescent="0.25">
      <c r="A6054" t="s">
        <v>5273</v>
      </c>
      <c r="B6054" t="s">
        <v>13</v>
      </c>
      <c r="C6054">
        <v>15</v>
      </c>
      <c r="D6054">
        <v>15</v>
      </c>
      <c r="E6054" t="s">
        <v>17</v>
      </c>
      <c r="F6054">
        <v>21.6</v>
      </c>
      <c r="G6054">
        <v>22.8</v>
      </c>
      <c r="H6054" t="s">
        <v>17</v>
      </c>
      <c r="I6054" t="str">
        <f>"062271003175"</f>
        <v>062271003175</v>
      </c>
    </row>
    <row r="6055" spans="1:9" x14ac:dyDescent="0.25">
      <c r="A6055" t="s">
        <v>5274</v>
      </c>
      <c r="B6055" t="s">
        <v>13</v>
      </c>
      <c r="C6055">
        <v>27</v>
      </c>
      <c r="D6055">
        <v>26</v>
      </c>
      <c r="E6055" t="s">
        <v>17</v>
      </c>
      <c r="F6055">
        <v>27.07</v>
      </c>
      <c r="G6055">
        <v>27</v>
      </c>
      <c r="H6055" t="s">
        <v>17</v>
      </c>
      <c r="I6055" t="str">
        <f>"061455001751"</f>
        <v>061455001751</v>
      </c>
    </row>
    <row r="6056" spans="1:9" x14ac:dyDescent="0.25">
      <c r="A6056" t="s">
        <v>5275</v>
      </c>
      <c r="B6056" t="s">
        <v>13</v>
      </c>
      <c r="C6056">
        <v>144.15</v>
      </c>
      <c r="D6056">
        <v>143.85</v>
      </c>
      <c r="E6056" t="s">
        <v>17</v>
      </c>
      <c r="F6056">
        <v>23.11</v>
      </c>
      <c r="G6056">
        <v>23.96</v>
      </c>
      <c r="H6056" t="s">
        <v>17</v>
      </c>
      <c r="I6056" t="str">
        <f>"060444000402"</f>
        <v>060444000402</v>
      </c>
    </row>
    <row r="6057" spans="1:9" x14ac:dyDescent="0.25">
      <c r="A6057" t="s">
        <v>5276</v>
      </c>
      <c r="B6057" t="s">
        <v>13</v>
      </c>
      <c r="C6057">
        <v>21.8</v>
      </c>
      <c r="D6057">
        <v>23.6</v>
      </c>
      <c r="E6057" t="s">
        <v>17</v>
      </c>
      <c r="F6057">
        <v>27.25</v>
      </c>
      <c r="G6057">
        <v>24.96</v>
      </c>
      <c r="H6057" t="s">
        <v>17</v>
      </c>
      <c r="I6057" t="str">
        <f>"062532003778"</f>
        <v>062532003778</v>
      </c>
    </row>
    <row r="6058" spans="1:9" x14ac:dyDescent="0.25">
      <c r="A6058" t="s">
        <v>5277</v>
      </c>
      <c r="B6058" t="s">
        <v>13</v>
      </c>
      <c r="C6058">
        <v>27</v>
      </c>
      <c r="D6058">
        <v>26</v>
      </c>
      <c r="E6058" t="s">
        <v>17</v>
      </c>
      <c r="F6058">
        <v>26.96</v>
      </c>
      <c r="G6058">
        <v>29.42</v>
      </c>
      <c r="H6058" t="s">
        <v>17</v>
      </c>
      <c r="I6058" t="str">
        <f>"060962000990"</f>
        <v>060962000990</v>
      </c>
    </row>
    <row r="6059" spans="1:9" x14ac:dyDescent="0.25">
      <c r="A6059" t="s">
        <v>5278</v>
      </c>
      <c r="B6059" t="s">
        <v>13</v>
      </c>
      <c r="C6059">
        <v>47.76</v>
      </c>
      <c r="D6059">
        <v>51.56</v>
      </c>
      <c r="E6059" t="s">
        <v>17</v>
      </c>
      <c r="F6059">
        <v>26.78</v>
      </c>
      <c r="G6059">
        <v>24.73</v>
      </c>
      <c r="H6059" t="s">
        <v>17</v>
      </c>
      <c r="I6059" t="str">
        <f>"062271010889"</f>
        <v>062271010889</v>
      </c>
    </row>
    <row r="6060" spans="1:9" x14ac:dyDescent="0.25">
      <c r="A6060" t="s">
        <v>5279</v>
      </c>
      <c r="B6060" t="s">
        <v>13</v>
      </c>
      <c r="C6060">
        <v>21</v>
      </c>
      <c r="D6060">
        <v>20</v>
      </c>
      <c r="E6060" t="s">
        <v>17</v>
      </c>
      <c r="F6060">
        <v>22.57</v>
      </c>
      <c r="G6060">
        <v>22.6</v>
      </c>
      <c r="H6060" t="s">
        <v>17</v>
      </c>
      <c r="I6060" t="str">
        <f>"062271010883"</f>
        <v>062271010883</v>
      </c>
    </row>
    <row r="6061" spans="1:9" x14ac:dyDescent="0.25">
      <c r="A6061" t="s">
        <v>5280</v>
      </c>
      <c r="B6061" t="s">
        <v>13</v>
      </c>
      <c r="C6061">
        <v>17.899999999999999</v>
      </c>
      <c r="D6061">
        <v>27.9</v>
      </c>
      <c r="E6061" t="s">
        <v>17</v>
      </c>
      <c r="F6061">
        <v>20</v>
      </c>
      <c r="G6061">
        <v>22.33</v>
      </c>
      <c r="H6061" t="s">
        <v>17</v>
      </c>
      <c r="I6061" t="str">
        <f>"060978001040"</f>
        <v>060978001040</v>
      </c>
    </row>
    <row r="6062" spans="1:9" x14ac:dyDescent="0.25">
      <c r="A6062" t="s">
        <v>5281</v>
      </c>
      <c r="B6062" t="s">
        <v>13</v>
      </c>
      <c r="C6062">
        <v>23.05</v>
      </c>
      <c r="D6062">
        <v>23.25</v>
      </c>
      <c r="E6062" t="s">
        <v>17</v>
      </c>
      <c r="F6062">
        <v>23.25</v>
      </c>
      <c r="G6062">
        <v>23.27</v>
      </c>
      <c r="H6062" t="s">
        <v>17</v>
      </c>
      <c r="I6062" t="str">
        <f>"061734003760"</f>
        <v>061734003760</v>
      </c>
    </row>
    <row r="6063" spans="1:9" x14ac:dyDescent="0.25">
      <c r="A6063" t="s">
        <v>5282</v>
      </c>
      <c r="B6063" t="s">
        <v>13</v>
      </c>
      <c r="C6063">
        <v>48.1</v>
      </c>
      <c r="D6063">
        <v>53.5</v>
      </c>
      <c r="E6063" t="s">
        <v>17</v>
      </c>
      <c r="F6063">
        <v>26.34</v>
      </c>
      <c r="G6063">
        <v>23.12</v>
      </c>
      <c r="H6063" t="s">
        <v>17</v>
      </c>
      <c r="I6063" t="str">
        <f>"062418003643"</f>
        <v>062418003643</v>
      </c>
    </row>
    <row r="6064" spans="1:9" x14ac:dyDescent="0.25">
      <c r="A6064" t="s">
        <v>5282</v>
      </c>
      <c r="B6064" t="s">
        <v>13</v>
      </c>
      <c r="C6064">
        <v>41</v>
      </c>
      <c r="D6064">
        <v>37.5</v>
      </c>
      <c r="E6064" t="s">
        <v>17</v>
      </c>
      <c r="F6064">
        <v>21.71</v>
      </c>
      <c r="G6064">
        <v>22.59</v>
      </c>
      <c r="H6064" t="s">
        <v>17</v>
      </c>
      <c r="I6064" t="str">
        <f>"060002209292"</f>
        <v>060002209292</v>
      </c>
    </row>
    <row r="6065" spans="1:9" x14ac:dyDescent="0.25">
      <c r="A6065" t="s">
        <v>5283</v>
      </c>
      <c r="B6065" t="s">
        <v>13</v>
      </c>
      <c r="C6065">
        <v>41.75</v>
      </c>
      <c r="D6065">
        <v>42.4</v>
      </c>
      <c r="E6065" t="s">
        <v>17</v>
      </c>
      <c r="F6065">
        <v>21.58</v>
      </c>
      <c r="G6065">
        <v>21.49</v>
      </c>
      <c r="H6065" t="s">
        <v>17</v>
      </c>
      <c r="I6065" t="str">
        <f>"061479011211"</f>
        <v>061479011211</v>
      </c>
    </row>
    <row r="6066" spans="1:9" x14ac:dyDescent="0.25">
      <c r="A6066" t="s">
        <v>5284</v>
      </c>
      <c r="B6066" t="s">
        <v>13</v>
      </c>
      <c r="C6066">
        <v>17.5</v>
      </c>
      <c r="D6066">
        <v>17.5</v>
      </c>
      <c r="E6066" t="s">
        <v>17</v>
      </c>
      <c r="F6066">
        <v>24.4</v>
      </c>
      <c r="G6066">
        <v>24.51</v>
      </c>
      <c r="H6066" t="s">
        <v>17</v>
      </c>
      <c r="I6066" t="str">
        <f>"061455001752"</f>
        <v>061455001752</v>
      </c>
    </row>
    <row r="6067" spans="1:9" x14ac:dyDescent="0.25">
      <c r="A6067" t="s">
        <v>5285</v>
      </c>
      <c r="B6067" t="s">
        <v>13</v>
      </c>
      <c r="C6067">
        <v>2.8</v>
      </c>
      <c r="D6067">
        <v>2.4</v>
      </c>
      <c r="E6067" t="s">
        <v>17</v>
      </c>
      <c r="F6067">
        <v>10.36</v>
      </c>
      <c r="G6067">
        <v>9.17</v>
      </c>
      <c r="H6067" t="s">
        <v>17</v>
      </c>
      <c r="I6067" t="str">
        <f>"069106308462"</f>
        <v>069106308462</v>
      </c>
    </row>
    <row r="6068" spans="1:9" x14ac:dyDescent="0.25">
      <c r="A6068" t="s">
        <v>5286</v>
      </c>
      <c r="B6068" t="s">
        <v>13</v>
      </c>
      <c r="C6068">
        <v>4.25</v>
      </c>
      <c r="D6068">
        <v>4.25</v>
      </c>
      <c r="E6068" t="s">
        <v>17</v>
      </c>
      <c r="F6068">
        <v>24.47</v>
      </c>
      <c r="G6068">
        <v>24.47</v>
      </c>
      <c r="H6068" t="s">
        <v>17</v>
      </c>
      <c r="I6068" t="str">
        <f>"060790009343"</f>
        <v>060790009343</v>
      </c>
    </row>
    <row r="6069" spans="1:9" x14ac:dyDescent="0.25">
      <c r="A6069" t="s">
        <v>5287</v>
      </c>
      <c r="B6069" t="s">
        <v>13</v>
      </c>
      <c r="C6069">
        <v>5.13</v>
      </c>
      <c r="D6069">
        <v>5.13</v>
      </c>
      <c r="E6069" t="s">
        <v>17</v>
      </c>
      <c r="F6069">
        <v>14.42</v>
      </c>
      <c r="G6069">
        <v>15.59</v>
      </c>
      <c r="H6069" t="s">
        <v>17</v>
      </c>
      <c r="I6069" t="str">
        <f>"062421003644"</f>
        <v>062421003644</v>
      </c>
    </row>
    <row r="6070" spans="1:9" x14ac:dyDescent="0.25">
      <c r="A6070" t="s">
        <v>5288</v>
      </c>
      <c r="B6070" t="s">
        <v>13</v>
      </c>
      <c r="C6070">
        <v>1.94</v>
      </c>
      <c r="D6070">
        <v>2.31</v>
      </c>
      <c r="E6070" t="s">
        <v>17</v>
      </c>
      <c r="F6070">
        <v>4.12</v>
      </c>
      <c r="G6070">
        <v>4.33</v>
      </c>
      <c r="H6070" t="s">
        <v>17</v>
      </c>
      <c r="I6070" t="str">
        <f>"063694006278"</f>
        <v>063694006278</v>
      </c>
    </row>
    <row r="6071" spans="1:9" x14ac:dyDescent="0.25">
      <c r="A6071" t="s">
        <v>5289</v>
      </c>
      <c r="B6071" t="s">
        <v>13</v>
      </c>
      <c r="C6071">
        <v>13.62</v>
      </c>
      <c r="D6071">
        <v>12.01</v>
      </c>
      <c r="E6071" t="s">
        <v>17</v>
      </c>
      <c r="F6071">
        <v>19.68</v>
      </c>
      <c r="G6071">
        <v>20.57</v>
      </c>
      <c r="H6071" t="s">
        <v>17</v>
      </c>
      <c r="I6071" t="str">
        <f>"062805011555"</f>
        <v>062805011555</v>
      </c>
    </row>
    <row r="6072" spans="1:9" x14ac:dyDescent="0.25">
      <c r="A6072" t="s">
        <v>5290</v>
      </c>
      <c r="B6072" t="s">
        <v>13</v>
      </c>
      <c r="C6072">
        <v>13</v>
      </c>
      <c r="D6072">
        <v>15</v>
      </c>
      <c r="E6072" t="s">
        <v>17</v>
      </c>
      <c r="F6072">
        <v>21.23</v>
      </c>
      <c r="G6072">
        <v>18.27</v>
      </c>
      <c r="H6072" t="s">
        <v>17</v>
      </c>
      <c r="I6072" t="str">
        <f>"063441005611"</f>
        <v>063441005611</v>
      </c>
    </row>
    <row r="6073" spans="1:9" x14ac:dyDescent="0.25">
      <c r="A6073" t="s">
        <v>5291</v>
      </c>
      <c r="B6073" t="s">
        <v>13</v>
      </c>
      <c r="C6073">
        <v>17</v>
      </c>
      <c r="D6073">
        <v>17</v>
      </c>
      <c r="E6073" t="s">
        <v>17</v>
      </c>
      <c r="F6073">
        <v>26.71</v>
      </c>
      <c r="G6073">
        <v>27.65</v>
      </c>
      <c r="H6073" t="s">
        <v>17</v>
      </c>
      <c r="I6073" t="str">
        <f>"061970002371"</f>
        <v>061970002371</v>
      </c>
    </row>
    <row r="6074" spans="1:9" x14ac:dyDescent="0.25">
      <c r="A6074" t="s">
        <v>5292</v>
      </c>
      <c r="B6074" t="s">
        <v>13</v>
      </c>
      <c r="C6074">
        <v>15.5</v>
      </c>
      <c r="D6074">
        <v>17.5</v>
      </c>
      <c r="E6074" t="s">
        <v>17</v>
      </c>
      <c r="F6074">
        <v>18.84</v>
      </c>
      <c r="G6074">
        <v>17.09</v>
      </c>
      <c r="H6074" t="s">
        <v>17</v>
      </c>
      <c r="I6074" t="str">
        <f>"063023004719"</f>
        <v>063023004719</v>
      </c>
    </row>
    <row r="6075" spans="1:9" x14ac:dyDescent="0.25">
      <c r="A6075" t="s">
        <v>5293</v>
      </c>
      <c r="B6075" t="s">
        <v>13</v>
      </c>
      <c r="C6075">
        <v>53.4</v>
      </c>
      <c r="D6075">
        <v>53.55</v>
      </c>
      <c r="E6075" t="s">
        <v>17</v>
      </c>
      <c r="F6075">
        <v>26.42</v>
      </c>
      <c r="G6075">
        <v>26.39</v>
      </c>
      <c r="H6075" t="s">
        <v>17</v>
      </c>
      <c r="I6075" t="str">
        <f>"063531005997"</f>
        <v>063531005997</v>
      </c>
    </row>
    <row r="6076" spans="1:9" x14ac:dyDescent="0.25">
      <c r="A6076" t="s">
        <v>5294</v>
      </c>
      <c r="B6076" t="s">
        <v>13</v>
      </c>
      <c r="C6076">
        <v>40.700000000000003</v>
      </c>
      <c r="D6076">
        <v>36.909999999999997</v>
      </c>
      <c r="E6076" t="s">
        <v>17</v>
      </c>
      <c r="F6076">
        <v>18.920000000000002</v>
      </c>
      <c r="G6076">
        <v>21.43</v>
      </c>
      <c r="H6076" t="s">
        <v>17</v>
      </c>
      <c r="I6076" t="str">
        <f>"062423007315"</f>
        <v>062423007315</v>
      </c>
    </row>
    <row r="6077" spans="1:9" x14ac:dyDescent="0.25">
      <c r="A6077" t="s">
        <v>5295</v>
      </c>
      <c r="B6077" t="s">
        <v>13</v>
      </c>
      <c r="C6077" t="str">
        <f>"0.80"</f>
        <v>0.80</v>
      </c>
      <c r="D6077" t="str">
        <f>"0.60"</f>
        <v>0.60</v>
      </c>
      <c r="E6077" t="s">
        <v>17</v>
      </c>
      <c r="F6077">
        <v>23.75</v>
      </c>
      <c r="G6077">
        <v>46.67</v>
      </c>
      <c r="H6077" t="s">
        <v>17</v>
      </c>
      <c r="I6077" t="str">
        <f>"062423007779"</f>
        <v>062423007779</v>
      </c>
    </row>
    <row r="6078" spans="1:9" x14ac:dyDescent="0.25">
      <c r="A6078" t="s">
        <v>5296</v>
      </c>
      <c r="B6078" t="s">
        <v>13</v>
      </c>
      <c r="C6078">
        <v>32.71</v>
      </c>
      <c r="D6078">
        <v>29.5</v>
      </c>
      <c r="E6078" t="s">
        <v>17</v>
      </c>
      <c r="F6078">
        <v>21.86</v>
      </c>
      <c r="G6078">
        <v>22.95</v>
      </c>
      <c r="H6078" t="s">
        <v>17</v>
      </c>
      <c r="I6078" t="str">
        <f>"062423008898"</f>
        <v>062423008898</v>
      </c>
    </row>
    <row r="6079" spans="1:9" x14ac:dyDescent="0.25">
      <c r="A6079" t="s">
        <v>5297</v>
      </c>
      <c r="B6079" t="s">
        <v>13</v>
      </c>
      <c r="C6079">
        <v>7</v>
      </c>
      <c r="D6079">
        <v>6.93</v>
      </c>
      <c r="E6079" t="s">
        <v>17</v>
      </c>
      <c r="F6079">
        <v>21.71</v>
      </c>
      <c r="G6079">
        <v>24.1</v>
      </c>
      <c r="H6079" t="s">
        <v>17</v>
      </c>
      <c r="I6079" t="str">
        <f>"063432005339"</f>
        <v>063432005339</v>
      </c>
    </row>
    <row r="6080" spans="1:9" x14ac:dyDescent="0.25">
      <c r="A6080" t="s">
        <v>5298</v>
      </c>
      <c r="B6080" t="s">
        <v>13</v>
      </c>
      <c r="C6080">
        <v>38.5</v>
      </c>
      <c r="D6080">
        <v>38.5</v>
      </c>
      <c r="E6080" t="s">
        <v>17</v>
      </c>
      <c r="F6080">
        <v>22.88</v>
      </c>
      <c r="G6080">
        <v>22.68</v>
      </c>
      <c r="H6080" t="s">
        <v>17</v>
      </c>
      <c r="I6080" t="str">
        <f>"061605011210"</f>
        <v>061605011210</v>
      </c>
    </row>
    <row r="6081" spans="1:9" x14ac:dyDescent="0.25">
      <c r="A6081" t="s">
        <v>5299</v>
      </c>
      <c r="B6081" t="s">
        <v>13</v>
      </c>
      <c r="C6081">
        <v>17</v>
      </c>
      <c r="D6081">
        <v>16</v>
      </c>
      <c r="E6081" t="s">
        <v>17</v>
      </c>
      <c r="F6081">
        <v>24.29</v>
      </c>
      <c r="G6081">
        <v>25.44</v>
      </c>
      <c r="H6081" t="s">
        <v>17</v>
      </c>
      <c r="I6081" t="str">
        <f>"063573006110"</f>
        <v>063573006110</v>
      </c>
    </row>
    <row r="6082" spans="1:9" x14ac:dyDescent="0.25">
      <c r="A6082" t="s">
        <v>5300</v>
      </c>
      <c r="B6082" t="s">
        <v>13</v>
      </c>
      <c r="C6082">
        <v>44.7</v>
      </c>
      <c r="D6082">
        <v>46.2</v>
      </c>
      <c r="E6082" t="s">
        <v>17</v>
      </c>
      <c r="F6082">
        <v>27.23</v>
      </c>
      <c r="G6082">
        <v>26.88</v>
      </c>
      <c r="H6082" t="s">
        <v>17</v>
      </c>
      <c r="I6082" t="str">
        <f>"062994010533"</f>
        <v>062994010533</v>
      </c>
    </row>
    <row r="6083" spans="1:9" x14ac:dyDescent="0.25">
      <c r="A6083" t="s">
        <v>5301</v>
      </c>
      <c r="B6083" t="s">
        <v>13</v>
      </c>
      <c r="C6083">
        <v>30</v>
      </c>
      <c r="D6083">
        <v>32</v>
      </c>
      <c r="E6083" t="s">
        <v>17</v>
      </c>
      <c r="F6083">
        <v>25.5</v>
      </c>
      <c r="G6083">
        <v>24.16</v>
      </c>
      <c r="H6083" t="s">
        <v>17</v>
      </c>
      <c r="I6083" t="str">
        <f>"062271003177"</f>
        <v>062271003177</v>
      </c>
    </row>
    <row r="6084" spans="1:9" x14ac:dyDescent="0.25">
      <c r="A6084" t="s">
        <v>5302</v>
      </c>
      <c r="B6084" t="s">
        <v>13</v>
      </c>
      <c r="C6084">
        <v>29</v>
      </c>
      <c r="D6084">
        <v>23</v>
      </c>
      <c r="E6084" t="s">
        <v>17</v>
      </c>
      <c r="F6084">
        <v>16.72</v>
      </c>
      <c r="G6084">
        <v>20</v>
      </c>
      <c r="H6084" t="s">
        <v>17</v>
      </c>
      <c r="I6084" t="str">
        <f>"063570006096"</f>
        <v>063570006096</v>
      </c>
    </row>
    <row r="6085" spans="1:9" x14ac:dyDescent="0.25">
      <c r="A6085" t="s">
        <v>5302</v>
      </c>
      <c r="B6085" t="s">
        <v>13</v>
      </c>
      <c r="C6085">
        <v>21.6</v>
      </c>
      <c r="D6085">
        <v>24.2</v>
      </c>
      <c r="E6085" t="s">
        <v>17</v>
      </c>
      <c r="F6085">
        <v>28.8</v>
      </c>
      <c r="G6085">
        <v>27.77</v>
      </c>
      <c r="H6085" t="s">
        <v>17</v>
      </c>
      <c r="I6085" t="str">
        <f>"063442500572"</f>
        <v>063442500572</v>
      </c>
    </row>
    <row r="6086" spans="1:9" x14ac:dyDescent="0.25">
      <c r="A6086" t="s">
        <v>5302</v>
      </c>
      <c r="B6086" t="s">
        <v>13</v>
      </c>
      <c r="C6086">
        <v>31</v>
      </c>
      <c r="D6086">
        <v>31.5</v>
      </c>
      <c r="E6086" t="s">
        <v>17</v>
      </c>
      <c r="F6086">
        <v>29.52</v>
      </c>
      <c r="G6086">
        <v>28.6</v>
      </c>
      <c r="H6086" t="s">
        <v>17</v>
      </c>
      <c r="I6086" t="str">
        <f>"060797009346"</f>
        <v>060797009346</v>
      </c>
    </row>
    <row r="6087" spans="1:9" x14ac:dyDescent="0.25">
      <c r="A6087" t="s">
        <v>5302</v>
      </c>
      <c r="B6087" t="s">
        <v>13</v>
      </c>
      <c r="C6087">
        <v>21.5</v>
      </c>
      <c r="D6087">
        <v>21</v>
      </c>
      <c r="E6087" t="s">
        <v>17</v>
      </c>
      <c r="F6087">
        <v>20.7</v>
      </c>
      <c r="G6087">
        <v>17.670000000000002</v>
      </c>
      <c r="H6087" t="s">
        <v>17</v>
      </c>
      <c r="I6087" t="str">
        <f>"060962000991"</f>
        <v>060962000991</v>
      </c>
    </row>
    <row r="6088" spans="1:9" x14ac:dyDescent="0.25">
      <c r="A6088" t="s">
        <v>5302</v>
      </c>
      <c r="B6088" t="s">
        <v>13</v>
      </c>
      <c r="C6088">
        <v>25</v>
      </c>
      <c r="D6088">
        <v>27.6</v>
      </c>
      <c r="E6088" t="s">
        <v>17</v>
      </c>
      <c r="F6088">
        <v>28.6</v>
      </c>
      <c r="G6088">
        <v>28.01</v>
      </c>
      <c r="H6088" t="s">
        <v>17</v>
      </c>
      <c r="I6088" t="str">
        <f>"062250002744"</f>
        <v>062250002744</v>
      </c>
    </row>
    <row r="6089" spans="1:9" x14ac:dyDescent="0.25">
      <c r="A6089" t="s">
        <v>5302</v>
      </c>
      <c r="B6089" t="s">
        <v>13</v>
      </c>
      <c r="C6089">
        <v>37.46</v>
      </c>
      <c r="D6089">
        <v>38.36</v>
      </c>
      <c r="E6089" t="s">
        <v>17</v>
      </c>
      <c r="F6089">
        <v>22.21</v>
      </c>
      <c r="G6089">
        <v>19.579999999999998</v>
      </c>
      <c r="H6089" t="s">
        <v>17</v>
      </c>
      <c r="I6089" t="str">
        <f>"060363000308"</f>
        <v>060363000308</v>
      </c>
    </row>
    <row r="6090" spans="1:9" x14ac:dyDescent="0.25">
      <c r="A6090" t="s">
        <v>5302</v>
      </c>
      <c r="B6090" t="s">
        <v>13</v>
      </c>
      <c r="C6090">
        <v>17</v>
      </c>
      <c r="D6090">
        <v>17</v>
      </c>
      <c r="E6090" t="s">
        <v>17</v>
      </c>
      <c r="F6090">
        <v>20.059999999999999</v>
      </c>
      <c r="G6090">
        <v>19.41</v>
      </c>
      <c r="H6090" t="s">
        <v>17</v>
      </c>
      <c r="I6090" t="str">
        <f>"060005102012"</f>
        <v>060005102012</v>
      </c>
    </row>
    <row r="6091" spans="1:9" x14ac:dyDescent="0.25">
      <c r="A6091" t="s">
        <v>5302</v>
      </c>
      <c r="B6091" t="s">
        <v>13</v>
      </c>
      <c r="C6091">
        <v>15.5</v>
      </c>
      <c r="D6091">
        <v>16.5</v>
      </c>
      <c r="E6091" t="s">
        <v>17</v>
      </c>
      <c r="F6091">
        <v>26.77</v>
      </c>
      <c r="G6091">
        <v>27.15</v>
      </c>
      <c r="H6091" t="s">
        <v>17</v>
      </c>
      <c r="I6091" t="str">
        <f>"061203001338"</f>
        <v>061203001338</v>
      </c>
    </row>
    <row r="6092" spans="1:9" x14ac:dyDescent="0.25">
      <c r="A6092" t="s">
        <v>5302</v>
      </c>
      <c r="B6092" t="s">
        <v>13</v>
      </c>
      <c r="C6092">
        <v>15</v>
      </c>
      <c r="D6092">
        <v>13.58</v>
      </c>
      <c r="E6092" t="s">
        <v>17</v>
      </c>
      <c r="F6092">
        <v>26.13</v>
      </c>
      <c r="G6092">
        <v>27.84</v>
      </c>
      <c r="H6092" t="s">
        <v>17</v>
      </c>
      <c r="I6092" t="str">
        <f>"063855006472"</f>
        <v>063855006472</v>
      </c>
    </row>
    <row r="6093" spans="1:9" x14ac:dyDescent="0.25">
      <c r="A6093" t="s">
        <v>5302</v>
      </c>
      <c r="B6093" t="s">
        <v>13</v>
      </c>
      <c r="C6093">
        <v>19.170000000000002</v>
      </c>
      <c r="D6093">
        <v>20.63</v>
      </c>
      <c r="E6093" t="s">
        <v>17</v>
      </c>
      <c r="F6093">
        <v>23.63</v>
      </c>
      <c r="G6093">
        <v>22.2</v>
      </c>
      <c r="H6093" t="s">
        <v>17</v>
      </c>
      <c r="I6093" t="str">
        <f>"063468005837"</f>
        <v>063468005837</v>
      </c>
    </row>
    <row r="6094" spans="1:9" x14ac:dyDescent="0.25">
      <c r="A6094" t="s">
        <v>5302</v>
      </c>
      <c r="B6094" t="s">
        <v>13</v>
      </c>
      <c r="C6094">
        <v>20.309999999999999</v>
      </c>
      <c r="D6094">
        <v>21.5</v>
      </c>
      <c r="E6094" t="s">
        <v>17</v>
      </c>
      <c r="F6094">
        <v>23.09</v>
      </c>
      <c r="G6094">
        <v>20.329999999999998</v>
      </c>
      <c r="H6094" t="s">
        <v>17</v>
      </c>
      <c r="I6094" t="str">
        <f>"063432005516"</f>
        <v>063432005516</v>
      </c>
    </row>
    <row r="6095" spans="1:9" x14ac:dyDescent="0.25">
      <c r="A6095" t="s">
        <v>5302</v>
      </c>
      <c r="B6095" t="s">
        <v>13</v>
      </c>
      <c r="C6095">
        <v>17.059999999999999</v>
      </c>
      <c r="D6095">
        <v>16.559999999999999</v>
      </c>
      <c r="E6095" t="s">
        <v>17</v>
      </c>
      <c r="F6095">
        <v>23.21</v>
      </c>
      <c r="G6095">
        <v>24.15</v>
      </c>
      <c r="H6095" t="s">
        <v>17</v>
      </c>
      <c r="I6095" t="str">
        <f>"063207004941"</f>
        <v>063207004941</v>
      </c>
    </row>
    <row r="6096" spans="1:9" x14ac:dyDescent="0.25">
      <c r="A6096" t="s">
        <v>5302</v>
      </c>
      <c r="B6096" t="s">
        <v>13</v>
      </c>
      <c r="C6096">
        <v>17.5</v>
      </c>
      <c r="D6096">
        <v>14.5</v>
      </c>
      <c r="E6096" t="s">
        <v>17</v>
      </c>
      <c r="F6096">
        <v>12.69</v>
      </c>
      <c r="G6096">
        <v>13.52</v>
      </c>
      <c r="H6096" t="s">
        <v>17</v>
      </c>
      <c r="I6096" t="str">
        <f>"063023004720"</f>
        <v>063023004720</v>
      </c>
    </row>
    <row r="6097" spans="1:9" x14ac:dyDescent="0.25">
      <c r="A6097" t="s">
        <v>5302</v>
      </c>
      <c r="B6097" t="s">
        <v>13</v>
      </c>
      <c r="C6097">
        <v>16.899999999999999</v>
      </c>
      <c r="D6097">
        <v>17</v>
      </c>
      <c r="E6097" t="s">
        <v>17</v>
      </c>
      <c r="F6097">
        <v>25.5</v>
      </c>
      <c r="G6097">
        <v>25.88</v>
      </c>
      <c r="H6097" t="s">
        <v>17</v>
      </c>
      <c r="I6097" t="str">
        <f>"060004707387"</f>
        <v>060004707387</v>
      </c>
    </row>
    <row r="6098" spans="1:9" x14ac:dyDescent="0.25">
      <c r="A6098" t="s">
        <v>5302</v>
      </c>
      <c r="B6098" t="s">
        <v>13</v>
      </c>
      <c r="C6098">
        <v>25.75</v>
      </c>
      <c r="D6098">
        <v>28.87</v>
      </c>
      <c r="E6098" t="s">
        <v>17</v>
      </c>
      <c r="F6098">
        <v>30.99</v>
      </c>
      <c r="G6098">
        <v>26.53</v>
      </c>
      <c r="H6098" t="s">
        <v>17</v>
      </c>
      <c r="I6098" t="str">
        <f>"063801006424"</f>
        <v>063801006424</v>
      </c>
    </row>
    <row r="6099" spans="1:9" x14ac:dyDescent="0.25">
      <c r="A6099" t="s">
        <v>5302</v>
      </c>
      <c r="B6099" t="s">
        <v>13</v>
      </c>
      <c r="C6099">
        <v>18.600000000000001</v>
      </c>
      <c r="D6099">
        <v>18</v>
      </c>
      <c r="E6099" t="s">
        <v>17</v>
      </c>
      <c r="F6099">
        <v>19.95</v>
      </c>
      <c r="G6099">
        <v>19.059999999999999</v>
      </c>
      <c r="H6099" t="s">
        <v>17</v>
      </c>
      <c r="I6099" t="str">
        <f>"063441005647"</f>
        <v>063441005647</v>
      </c>
    </row>
    <row r="6100" spans="1:9" x14ac:dyDescent="0.25">
      <c r="A6100" t="s">
        <v>5302</v>
      </c>
      <c r="B6100" t="s">
        <v>13</v>
      </c>
      <c r="C6100">
        <v>21.08</v>
      </c>
      <c r="D6100">
        <v>19.73</v>
      </c>
      <c r="E6100" t="s">
        <v>17</v>
      </c>
      <c r="F6100">
        <v>18.309999999999999</v>
      </c>
      <c r="G6100">
        <v>19.46</v>
      </c>
      <c r="H6100" t="s">
        <v>17</v>
      </c>
      <c r="I6100" t="str">
        <f>"060648000584"</f>
        <v>060648000584</v>
      </c>
    </row>
    <row r="6101" spans="1:9" x14ac:dyDescent="0.25">
      <c r="A6101" t="s">
        <v>5302</v>
      </c>
      <c r="B6101" t="s">
        <v>13</v>
      </c>
      <c r="C6101" t="s">
        <v>14</v>
      </c>
      <c r="D6101" t="s">
        <v>14</v>
      </c>
      <c r="E6101" t="s">
        <v>17</v>
      </c>
      <c r="F6101" t="s">
        <v>14</v>
      </c>
      <c r="G6101" t="s">
        <v>14</v>
      </c>
      <c r="H6101" t="s">
        <v>17</v>
      </c>
      <c r="I6101" t="str">
        <f>"063536008980"</f>
        <v>063536008980</v>
      </c>
    </row>
    <row r="6102" spans="1:9" x14ac:dyDescent="0.25">
      <c r="A6102" t="s">
        <v>5302</v>
      </c>
      <c r="B6102" t="s">
        <v>13</v>
      </c>
      <c r="C6102">
        <v>19</v>
      </c>
      <c r="D6102">
        <v>21</v>
      </c>
      <c r="E6102" t="s">
        <v>17</v>
      </c>
      <c r="F6102">
        <v>24.05</v>
      </c>
      <c r="G6102">
        <v>24.76</v>
      </c>
      <c r="H6102" t="s">
        <v>17</v>
      </c>
      <c r="I6102" t="str">
        <f>"061437001649"</f>
        <v>061437001649</v>
      </c>
    </row>
    <row r="6103" spans="1:9" x14ac:dyDescent="0.25">
      <c r="A6103" t="s">
        <v>5302</v>
      </c>
      <c r="B6103" t="s">
        <v>13</v>
      </c>
      <c r="C6103">
        <v>23</v>
      </c>
      <c r="D6103">
        <v>22</v>
      </c>
      <c r="E6103" t="s">
        <v>14</v>
      </c>
      <c r="F6103">
        <v>19.260000000000002</v>
      </c>
      <c r="G6103">
        <v>19</v>
      </c>
      <c r="H6103" t="s">
        <v>14</v>
      </c>
      <c r="I6103" t="str">
        <f>"060141408980"</f>
        <v>060141408980</v>
      </c>
    </row>
    <row r="6104" spans="1:9" x14ac:dyDescent="0.25">
      <c r="A6104" t="s">
        <v>5303</v>
      </c>
      <c r="B6104" t="s">
        <v>13</v>
      </c>
      <c r="C6104">
        <v>18.8</v>
      </c>
      <c r="D6104">
        <v>18.899999999999999</v>
      </c>
      <c r="E6104" t="s">
        <v>17</v>
      </c>
      <c r="F6104">
        <v>21.54</v>
      </c>
      <c r="G6104">
        <v>21.53</v>
      </c>
      <c r="H6104" t="s">
        <v>17</v>
      </c>
      <c r="I6104" t="str">
        <f>"063213004971"</f>
        <v>063213004971</v>
      </c>
    </row>
    <row r="6105" spans="1:9" x14ac:dyDescent="0.25">
      <c r="A6105" t="s">
        <v>5304</v>
      </c>
      <c r="B6105" t="s">
        <v>13</v>
      </c>
      <c r="C6105">
        <v>30.53</v>
      </c>
      <c r="D6105">
        <v>31.6</v>
      </c>
      <c r="E6105" t="s">
        <v>17</v>
      </c>
      <c r="F6105">
        <v>20.010000000000002</v>
      </c>
      <c r="G6105">
        <v>19.559999999999999</v>
      </c>
      <c r="H6105" t="s">
        <v>17</v>
      </c>
      <c r="I6105" t="str">
        <f>"060303000239"</f>
        <v>060303000239</v>
      </c>
    </row>
    <row r="6106" spans="1:9" x14ac:dyDescent="0.25">
      <c r="A6106" t="s">
        <v>5305</v>
      </c>
      <c r="B6106" t="s">
        <v>13</v>
      </c>
      <c r="C6106">
        <v>18.87</v>
      </c>
      <c r="D6106">
        <v>19.11</v>
      </c>
      <c r="E6106" t="s">
        <v>17</v>
      </c>
      <c r="F6106">
        <v>19.5</v>
      </c>
      <c r="G6106">
        <v>19.68</v>
      </c>
      <c r="H6106" t="s">
        <v>17</v>
      </c>
      <c r="I6106" t="str">
        <f>"062430003651"</f>
        <v>062430003651</v>
      </c>
    </row>
    <row r="6107" spans="1:9" x14ac:dyDescent="0.25">
      <c r="A6107" t="s">
        <v>5306</v>
      </c>
      <c r="B6107" t="s">
        <v>13</v>
      </c>
      <c r="C6107">
        <v>24</v>
      </c>
      <c r="D6107">
        <v>27</v>
      </c>
      <c r="E6107" t="s">
        <v>17</v>
      </c>
      <c r="F6107">
        <v>27.88</v>
      </c>
      <c r="G6107">
        <v>20.37</v>
      </c>
      <c r="H6107" t="s">
        <v>17</v>
      </c>
      <c r="I6107" t="str">
        <f>"062922004511"</f>
        <v>062922004511</v>
      </c>
    </row>
    <row r="6108" spans="1:9" x14ac:dyDescent="0.25">
      <c r="A6108" t="s">
        <v>5307</v>
      </c>
      <c r="B6108" t="s">
        <v>13</v>
      </c>
      <c r="C6108">
        <v>17</v>
      </c>
      <c r="D6108">
        <v>17</v>
      </c>
      <c r="E6108" t="s">
        <v>17</v>
      </c>
      <c r="F6108">
        <v>29.94</v>
      </c>
      <c r="G6108">
        <v>30.18</v>
      </c>
      <c r="H6108" t="s">
        <v>17</v>
      </c>
      <c r="I6108" t="str">
        <f>"063579010562"</f>
        <v>063579010562</v>
      </c>
    </row>
    <row r="6109" spans="1:9" x14ac:dyDescent="0.25">
      <c r="A6109" t="s">
        <v>5308</v>
      </c>
      <c r="B6109" t="s">
        <v>13</v>
      </c>
      <c r="C6109">
        <v>5</v>
      </c>
      <c r="D6109">
        <v>5</v>
      </c>
      <c r="E6109" t="s">
        <v>17</v>
      </c>
      <c r="F6109">
        <v>14.4</v>
      </c>
      <c r="G6109">
        <v>14.8</v>
      </c>
      <c r="H6109" t="s">
        <v>17</v>
      </c>
      <c r="I6109" t="str">
        <f>"062433003653"</f>
        <v>062433003653</v>
      </c>
    </row>
    <row r="6110" spans="1:9" x14ac:dyDescent="0.25">
      <c r="A6110" t="s">
        <v>5309</v>
      </c>
      <c r="B6110" t="s">
        <v>13</v>
      </c>
      <c r="C6110">
        <v>83.82</v>
      </c>
      <c r="D6110">
        <v>96.14</v>
      </c>
      <c r="E6110" t="s">
        <v>17</v>
      </c>
      <c r="F6110">
        <v>25.08</v>
      </c>
      <c r="G6110">
        <v>24.52</v>
      </c>
      <c r="H6110" t="s">
        <v>17</v>
      </c>
      <c r="I6110" t="str">
        <f>"061455001754"</f>
        <v>061455001754</v>
      </c>
    </row>
    <row r="6111" spans="1:9" x14ac:dyDescent="0.25">
      <c r="A6111" t="s">
        <v>5310</v>
      </c>
      <c r="B6111" t="s">
        <v>13</v>
      </c>
      <c r="C6111" t="s">
        <v>17</v>
      </c>
      <c r="D6111" t="s">
        <v>14</v>
      </c>
      <c r="E6111" t="s">
        <v>14</v>
      </c>
      <c r="F6111" t="s">
        <v>17</v>
      </c>
      <c r="G6111" t="s">
        <v>14</v>
      </c>
      <c r="H6111" t="s">
        <v>14</v>
      </c>
      <c r="I6111" t="str">
        <f>"063441013456"</f>
        <v>063441013456</v>
      </c>
    </row>
    <row r="6112" spans="1:9" x14ac:dyDescent="0.25">
      <c r="A6112" t="s">
        <v>5311</v>
      </c>
      <c r="B6112" t="s">
        <v>13</v>
      </c>
      <c r="C6112">
        <v>28.13</v>
      </c>
      <c r="D6112">
        <v>27.45</v>
      </c>
      <c r="E6112" t="s">
        <v>17</v>
      </c>
      <c r="F6112">
        <v>18.66</v>
      </c>
      <c r="G6112">
        <v>20.36</v>
      </c>
      <c r="H6112" t="s">
        <v>17</v>
      </c>
      <c r="I6112" t="str">
        <f>"060837000822"</f>
        <v>060837000822</v>
      </c>
    </row>
    <row r="6113" spans="1:9" x14ac:dyDescent="0.25">
      <c r="A6113" t="s">
        <v>5312</v>
      </c>
      <c r="B6113" t="s">
        <v>13</v>
      </c>
      <c r="C6113">
        <v>39</v>
      </c>
      <c r="D6113">
        <v>40</v>
      </c>
      <c r="E6113" t="s">
        <v>17</v>
      </c>
      <c r="F6113">
        <v>22.31</v>
      </c>
      <c r="G6113">
        <v>21.3</v>
      </c>
      <c r="H6113" t="s">
        <v>17</v>
      </c>
      <c r="I6113" t="str">
        <f>"060861010377"</f>
        <v>060861010377</v>
      </c>
    </row>
    <row r="6114" spans="1:9" x14ac:dyDescent="0.25">
      <c r="A6114" t="s">
        <v>5313</v>
      </c>
      <c r="B6114" t="s">
        <v>13</v>
      </c>
      <c r="C6114">
        <v>9</v>
      </c>
      <c r="D6114">
        <v>10</v>
      </c>
      <c r="E6114" t="s">
        <v>17</v>
      </c>
      <c r="F6114">
        <v>7.33</v>
      </c>
      <c r="G6114">
        <v>6</v>
      </c>
      <c r="H6114" t="s">
        <v>17</v>
      </c>
      <c r="I6114" t="str">
        <f>"069107812626"</f>
        <v>069107812626</v>
      </c>
    </row>
    <row r="6115" spans="1:9" x14ac:dyDescent="0.25">
      <c r="A6115" t="s">
        <v>5314</v>
      </c>
      <c r="B6115" t="s">
        <v>13</v>
      </c>
      <c r="C6115">
        <v>19</v>
      </c>
      <c r="D6115">
        <v>20</v>
      </c>
      <c r="E6115" t="s">
        <v>17</v>
      </c>
      <c r="F6115">
        <v>20.58</v>
      </c>
      <c r="G6115">
        <v>21.5</v>
      </c>
      <c r="H6115" t="s">
        <v>17</v>
      </c>
      <c r="I6115" t="str">
        <f>"063023004721"</f>
        <v>063023004721</v>
      </c>
    </row>
    <row r="6116" spans="1:9" x14ac:dyDescent="0.25">
      <c r="A6116" t="s">
        <v>5315</v>
      </c>
      <c r="B6116" t="s">
        <v>13</v>
      </c>
      <c r="C6116">
        <v>21</v>
      </c>
      <c r="D6116">
        <v>22.8</v>
      </c>
      <c r="E6116" t="s">
        <v>17</v>
      </c>
      <c r="F6116">
        <v>28.86</v>
      </c>
      <c r="G6116">
        <v>26.58</v>
      </c>
      <c r="H6116" t="s">
        <v>17</v>
      </c>
      <c r="I6116" t="str">
        <f>"062664004020"</f>
        <v>062664004020</v>
      </c>
    </row>
    <row r="6117" spans="1:9" x14ac:dyDescent="0.25">
      <c r="A6117" t="s">
        <v>5316</v>
      </c>
      <c r="B6117" t="s">
        <v>13</v>
      </c>
      <c r="C6117">
        <v>33.090000000000003</v>
      </c>
      <c r="D6117">
        <v>31.29</v>
      </c>
      <c r="E6117" t="s">
        <v>17</v>
      </c>
      <c r="F6117">
        <v>28.04</v>
      </c>
      <c r="G6117">
        <v>29.05</v>
      </c>
      <c r="H6117" t="s">
        <v>17</v>
      </c>
      <c r="I6117" t="str">
        <f>"062865007195"</f>
        <v>062865007195</v>
      </c>
    </row>
    <row r="6118" spans="1:9" x14ac:dyDescent="0.25">
      <c r="A6118" t="s">
        <v>5317</v>
      </c>
      <c r="B6118" t="s">
        <v>13</v>
      </c>
      <c r="C6118">
        <v>35.159999999999997</v>
      </c>
      <c r="D6118">
        <v>34</v>
      </c>
      <c r="E6118" t="s">
        <v>17</v>
      </c>
      <c r="F6118">
        <v>24.4</v>
      </c>
      <c r="G6118">
        <v>25.09</v>
      </c>
      <c r="H6118" t="s">
        <v>17</v>
      </c>
      <c r="I6118" t="str">
        <f>"062436003654"</f>
        <v>062436003654</v>
      </c>
    </row>
    <row r="6119" spans="1:9" x14ac:dyDescent="0.25">
      <c r="A6119" t="s">
        <v>5318</v>
      </c>
      <c r="B6119" t="s">
        <v>13</v>
      </c>
      <c r="C6119">
        <v>31</v>
      </c>
      <c r="D6119">
        <v>33.5</v>
      </c>
      <c r="E6119" t="s">
        <v>17</v>
      </c>
      <c r="F6119">
        <v>24.1</v>
      </c>
      <c r="G6119">
        <v>24</v>
      </c>
      <c r="H6119" t="s">
        <v>17</v>
      </c>
      <c r="I6119" t="str">
        <f>"061692011164"</f>
        <v>061692011164</v>
      </c>
    </row>
    <row r="6120" spans="1:9" x14ac:dyDescent="0.25">
      <c r="A6120" t="s">
        <v>5319</v>
      </c>
      <c r="B6120" t="s">
        <v>13</v>
      </c>
      <c r="C6120">
        <v>25</v>
      </c>
      <c r="D6120">
        <v>24</v>
      </c>
      <c r="E6120" t="s">
        <v>17</v>
      </c>
      <c r="F6120">
        <v>25.92</v>
      </c>
      <c r="G6120">
        <v>25.71</v>
      </c>
      <c r="H6120" t="s">
        <v>17</v>
      </c>
      <c r="I6120" t="str">
        <f>"069113510285"</f>
        <v>069113510285</v>
      </c>
    </row>
    <row r="6121" spans="1:9" x14ac:dyDescent="0.25">
      <c r="A6121" t="s">
        <v>5320</v>
      </c>
      <c r="B6121" t="s">
        <v>13</v>
      </c>
      <c r="C6121" t="s">
        <v>14</v>
      </c>
      <c r="D6121" t="s">
        <v>14</v>
      </c>
      <c r="E6121" t="s">
        <v>17</v>
      </c>
      <c r="F6121" t="s">
        <v>14</v>
      </c>
      <c r="G6121" t="s">
        <v>14</v>
      </c>
      <c r="H6121" t="s">
        <v>17</v>
      </c>
      <c r="I6121" t="str">
        <f>"064356011214"</f>
        <v>064356011214</v>
      </c>
    </row>
    <row r="6122" spans="1:9" x14ac:dyDescent="0.25">
      <c r="A6122" t="s">
        <v>5321</v>
      </c>
      <c r="B6122" t="s">
        <v>13</v>
      </c>
      <c r="C6122">
        <v>20.5</v>
      </c>
      <c r="D6122">
        <v>20.5</v>
      </c>
      <c r="E6122" t="s">
        <v>17</v>
      </c>
      <c r="F6122">
        <v>22.49</v>
      </c>
      <c r="G6122">
        <v>21.8</v>
      </c>
      <c r="H6122" t="s">
        <v>17</v>
      </c>
      <c r="I6122" t="str">
        <f>"064179010332"</f>
        <v>064179010332</v>
      </c>
    </row>
    <row r="6123" spans="1:9" x14ac:dyDescent="0.25">
      <c r="A6123" t="s">
        <v>5322</v>
      </c>
      <c r="B6123" t="s">
        <v>13</v>
      </c>
      <c r="C6123">
        <v>16</v>
      </c>
      <c r="D6123">
        <v>16</v>
      </c>
      <c r="E6123" t="s">
        <v>17</v>
      </c>
      <c r="F6123">
        <v>28.5</v>
      </c>
      <c r="G6123">
        <v>27.56</v>
      </c>
      <c r="H6123" t="s">
        <v>17</v>
      </c>
      <c r="I6123" t="str">
        <f>"062301003510"</f>
        <v>062301003510</v>
      </c>
    </row>
    <row r="6124" spans="1:9" x14ac:dyDescent="0.25">
      <c r="A6124" t="s">
        <v>5323</v>
      </c>
      <c r="B6124" t="s">
        <v>13</v>
      </c>
      <c r="C6124">
        <v>14.2</v>
      </c>
      <c r="D6124">
        <v>13.5</v>
      </c>
      <c r="E6124" t="s">
        <v>17</v>
      </c>
      <c r="F6124">
        <v>23.24</v>
      </c>
      <c r="G6124">
        <v>23.41</v>
      </c>
      <c r="H6124" t="s">
        <v>17</v>
      </c>
      <c r="I6124" t="str">
        <f>"063492005913"</f>
        <v>063492005913</v>
      </c>
    </row>
    <row r="6125" spans="1:9" x14ac:dyDescent="0.25">
      <c r="A6125" t="s">
        <v>5324</v>
      </c>
      <c r="B6125" t="s">
        <v>13</v>
      </c>
      <c r="C6125">
        <v>54.9</v>
      </c>
      <c r="D6125">
        <v>51.94</v>
      </c>
      <c r="E6125" t="s">
        <v>17</v>
      </c>
      <c r="F6125">
        <v>16.579999999999998</v>
      </c>
      <c r="G6125">
        <v>17.48</v>
      </c>
      <c r="H6125" t="s">
        <v>17</v>
      </c>
      <c r="I6125" t="str">
        <f>"062637003956"</f>
        <v>062637003956</v>
      </c>
    </row>
    <row r="6126" spans="1:9" x14ac:dyDescent="0.25">
      <c r="A6126" t="s">
        <v>5325</v>
      </c>
      <c r="B6126" t="s">
        <v>13</v>
      </c>
      <c r="C6126">
        <v>18</v>
      </c>
      <c r="D6126">
        <v>19</v>
      </c>
      <c r="E6126" t="s">
        <v>17</v>
      </c>
      <c r="F6126">
        <v>25</v>
      </c>
      <c r="G6126">
        <v>26.32</v>
      </c>
      <c r="H6126" t="s">
        <v>17</v>
      </c>
      <c r="I6126" t="str">
        <f>"060768000735"</f>
        <v>060768000735</v>
      </c>
    </row>
    <row r="6127" spans="1:9" x14ac:dyDescent="0.25">
      <c r="A6127" t="s">
        <v>5325</v>
      </c>
      <c r="B6127" t="s">
        <v>13</v>
      </c>
      <c r="C6127">
        <v>22</v>
      </c>
      <c r="D6127">
        <v>22</v>
      </c>
      <c r="E6127" t="s">
        <v>17</v>
      </c>
      <c r="F6127">
        <v>23.86</v>
      </c>
      <c r="G6127">
        <v>23.95</v>
      </c>
      <c r="H6127" t="s">
        <v>17</v>
      </c>
      <c r="I6127" t="str">
        <f>"062136002558"</f>
        <v>062136002558</v>
      </c>
    </row>
    <row r="6128" spans="1:9" x14ac:dyDescent="0.25">
      <c r="A6128" t="s">
        <v>5326</v>
      </c>
      <c r="B6128" t="s">
        <v>13</v>
      </c>
      <c r="C6128">
        <v>23.71</v>
      </c>
      <c r="D6128">
        <v>23</v>
      </c>
      <c r="E6128" t="s">
        <v>17</v>
      </c>
      <c r="F6128">
        <v>27.96</v>
      </c>
      <c r="G6128">
        <v>27.13</v>
      </c>
      <c r="H6128" t="s">
        <v>17</v>
      </c>
      <c r="I6128" t="str">
        <f>"068450009212"</f>
        <v>068450009212</v>
      </c>
    </row>
    <row r="6129" spans="1:9" x14ac:dyDescent="0.25">
      <c r="A6129" t="s">
        <v>5327</v>
      </c>
      <c r="B6129" t="s">
        <v>13</v>
      </c>
      <c r="C6129">
        <v>11.33</v>
      </c>
      <c r="D6129">
        <v>10.18</v>
      </c>
      <c r="E6129" t="s">
        <v>17</v>
      </c>
      <c r="F6129">
        <v>29.13</v>
      </c>
      <c r="G6129">
        <v>29.67</v>
      </c>
      <c r="H6129" t="s">
        <v>17</v>
      </c>
      <c r="I6129" t="str">
        <f>"063855010230"</f>
        <v>063855010230</v>
      </c>
    </row>
    <row r="6130" spans="1:9" x14ac:dyDescent="0.25">
      <c r="A6130" t="s">
        <v>5328</v>
      </c>
      <c r="B6130" t="s">
        <v>13</v>
      </c>
      <c r="C6130">
        <v>18.3</v>
      </c>
      <c r="D6130">
        <v>21.2</v>
      </c>
      <c r="E6130" t="s">
        <v>17</v>
      </c>
      <c r="F6130">
        <v>21.26</v>
      </c>
      <c r="G6130">
        <v>18.54</v>
      </c>
      <c r="H6130" t="s">
        <v>17</v>
      </c>
      <c r="I6130" t="str">
        <f>"060438007865"</f>
        <v>060438007865</v>
      </c>
    </row>
    <row r="6131" spans="1:9" x14ac:dyDescent="0.25">
      <c r="A6131" t="s">
        <v>5329</v>
      </c>
      <c r="B6131" t="s">
        <v>13</v>
      </c>
      <c r="C6131">
        <v>1</v>
      </c>
      <c r="D6131">
        <v>1</v>
      </c>
      <c r="E6131" t="s">
        <v>17</v>
      </c>
      <c r="F6131">
        <v>4</v>
      </c>
      <c r="G6131">
        <v>2</v>
      </c>
      <c r="H6131" t="s">
        <v>17</v>
      </c>
      <c r="I6131" t="str">
        <f>"060016007168"</f>
        <v>060016007168</v>
      </c>
    </row>
    <row r="6132" spans="1:9" x14ac:dyDescent="0.25">
      <c r="A6132" t="s">
        <v>5330</v>
      </c>
      <c r="B6132" t="s">
        <v>13</v>
      </c>
      <c r="C6132">
        <v>45.7</v>
      </c>
      <c r="D6132">
        <v>43.98</v>
      </c>
      <c r="E6132" t="s">
        <v>17</v>
      </c>
      <c r="F6132">
        <v>28.88</v>
      </c>
      <c r="G6132">
        <v>29.01</v>
      </c>
      <c r="H6132" t="s">
        <v>17</v>
      </c>
      <c r="I6132" t="str">
        <f>"063153004888"</f>
        <v>063153004888</v>
      </c>
    </row>
    <row r="6133" spans="1:9" x14ac:dyDescent="0.25">
      <c r="A6133" t="s">
        <v>5331</v>
      </c>
      <c r="B6133" t="s">
        <v>13</v>
      </c>
      <c r="C6133">
        <v>14.4</v>
      </c>
      <c r="D6133">
        <v>14</v>
      </c>
      <c r="E6133" t="s">
        <v>17</v>
      </c>
      <c r="F6133">
        <v>28.75</v>
      </c>
      <c r="G6133">
        <v>27.93</v>
      </c>
      <c r="H6133" t="s">
        <v>17</v>
      </c>
      <c r="I6133" t="str">
        <f>"060000107534"</f>
        <v>060000107534</v>
      </c>
    </row>
    <row r="6134" spans="1:9" x14ac:dyDescent="0.25">
      <c r="A6134" t="s">
        <v>5332</v>
      </c>
      <c r="B6134" t="s">
        <v>13</v>
      </c>
      <c r="C6134">
        <v>16.059999999999999</v>
      </c>
      <c r="D6134">
        <v>16</v>
      </c>
      <c r="E6134" t="s">
        <v>17</v>
      </c>
      <c r="F6134">
        <v>22.79</v>
      </c>
      <c r="G6134">
        <v>22.63</v>
      </c>
      <c r="H6134" t="s">
        <v>17</v>
      </c>
      <c r="I6134" t="str">
        <f>"069104712541"</f>
        <v>069104712541</v>
      </c>
    </row>
    <row r="6135" spans="1:9" x14ac:dyDescent="0.25">
      <c r="A6135" t="s">
        <v>5333</v>
      </c>
      <c r="B6135" t="s">
        <v>13</v>
      </c>
      <c r="C6135">
        <v>19</v>
      </c>
      <c r="D6135">
        <v>20</v>
      </c>
      <c r="E6135" t="s">
        <v>17</v>
      </c>
      <c r="F6135">
        <v>24.95</v>
      </c>
      <c r="G6135">
        <v>24.9</v>
      </c>
      <c r="H6135" t="s">
        <v>17</v>
      </c>
      <c r="I6135" t="str">
        <f>"060002503575"</f>
        <v>060002503575</v>
      </c>
    </row>
    <row r="6136" spans="1:9" x14ac:dyDescent="0.25">
      <c r="A6136" t="s">
        <v>5334</v>
      </c>
      <c r="B6136" t="s">
        <v>13</v>
      </c>
      <c r="C6136">
        <v>24.8</v>
      </c>
      <c r="D6136">
        <v>25.8</v>
      </c>
      <c r="E6136" t="s">
        <v>17</v>
      </c>
      <c r="F6136">
        <v>19.149999999999999</v>
      </c>
      <c r="G6136">
        <v>18.53</v>
      </c>
      <c r="H6136" t="s">
        <v>17</v>
      </c>
      <c r="I6136" t="str">
        <f>"062439003655"</f>
        <v>062439003655</v>
      </c>
    </row>
    <row r="6137" spans="1:9" x14ac:dyDescent="0.25">
      <c r="A6137" t="s">
        <v>5334</v>
      </c>
      <c r="B6137" t="s">
        <v>13</v>
      </c>
      <c r="C6137">
        <v>27.45</v>
      </c>
      <c r="D6137">
        <v>25.4</v>
      </c>
      <c r="E6137" t="s">
        <v>17</v>
      </c>
      <c r="F6137">
        <v>22.26</v>
      </c>
      <c r="G6137">
        <v>23.39</v>
      </c>
      <c r="H6137" t="s">
        <v>17</v>
      </c>
      <c r="I6137" t="str">
        <f>"062718004094"</f>
        <v>062718004094</v>
      </c>
    </row>
    <row r="6138" spans="1:9" x14ac:dyDescent="0.25">
      <c r="A6138" t="s">
        <v>5334</v>
      </c>
      <c r="B6138" t="s">
        <v>13</v>
      </c>
      <c r="C6138">
        <v>13.5</v>
      </c>
      <c r="D6138">
        <v>12</v>
      </c>
      <c r="E6138" t="s">
        <v>17</v>
      </c>
      <c r="F6138">
        <v>27.33</v>
      </c>
      <c r="G6138">
        <v>28.5</v>
      </c>
      <c r="H6138" t="s">
        <v>17</v>
      </c>
      <c r="I6138" t="str">
        <f>"062490003719"</f>
        <v>062490003719</v>
      </c>
    </row>
    <row r="6139" spans="1:9" x14ac:dyDescent="0.25">
      <c r="A6139" t="s">
        <v>5335</v>
      </c>
      <c r="B6139" t="s">
        <v>13</v>
      </c>
      <c r="C6139">
        <v>28</v>
      </c>
      <c r="D6139">
        <v>26</v>
      </c>
      <c r="E6139" t="s">
        <v>17</v>
      </c>
      <c r="F6139">
        <v>24.5</v>
      </c>
      <c r="G6139">
        <v>24.46</v>
      </c>
      <c r="H6139" t="s">
        <v>17</v>
      </c>
      <c r="I6139" t="str">
        <f>"064215006910"</f>
        <v>064215006910</v>
      </c>
    </row>
    <row r="6140" spans="1:9" x14ac:dyDescent="0.25">
      <c r="A6140" t="s">
        <v>5336</v>
      </c>
      <c r="B6140" t="s">
        <v>13</v>
      </c>
      <c r="C6140">
        <v>44</v>
      </c>
      <c r="D6140">
        <v>45.15</v>
      </c>
      <c r="E6140" t="s">
        <v>17</v>
      </c>
      <c r="F6140">
        <v>18.77</v>
      </c>
      <c r="G6140">
        <v>17.940000000000001</v>
      </c>
      <c r="H6140" t="s">
        <v>17</v>
      </c>
      <c r="I6140" t="str">
        <f>"060907000924"</f>
        <v>060907000924</v>
      </c>
    </row>
    <row r="6141" spans="1:9" x14ac:dyDescent="0.25">
      <c r="A6141" t="s">
        <v>5337</v>
      </c>
      <c r="B6141" t="s">
        <v>13</v>
      </c>
      <c r="C6141">
        <v>45.1</v>
      </c>
      <c r="D6141">
        <v>44.9</v>
      </c>
      <c r="E6141" t="s">
        <v>17</v>
      </c>
      <c r="F6141">
        <v>25.1</v>
      </c>
      <c r="G6141">
        <v>24.08</v>
      </c>
      <c r="H6141" t="s">
        <v>17</v>
      </c>
      <c r="I6141" t="str">
        <f>"062785009414"</f>
        <v>062785009414</v>
      </c>
    </row>
    <row r="6142" spans="1:9" x14ac:dyDescent="0.25">
      <c r="A6142" t="s">
        <v>5338</v>
      </c>
      <c r="B6142" t="s">
        <v>13</v>
      </c>
      <c r="C6142" t="s">
        <v>14</v>
      </c>
      <c r="D6142">
        <v>16.3</v>
      </c>
      <c r="E6142" t="s">
        <v>17</v>
      </c>
      <c r="F6142" t="s">
        <v>17</v>
      </c>
      <c r="G6142">
        <v>16.260000000000002</v>
      </c>
      <c r="H6142" t="s">
        <v>17</v>
      </c>
      <c r="I6142" t="str">
        <f>"062805011348"</f>
        <v>062805011348</v>
      </c>
    </row>
    <row r="6143" spans="1:9" x14ac:dyDescent="0.25">
      <c r="A6143" t="s">
        <v>5339</v>
      </c>
      <c r="B6143" t="s">
        <v>13</v>
      </c>
      <c r="C6143">
        <v>22</v>
      </c>
      <c r="D6143">
        <v>23</v>
      </c>
      <c r="E6143" t="s">
        <v>17</v>
      </c>
      <c r="F6143">
        <v>31.23</v>
      </c>
      <c r="G6143">
        <v>29.04</v>
      </c>
      <c r="H6143" t="s">
        <v>17</v>
      </c>
      <c r="I6143" t="str">
        <f>"063444012563"</f>
        <v>063444012563</v>
      </c>
    </row>
    <row r="6144" spans="1:9" x14ac:dyDescent="0.25">
      <c r="A6144" t="s">
        <v>5340</v>
      </c>
      <c r="B6144" t="s">
        <v>13</v>
      </c>
      <c r="C6144">
        <v>12.1</v>
      </c>
      <c r="D6144">
        <v>11.6</v>
      </c>
      <c r="E6144" t="s">
        <v>17</v>
      </c>
      <c r="F6144">
        <v>27.44</v>
      </c>
      <c r="G6144">
        <v>27.33</v>
      </c>
      <c r="H6144" t="s">
        <v>17</v>
      </c>
      <c r="I6144" t="str">
        <f>"062827004377"</f>
        <v>062827004377</v>
      </c>
    </row>
    <row r="6145" spans="1:9" x14ac:dyDescent="0.25">
      <c r="A6145" t="s">
        <v>5341</v>
      </c>
      <c r="B6145" t="s">
        <v>13</v>
      </c>
      <c r="C6145">
        <v>26</v>
      </c>
      <c r="D6145">
        <v>23.5</v>
      </c>
      <c r="E6145" t="s">
        <v>17</v>
      </c>
      <c r="F6145">
        <v>21.08</v>
      </c>
      <c r="G6145">
        <v>23.91</v>
      </c>
      <c r="H6145" t="s">
        <v>17</v>
      </c>
      <c r="I6145" t="str">
        <f>"060162000022"</f>
        <v>060162000022</v>
      </c>
    </row>
    <row r="6146" spans="1:9" x14ac:dyDescent="0.25">
      <c r="A6146" t="s">
        <v>5342</v>
      </c>
      <c r="B6146" t="s">
        <v>13</v>
      </c>
      <c r="C6146">
        <v>41.1</v>
      </c>
      <c r="D6146">
        <v>40.799999999999997</v>
      </c>
      <c r="E6146" t="s">
        <v>17</v>
      </c>
      <c r="F6146">
        <v>28.05</v>
      </c>
      <c r="G6146">
        <v>29.95</v>
      </c>
      <c r="H6146" t="s">
        <v>17</v>
      </c>
      <c r="I6146" t="str">
        <f>"063386007200"</f>
        <v>063386007200</v>
      </c>
    </row>
    <row r="6147" spans="1:9" x14ac:dyDescent="0.25">
      <c r="A6147" t="s">
        <v>5343</v>
      </c>
      <c r="B6147" t="s">
        <v>13</v>
      </c>
      <c r="C6147">
        <v>15</v>
      </c>
      <c r="D6147">
        <v>16</v>
      </c>
      <c r="E6147" t="s">
        <v>17</v>
      </c>
      <c r="F6147">
        <v>22.4</v>
      </c>
      <c r="G6147">
        <v>21</v>
      </c>
      <c r="H6147" t="s">
        <v>17</v>
      </c>
      <c r="I6147" t="str">
        <f>"062271003178"</f>
        <v>062271003178</v>
      </c>
    </row>
    <row r="6148" spans="1:9" x14ac:dyDescent="0.25">
      <c r="A6148" t="s">
        <v>5344</v>
      </c>
      <c r="B6148" t="s">
        <v>13</v>
      </c>
      <c r="C6148">
        <v>28.5</v>
      </c>
      <c r="D6148">
        <v>29</v>
      </c>
      <c r="E6148" t="s">
        <v>17</v>
      </c>
      <c r="F6148">
        <v>21.47</v>
      </c>
      <c r="G6148">
        <v>21.52</v>
      </c>
      <c r="H6148" t="s">
        <v>17</v>
      </c>
      <c r="I6148" t="str">
        <f>"063066010987"</f>
        <v>063066010987</v>
      </c>
    </row>
    <row r="6149" spans="1:9" x14ac:dyDescent="0.25">
      <c r="A6149" t="s">
        <v>5345</v>
      </c>
      <c r="B6149" t="s">
        <v>13</v>
      </c>
      <c r="C6149">
        <v>14.6</v>
      </c>
      <c r="D6149">
        <v>12</v>
      </c>
      <c r="E6149" t="s">
        <v>17</v>
      </c>
      <c r="F6149">
        <v>20.34</v>
      </c>
      <c r="G6149">
        <v>22.67</v>
      </c>
      <c r="H6149" t="s">
        <v>17</v>
      </c>
      <c r="I6149" t="str">
        <f>"062805008679"</f>
        <v>062805008679</v>
      </c>
    </row>
    <row r="6150" spans="1:9" x14ac:dyDescent="0.25">
      <c r="A6150" t="s">
        <v>5346</v>
      </c>
      <c r="B6150" t="s">
        <v>13</v>
      </c>
      <c r="C6150">
        <v>25</v>
      </c>
      <c r="D6150">
        <v>25</v>
      </c>
      <c r="E6150" t="s">
        <v>17</v>
      </c>
      <c r="F6150">
        <v>24.96</v>
      </c>
      <c r="G6150">
        <v>25.72</v>
      </c>
      <c r="H6150" t="s">
        <v>17</v>
      </c>
      <c r="I6150" t="str">
        <f>"060004707397"</f>
        <v>060004707397</v>
      </c>
    </row>
    <row r="6151" spans="1:9" x14ac:dyDescent="0.25">
      <c r="A6151" t="s">
        <v>5347</v>
      </c>
      <c r="B6151" t="s">
        <v>13</v>
      </c>
      <c r="C6151">
        <v>21</v>
      </c>
      <c r="D6151">
        <v>22.01</v>
      </c>
      <c r="E6151" t="s">
        <v>17</v>
      </c>
      <c r="F6151">
        <v>22.67</v>
      </c>
      <c r="G6151">
        <v>23.76</v>
      </c>
      <c r="H6151" t="s">
        <v>17</v>
      </c>
      <c r="I6151" t="str">
        <f>"062271003179"</f>
        <v>062271003179</v>
      </c>
    </row>
    <row r="6152" spans="1:9" x14ac:dyDescent="0.25">
      <c r="A6152" t="s">
        <v>5348</v>
      </c>
      <c r="B6152" t="s">
        <v>13</v>
      </c>
      <c r="C6152">
        <v>27</v>
      </c>
      <c r="D6152">
        <v>28</v>
      </c>
      <c r="E6152" t="s">
        <v>17</v>
      </c>
      <c r="F6152">
        <v>18.52</v>
      </c>
      <c r="G6152">
        <v>19.18</v>
      </c>
      <c r="H6152" t="s">
        <v>17</v>
      </c>
      <c r="I6152" t="str">
        <f>"063432012239"</f>
        <v>063432012239</v>
      </c>
    </row>
    <row r="6153" spans="1:9" x14ac:dyDescent="0.25">
      <c r="A6153" t="s">
        <v>5349</v>
      </c>
      <c r="B6153" t="s">
        <v>13</v>
      </c>
      <c r="C6153">
        <v>8</v>
      </c>
      <c r="D6153">
        <v>6</v>
      </c>
      <c r="E6153" t="s">
        <v>17</v>
      </c>
      <c r="F6153">
        <v>11.25</v>
      </c>
      <c r="G6153">
        <v>12</v>
      </c>
      <c r="H6153" t="s">
        <v>17</v>
      </c>
      <c r="I6153" t="str">
        <f>"069107812675"</f>
        <v>069107812675</v>
      </c>
    </row>
    <row r="6154" spans="1:9" x14ac:dyDescent="0.25">
      <c r="A6154" t="s">
        <v>5350</v>
      </c>
      <c r="B6154" t="s">
        <v>13</v>
      </c>
      <c r="C6154" t="str">
        <f>"0.90"</f>
        <v>0.90</v>
      </c>
      <c r="D6154">
        <v>1.3</v>
      </c>
      <c r="E6154" t="s">
        <v>17</v>
      </c>
      <c r="F6154">
        <v>13.33</v>
      </c>
      <c r="G6154">
        <v>16.920000000000002</v>
      </c>
      <c r="H6154" t="s">
        <v>17</v>
      </c>
      <c r="I6154" t="str">
        <f>"062448004624"</f>
        <v>062448004624</v>
      </c>
    </row>
    <row r="6155" spans="1:9" x14ac:dyDescent="0.25">
      <c r="A6155" t="s">
        <v>5351</v>
      </c>
      <c r="B6155" t="s">
        <v>13</v>
      </c>
      <c r="C6155">
        <v>9</v>
      </c>
      <c r="D6155">
        <v>11.27</v>
      </c>
      <c r="E6155" t="s">
        <v>17</v>
      </c>
      <c r="F6155">
        <v>11.11</v>
      </c>
      <c r="G6155">
        <v>11.98</v>
      </c>
      <c r="H6155" t="s">
        <v>17</v>
      </c>
      <c r="I6155" t="str">
        <f>"069101910551"</f>
        <v>069101910551</v>
      </c>
    </row>
    <row r="6156" spans="1:9" x14ac:dyDescent="0.25">
      <c r="A6156" t="s">
        <v>5352</v>
      </c>
      <c r="B6156" t="s">
        <v>13</v>
      </c>
      <c r="C6156" t="s">
        <v>17</v>
      </c>
      <c r="D6156" t="s">
        <v>17</v>
      </c>
      <c r="E6156" t="s">
        <v>17</v>
      </c>
      <c r="F6156" t="s">
        <v>17</v>
      </c>
      <c r="G6156" t="s">
        <v>17</v>
      </c>
      <c r="H6156" t="s">
        <v>17</v>
      </c>
      <c r="I6156" t="str">
        <f>"060011810959"</f>
        <v>060011810959</v>
      </c>
    </row>
    <row r="6157" spans="1:9" x14ac:dyDescent="0.25">
      <c r="A6157" t="s">
        <v>5353</v>
      </c>
      <c r="B6157" t="s">
        <v>13</v>
      </c>
      <c r="C6157">
        <v>13.84</v>
      </c>
      <c r="D6157">
        <v>14.1</v>
      </c>
      <c r="E6157" t="s">
        <v>17</v>
      </c>
      <c r="F6157">
        <v>13.29</v>
      </c>
      <c r="G6157">
        <v>11.91</v>
      </c>
      <c r="H6157" t="s">
        <v>17</v>
      </c>
      <c r="I6157" t="str">
        <f>"062448003660"</f>
        <v>062448003660</v>
      </c>
    </row>
    <row r="6158" spans="1:9" x14ac:dyDescent="0.25">
      <c r="A6158" t="s">
        <v>5354</v>
      </c>
      <c r="B6158" t="s">
        <v>13</v>
      </c>
      <c r="C6158">
        <v>16.89</v>
      </c>
      <c r="D6158">
        <v>15.6</v>
      </c>
      <c r="E6158" t="s">
        <v>17</v>
      </c>
      <c r="F6158">
        <v>17.940000000000001</v>
      </c>
      <c r="G6158">
        <v>18.97</v>
      </c>
      <c r="H6158" t="s">
        <v>17</v>
      </c>
      <c r="I6158" t="str">
        <f>"062448003659"</f>
        <v>062448003659</v>
      </c>
    </row>
    <row r="6159" spans="1:9" x14ac:dyDescent="0.25">
      <c r="A6159" t="s">
        <v>5355</v>
      </c>
      <c r="B6159" t="s">
        <v>13</v>
      </c>
      <c r="C6159" t="str">
        <f>"0.80"</f>
        <v>0.80</v>
      </c>
      <c r="D6159" t="str">
        <f>"0.80"</f>
        <v>0.80</v>
      </c>
      <c r="E6159" t="s">
        <v>17</v>
      </c>
      <c r="F6159">
        <v>11.25</v>
      </c>
      <c r="G6159">
        <v>12.5</v>
      </c>
      <c r="H6159" t="s">
        <v>17</v>
      </c>
      <c r="I6159" t="str">
        <f>"062448003658"</f>
        <v>062448003658</v>
      </c>
    </row>
    <row r="6160" spans="1:9" x14ac:dyDescent="0.25">
      <c r="A6160" t="s">
        <v>5356</v>
      </c>
      <c r="B6160" t="s">
        <v>13</v>
      </c>
      <c r="C6160" t="str">
        <f>"0.35"</f>
        <v>0.35</v>
      </c>
      <c r="D6160" t="str">
        <f>"0.35"</f>
        <v>0.35</v>
      </c>
      <c r="E6160" t="s">
        <v>17</v>
      </c>
      <c r="F6160">
        <v>22.86</v>
      </c>
      <c r="G6160">
        <v>17.14</v>
      </c>
      <c r="H6160" t="s">
        <v>17</v>
      </c>
      <c r="I6160" t="str">
        <f>"060002207970"</f>
        <v>060002207970</v>
      </c>
    </row>
    <row r="6161" spans="1:9" x14ac:dyDescent="0.25">
      <c r="A6161" t="s">
        <v>5357</v>
      </c>
      <c r="B6161" t="s">
        <v>13</v>
      </c>
      <c r="C6161">
        <v>1.31</v>
      </c>
      <c r="D6161">
        <v>1.31</v>
      </c>
      <c r="E6161" t="s">
        <v>17</v>
      </c>
      <c r="F6161">
        <v>22.9</v>
      </c>
      <c r="G6161">
        <v>16.79</v>
      </c>
      <c r="H6161" t="s">
        <v>17</v>
      </c>
      <c r="I6161" t="str">
        <f>"060002200374"</f>
        <v>060002200374</v>
      </c>
    </row>
    <row r="6162" spans="1:9" x14ac:dyDescent="0.25">
      <c r="A6162" t="s">
        <v>5358</v>
      </c>
      <c r="B6162" t="s">
        <v>13</v>
      </c>
      <c r="C6162">
        <v>30.01</v>
      </c>
      <c r="D6162">
        <v>25.5</v>
      </c>
      <c r="E6162" t="s">
        <v>17</v>
      </c>
      <c r="F6162">
        <v>24.46</v>
      </c>
      <c r="G6162">
        <v>28.08</v>
      </c>
      <c r="H6162" t="s">
        <v>17</v>
      </c>
      <c r="I6162" t="str">
        <f>"060002200395"</f>
        <v>060002200395</v>
      </c>
    </row>
    <row r="6163" spans="1:9" x14ac:dyDescent="0.25">
      <c r="A6163" t="s">
        <v>5359</v>
      </c>
      <c r="B6163" t="s">
        <v>13</v>
      </c>
      <c r="C6163">
        <v>20</v>
      </c>
      <c r="D6163">
        <v>17</v>
      </c>
      <c r="E6163" t="s">
        <v>17</v>
      </c>
      <c r="F6163">
        <v>20.85</v>
      </c>
      <c r="G6163">
        <v>24.65</v>
      </c>
      <c r="H6163" t="s">
        <v>17</v>
      </c>
      <c r="I6163" t="str">
        <f>"060002209293"</f>
        <v>060002209293</v>
      </c>
    </row>
    <row r="6164" spans="1:9" x14ac:dyDescent="0.25">
      <c r="A6164" t="s">
        <v>5360</v>
      </c>
      <c r="B6164" t="s">
        <v>13</v>
      </c>
      <c r="C6164" t="s">
        <v>14</v>
      </c>
      <c r="D6164" t="s">
        <v>14</v>
      </c>
      <c r="E6164" t="s">
        <v>17</v>
      </c>
      <c r="F6164" t="s">
        <v>14</v>
      </c>
      <c r="G6164" t="s">
        <v>14</v>
      </c>
      <c r="H6164" t="s">
        <v>17</v>
      </c>
      <c r="I6164" t="str">
        <f>"063132004844"</f>
        <v>063132004844</v>
      </c>
    </row>
    <row r="6165" spans="1:9" x14ac:dyDescent="0.25">
      <c r="A6165" t="s">
        <v>5361</v>
      </c>
      <c r="B6165" t="s">
        <v>13</v>
      </c>
      <c r="C6165" t="s">
        <v>17</v>
      </c>
      <c r="D6165" t="s">
        <v>14</v>
      </c>
      <c r="E6165" t="s">
        <v>14</v>
      </c>
      <c r="F6165" t="s">
        <v>17</v>
      </c>
      <c r="G6165" t="s">
        <v>14</v>
      </c>
      <c r="H6165" t="s">
        <v>14</v>
      </c>
      <c r="I6165" t="str">
        <f>"062454013619"</f>
        <v>062454013619</v>
      </c>
    </row>
    <row r="6166" spans="1:9" x14ac:dyDescent="0.25">
      <c r="A6166" t="s">
        <v>5362</v>
      </c>
      <c r="B6166" t="s">
        <v>13</v>
      </c>
      <c r="C6166">
        <v>36.01</v>
      </c>
      <c r="D6166">
        <v>34.799999999999997</v>
      </c>
      <c r="E6166" t="s">
        <v>17</v>
      </c>
      <c r="F6166">
        <v>26.63</v>
      </c>
      <c r="G6166">
        <v>26.93</v>
      </c>
      <c r="H6166" t="s">
        <v>17</v>
      </c>
      <c r="I6166" t="str">
        <f>"062454009402"</f>
        <v>062454009402</v>
      </c>
    </row>
    <row r="6167" spans="1:9" x14ac:dyDescent="0.25">
      <c r="A6167" t="s">
        <v>5363</v>
      </c>
      <c r="B6167" t="s">
        <v>13</v>
      </c>
      <c r="C6167">
        <v>28</v>
      </c>
      <c r="D6167">
        <v>34</v>
      </c>
      <c r="E6167" t="s">
        <v>17</v>
      </c>
      <c r="F6167">
        <v>21.96</v>
      </c>
      <c r="G6167">
        <v>22.88</v>
      </c>
      <c r="H6167" t="s">
        <v>17</v>
      </c>
      <c r="I6167" t="str">
        <f>"062271003180"</f>
        <v>062271003180</v>
      </c>
    </row>
    <row r="6168" spans="1:9" x14ac:dyDescent="0.25">
      <c r="A6168" t="s">
        <v>5364</v>
      </c>
      <c r="B6168" t="s">
        <v>13</v>
      </c>
      <c r="C6168">
        <v>102.85</v>
      </c>
      <c r="D6168">
        <v>94.7</v>
      </c>
      <c r="E6168" t="s">
        <v>17</v>
      </c>
      <c r="F6168">
        <v>19.8</v>
      </c>
      <c r="G6168">
        <v>21.12</v>
      </c>
      <c r="H6168" t="s">
        <v>17</v>
      </c>
      <c r="I6168" t="str">
        <f>"063639006195"</f>
        <v>063639006195</v>
      </c>
    </row>
    <row r="6169" spans="1:9" x14ac:dyDescent="0.25">
      <c r="A6169" t="s">
        <v>5365</v>
      </c>
      <c r="B6169" t="s">
        <v>13</v>
      </c>
      <c r="C6169">
        <v>20.059999999999999</v>
      </c>
      <c r="D6169">
        <v>18.559999999999999</v>
      </c>
      <c r="E6169" t="s">
        <v>17</v>
      </c>
      <c r="F6169">
        <v>22.93</v>
      </c>
      <c r="G6169">
        <v>23.87</v>
      </c>
      <c r="H6169" t="s">
        <v>17</v>
      </c>
      <c r="I6169" t="str">
        <f>"063207004942"</f>
        <v>063207004942</v>
      </c>
    </row>
    <row r="6170" spans="1:9" x14ac:dyDescent="0.25">
      <c r="A6170" t="s">
        <v>5366</v>
      </c>
      <c r="B6170" t="s">
        <v>13</v>
      </c>
      <c r="C6170">
        <v>1</v>
      </c>
      <c r="D6170">
        <v>1</v>
      </c>
      <c r="E6170" t="s">
        <v>17</v>
      </c>
      <c r="F6170">
        <v>7</v>
      </c>
      <c r="G6170">
        <v>8</v>
      </c>
      <c r="H6170" t="s">
        <v>17</v>
      </c>
      <c r="I6170" t="str">
        <f>"062460008740"</f>
        <v>062460008740</v>
      </c>
    </row>
    <row r="6171" spans="1:9" x14ac:dyDescent="0.25">
      <c r="A6171" t="s">
        <v>5367</v>
      </c>
      <c r="B6171" t="s">
        <v>13</v>
      </c>
      <c r="C6171">
        <v>6.9</v>
      </c>
      <c r="D6171">
        <v>6.1</v>
      </c>
      <c r="E6171" t="s">
        <v>17</v>
      </c>
      <c r="F6171">
        <v>11.45</v>
      </c>
      <c r="G6171">
        <v>14.92</v>
      </c>
      <c r="H6171" t="s">
        <v>17</v>
      </c>
      <c r="I6171" t="str">
        <f>"069102009233"</f>
        <v>069102009233</v>
      </c>
    </row>
    <row r="6172" spans="1:9" x14ac:dyDescent="0.25">
      <c r="A6172" t="s">
        <v>5368</v>
      </c>
      <c r="B6172" t="s">
        <v>13</v>
      </c>
      <c r="C6172" t="s">
        <v>17</v>
      </c>
      <c r="D6172" t="s">
        <v>17</v>
      </c>
      <c r="E6172" t="s">
        <v>17</v>
      </c>
      <c r="F6172" t="s">
        <v>17</v>
      </c>
      <c r="G6172" t="s">
        <v>17</v>
      </c>
      <c r="H6172" t="s">
        <v>17</v>
      </c>
      <c r="I6172" t="str">
        <f>"060011910964"</f>
        <v>060011910964</v>
      </c>
    </row>
    <row r="6173" spans="1:9" x14ac:dyDescent="0.25">
      <c r="A6173" t="s">
        <v>5369</v>
      </c>
      <c r="B6173" t="s">
        <v>13</v>
      </c>
      <c r="C6173">
        <v>59</v>
      </c>
      <c r="D6173">
        <v>53.5</v>
      </c>
      <c r="E6173" t="s">
        <v>17</v>
      </c>
      <c r="F6173">
        <v>9.4600000000000009</v>
      </c>
      <c r="G6173">
        <v>9.89</v>
      </c>
      <c r="H6173" t="s">
        <v>17</v>
      </c>
      <c r="I6173" t="str">
        <f>"069102007147"</f>
        <v>069102007147</v>
      </c>
    </row>
    <row r="6174" spans="1:9" x14ac:dyDescent="0.25">
      <c r="A6174" t="s">
        <v>5370</v>
      </c>
      <c r="B6174" t="s">
        <v>13</v>
      </c>
      <c r="C6174">
        <v>22.5</v>
      </c>
      <c r="D6174">
        <v>22.5</v>
      </c>
      <c r="E6174" t="s">
        <v>17</v>
      </c>
      <c r="F6174">
        <v>21.78</v>
      </c>
      <c r="G6174">
        <v>21.24</v>
      </c>
      <c r="H6174" t="s">
        <v>17</v>
      </c>
      <c r="I6174" t="str">
        <f>"064200006880"</f>
        <v>064200006880</v>
      </c>
    </row>
    <row r="6175" spans="1:9" x14ac:dyDescent="0.25">
      <c r="A6175" t="s">
        <v>5371</v>
      </c>
      <c r="B6175" t="s">
        <v>13</v>
      </c>
      <c r="C6175">
        <v>104.7</v>
      </c>
      <c r="D6175">
        <v>108.1</v>
      </c>
      <c r="E6175" t="s">
        <v>17</v>
      </c>
      <c r="F6175">
        <v>25.79</v>
      </c>
      <c r="G6175">
        <v>25.52</v>
      </c>
      <c r="H6175" t="s">
        <v>17</v>
      </c>
      <c r="I6175" t="str">
        <f>"062466003702"</f>
        <v>062466003702</v>
      </c>
    </row>
    <row r="6176" spans="1:9" x14ac:dyDescent="0.25">
      <c r="A6176" t="s">
        <v>5372</v>
      </c>
      <c r="B6176" t="s">
        <v>13</v>
      </c>
      <c r="C6176">
        <v>3.25</v>
      </c>
      <c r="D6176">
        <v>4</v>
      </c>
      <c r="E6176" t="s">
        <v>17</v>
      </c>
      <c r="F6176">
        <v>27.38</v>
      </c>
      <c r="G6176">
        <v>22</v>
      </c>
      <c r="H6176" t="s">
        <v>17</v>
      </c>
      <c r="I6176" t="str">
        <f>"069102010960"</f>
        <v>069102010960</v>
      </c>
    </row>
    <row r="6177" spans="1:9" x14ac:dyDescent="0.25">
      <c r="A6177" t="s">
        <v>5373</v>
      </c>
      <c r="B6177" t="s">
        <v>13</v>
      </c>
      <c r="C6177" t="s">
        <v>17</v>
      </c>
      <c r="D6177" t="s">
        <v>14</v>
      </c>
      <c r="E6177" t="s">
        <v>14</v>
      </c>
      <c r="F6177" t="s">
        <v>17</v>
      </c>
      <c r="G6177" t="s">
        <v>14</v>
      </c>
      <c r="H6177" t="s">
        <v>14</v>
      </c>
      <c r="I6177" t="str">
        <f>"062274013433"</f>
        <v>062274013433</v>
      </c>
    </row>
    <row r="6178" spans="1:9" x14ac:dyDescent="0.25">
      <c r="A6178" t="s">
        <v>5374</v>
      </c>
      <c r="B6178" t="s">
        <v>13</v>
      </c>
      <c r="C6178">
        <v>25</v>
      </c>
      <c r="D6178">
        <v>25</v>
      </c>
      <c r="E6178" t="s">
        <v>17</v>
      </c>
      <c r="F6178">
        <v>25.96</v>
      </c>
      <c r="G6178">
        <v>25.16</v>
      </c>
      <c r="H6178" t="s">
        <v>17</v>
      </c>
      <c r="I6178" t="str">
        <f>"060681000621"</f>
        <v>060681000621</v>
      </c>
    </row>
    <row r="6179" spans="1:9" x14ac:dyDescent="0.25">
      <c r="A6179" t="s">
        <v>5374</v>
      </c>
      <c r="B6179" t="s">
        <v>13</v>
      </c>
      <c r="C6179">
        <v>3.5</v>
      </c>
      <c r="D6179">
        <v>4</v>
      </c>
      <c r="E6179" t="s">
        <v>17</v>
      </c>
      <c r="F6179">
        <v>21.71</v>
      </c>
      <c r="G6179">
        <v>19.5</v>
      </c>
      <c r="H6179" t="s">
        <v>17</v>
      </c>
      <c r="I6179" t="str">
        <f>"062469003704"</f>
        <v>062469003704</v>
      </c>
    </row>
    <row r="6180" spans="1:9" x14ac:dyDescent="0.25">
      <c r="A6180" t="s">
        <v>5375</v>
      </c>
      <c r="B6180" t="s">
        <v>13</v>
      </c>
      <c r="C6180">
        <v>24</v>
      </c>
      <c r="D6180">
        <v>26</v>
      </c>
      <c r="E6180" t="s">
        <v>17</v>
      </c>
      <c r="F6180">
        <v>19</v>
      </c>
      <c r="G6180">
        <v>17.420000000000002</v>
      </c>
      <c r="H6180" t="s">
        <v>17</v>
      </c>
      <c r="I6180" t="str">
        <f>"060852000849"</f>
        <v>060852000849</v>
      </c>
    </row>
    <row r="6181" spans="1:9" x14ac:dyDescent="0.25">
      <c r="A6181" t="s">
        <v>5376</v>
      </c>
      <c r="B6181" t="s">
        <v>13</v>
      </c>
      <c r="C6181">
        <v>28.11</v>
      </c>
      <c r="D6181">
        <v>28.11</v>
      </c>
      <c r="E6181" t="s">
        <v>17</v>
      </c>
      <c r="F6181">
        <v>23.16</v>
      </c>
      <c r="G6181">
        <v>22.34</v>
      </c>
      <c r="H6181" t="s">
        <v>17</v>
      </c>
      <c r="I6181" t="str">
        <f>"064200006881"</f>
        <v>064200006881</v>
      </c>
    </row>
    <row r="6182" spans="1:9" x14ac:dyDescent="0.25">
      <c r="A6182" t="s">
        <v>5377</v>
      </c>
      <c r="B6182" t="s">
        <v>13</v>
      </c>
      <c r="C6182">
        <v>10.09</v>
      </c>
      <c r="D6182">
        <v>10.09</v>
      </c>
      <c r="E6182" t="s">
        <v>17</v>
      </c>
      <c r="F6182">
        <v>14.67</v>
      </c>
      <c r="G6182">
        <v>15.76</v>
      </c>
      <c r="H6182" t="s">
        <v>17</v>
      </c>
      <c r="I6182" t="str">
        <f>"061722002178"</f>
        <v>061722002178</v>
      </c>
    </row>
    <row r="6183" spans="1:9" x14ac:dyDescent="0.25">
      <c r="A6183" t="s">
        <v>5378</v>
      </c>
      <c r="B6183" t="s">
        <v>13</v>
      </c>
      <c r="C6183">
        <v>94.85</v>
      </c>
      <c r="D6183">
        <v>95.95</v>
      </c>
      <c r="E6183" t="s">
        <v>17</v>
      </c>
      <c r="F6183">
        <v>22.68</v>
      </c>
      <c r="G6183">
        <v>22.85</v>
      </c>
      <c r="H6183" t="s">
        <v>17</v>
      </c>
      <c r="I6183" t="str">
        <f>"060004707371"</f>
        <v>060004707371</v>
      </c>
    </row>
    <row r="6184" spans="1:9" x14ac:dyDescent="0.25">
      <c r="A6184" t="s">
        <v>5379</v>
      </c>
      <c r="B6184" t="s">
        <v>13</v>
      </c>
      <c r="C6184">
        <v>37.32</v>
      </c>
      <c r="D6184">
        <v>39.01</v>
      </c>
      <c r="E6184" t="s">
        <v>17</v>
      </c>
      <c r="F6184">
        <v>26.85</v>
      </c>
      <c r="G6184">
        <v>24.74</v>
      </c>
      <c r="H6184" t="s">
        <v>17</v>
      </c>
      <c r="I6184" t="str">
        <f>"063459005741"</f>
        <v>063459005741</v>
      </c>
    </row>
    <row r="6185" spans="1:9" x14ac:dyDescent="0.25">
      <c r="A6185" t="s">
        <v>5380</v>
      </c>
      <c r="B6185" t="s">
        <v>13</v>
      </c>
      <c r="C6185">
        <v>17</v>
      </c>
      <c r="D6185">
        <v>17</v>
      </c>
      <c r="E6185" t="s">
        <v>17</v>
      </c>
      <c r="F6185">
        <v>22.47</v>
      </c>
      <c r="G6185">
        <v>22.76</v>
      </c>
      <c r="H6185" t="s">
        <v>17</v>
      </c>
      <c r="I6185" t="str">
        <f>"061488001851"</f>
        <v>061488001851</v>
      </c>
    </row>
    <row r="6186" spans="1:9" x14ac:dyDescent="0.25">
      <c r="A6186" t="s">
        <v>5381</v>
      </c>
      <c r="B6186" t="s">
        <v>13</v>
      </c>
      <c r="C6186">
        <v>18.399999999999999</v>
      </c>
      <c r="D6186">
        <v>21.4</v>
      </c>
      <c r="E6186" t="s">
        <v>17</v>
      </c>
      <c r="F6186">
        <v>22.45</v>
      </c>
      <c r="G6186">
        <v>20.51</v>
      </c>
      <c r="H6186" t="s">
        <v>17</v>
      </c>
      <c r="I6186" t="str">
        <f>"061005001100"</f>
        <v>061005001100</v>
      </c>
    </row>
    <row r="6187" spans="1:9" x14ac:dyDescent="0.25">
      <c r="A6187" t="s">
        <v>5382</v>
      </c>
      <c r="B6187" t="s">
        <v>13</v>
      </c>
      <c r="C6187">
        <v>26.9</v>
      </c>
      <c r="D6187">
        <v>26</v>
      </c>
      <c r="E6187" t="s">
        <v>17</v>
      </c>
      <c r="F6187">
        <v>22.68</v>
      </c>
      <c r="G6187">
        <v>22.19</v>
      </c>
      <c r="H6187" t="s">
        <v>17</v>
      </c>
      <c r="I6187" t="str">
        <f>"061005001101"</f>
        <v>061005001101</v>
      </c>
    </row>
    <row r="6188" spans="1:9" x14ac:dyDescent="0.25">
      <c r="A6188" t="s">
        <v>5382</v>
      </c>
      <c r="B6188" t="s">
        <v>13</v>
      </c>
      <c r="C6188">
        <v>25.86</v>
      </c>
      <c r="D6188">
        <v>25.86</v>
      </c>
      <c r="E6188" t="s">
        <v>17</v>
      </c>
      <c r="F6188">
        <v>25.64</v>
      </c>
      <c r="G6188">
        <v>24.4</v>
      </c>
      <c r="H6188" t="s">
        <v>17</v>
      </c>
      <c r="I6188" t="str">
        <f>"062472003705"</f>
        <v>062472003705</v>
      </c>
    </row>
    <row r="6189" spans="1:9" x14ac:dyDescent="0.25">
      <c r="A6189" t="s">
        <v>5383</v>
      </c>
      <c r="B6189" t="s">
        <v>13</v>
      </c>
      <c r="C6189">
        <v>27</v>
      </c>
      <c r="D6189">
        <v>26</v>
      </c>
      <c r="E6189" t="s">
        <v>17</v>
      </c>
      <c r="F6189">
        <v>22.89</v>
      </c>
      <c r="G6189">
        <v>25.08</v>
      </c>
      <c r="H6189" t="s">
        <v>17</v>
      </c>
      <c r="I6189" t="str">
        <f>"060001409078"</f>
        <v>060001409078</v>
      </c>
    </row>
    <row r="6190" spans="1:9" x14ac:dyDescent="0.25">
      <c r="A6190" t="s">
        <v>5384</v>
      </c>
      <c r="B6190" t="s">
        <v>13</v>
      </c>
      <c r="C6190">
        <v>2.5499999999999998</v>
      </c>
      <c r="D6190">
        <v>2.65</v>
      </c>
      <c r="E6190" t="s">
        <v>17</v>
      </c>
      <c r="F6190">
        <v>16.86</v>
      </c>
      <c r="G6190">
        <v>20.75</v>
      </c>
      <c r="H6190" t="s">
        <v>17</v>
      </c>
      <c r="I6190" t="str">
        <f>"063583002849"</f>
        <v>063583002849</v>
      </c>
    </row>
    <row r="6191" spans="1:9" x14ac:dyDescent="0.25">
      <c r="A6191" t="s">
        <v>5385</v>
      </c>
      <c r="B6191" t="s">
        <v>13</v>
      </c>
      <c r="C6191" t="s">
        <v>14</v>
      </c>
      <c r="D6191" t="s">
        <v>14</v>
      </c>
      <c r="E6191" t="s">
        <v>17</v>
      </c>
      <c r="F6191" t="s">
        <v>14</v>
      </c>
      <c r="G6191" t="s">
        <v>14</v>
      </c>
      <c r="H6191" t="s">
        <v>17</v>
      </c>
      <c r="I6191" t="str">
        <f>"062958004575"</f>
        <v>062958004575</v>
      </c>
    </row>
    <row r="6192" spans="1:9" x14ac:dyDescent="0.25">
      <c r="A6192" t="s">
        <v>5386</v>
      </c>
      <c r="B6192" t="s">
        <v>13</v>
      </c>
      <c r="C6192">
        <v>35.01</v>
      </c>
      <c r="D6192">
        <v>34.5</v>
      </c>
      <c r="E6192" t="s">
        <v>17</v>
      </c>
      <c r="F6192">
        <v>26.99</v>
      </c>
      <c r="G6192">
        <v>29.54</v>
      </c>
      <c r="H6192" t="s">
        <v>17</v>
      </c>
      <c r="I6192" t="str">
        <f>"060171008288"</f>
        <v>060171008288</v>
      </c>
    </row>
    <row r="6193" spans="1:9" x14ac:dyDescent="0.25">
      <c r="A6193" t="s">
        <v>5387</v>
      </c>
      <c r="B6193" t="s">
        <v>13</v>
      </c>
      <c r="C6193">
        <v>24.45</v>
      </c>
      <c r="D6193">
        <v>25.05</v>
      </c>
      <c r="E6193" t="s">
        <v>17</v>
      </c>
      <c r="F6193">
        <v>19.47</v>
      </c>
      <c r="G6193">
        <v>21.04</v>
      </c>
      <c r="H6193" t="s">
        <v>17</v>
      </c>
      <c r="I6193" t="str">
        <f>"062308009910"</f>
        <v>062308009910</v>
      </c>
    </row>
    <row r="6194" spans="1:9" x14ac:dyDescent="0.25">
      <c r="A6194" t="s">
        <v>5388</v>
      </c>
      <c r="B6194" t="s">
        <v>13</v>
      </c>
      <c r="C6194">
        <v>39</v>
      </c>
      <c r="D6194">
        <v>41</v>
      </c>
      <c r="E6194" t="s">
        <v>17</v>
      </c>
      <c r="F6194">
        <v>10.36</v>
      </c>
      <c r="G6194">
        <v>10.93</v>
      </c>
      <c r="H6194" t="s">
        <v>17</v>
      </c>
      <c r="I6194" t="str">
        <f>"069103012136"</f>
        <v>069103012136</v>
      </c>
    </row>
    <row r="6195" spans="1:9" x14ac:dyDescent="0.25">
      <c r="A6195" t="s">
        <v>5389</v>
      </c>
      <c r="B6195" t="s">
        <v>13</v>
      </c>
      <c r="C6195">
        <v>43.6</v>
      </c>
      <c r="D6195">
        <v>44.1</v>
      </c>
      <c r="E6195" t="s">
        <v>17</v>
      </c>
      <c r="F6195">
        <v>24.01</v>
      </c>
      <c r="G6195">
        <v>24.65</v>
      </c>
      <c r="H6195" t="s">
        <v>17</v>
      </c>
      <c r="I6195" t="str">
        <f>"061632502056"</f>
        <v>061632502056</v>
      </c>
    </row>
    <row r="6196" spans="1:9" x14ac:dyDescent="0.25">
      <c r="A6196" t="s">
        <v>5390</v>
      </c>
      <c r="B6196" t="s">
        <v>13</v>
      </c>
      <c r="C6196">
        <v>18.100000000000001</v>
      </c>
      <c r="D6196">
        <v>19</v>
      </c>
      <c r="E6196" t="s">
        <v>17</v>
      </c>
      <c r="F6196">
        <v>27.35</v>
      </c>
      <c r="G6196">
        <v>26.74</v>
      </c>
      <c r="H6196" t="s">
        <v>17</v>
      </c>
      <c r="I6196" t="str">
        <f>"060006112206"</f>
        <v>060006112206</v>
      </c>
    </row>
    <row r="6197" spans="1:9" x14ac:dyDescent="0.25">
      <c r="A6197" t="s">
        <v>5391</v>
      </c>
      <c r="B6197" t="s">
        <v>13</v>
      </c>
      <c r="C6197">
        <v>41.27</v>
      </c>
      <c r="D6197">
        <v>47.85</v>
      </c>
      <c r="E6197" t="s">
        <v>17</v>
      </c>
      <c r="F6197">
        <v>23.82</v>
      </c>
      <c r="G6197">
        <v>21.27</v>
      </c>
      <c r="H6197" t="s">
        <v>17</v>
      </c>
      <c r="I6197" t="str">
        <f>"063462005798"</f>
        <v>063462005798</v>
      </c>
    </row>
    <row r="6198" spans="1:9" x14ac:dyDescent="0.25">
      <c r="A6198" t="s">
        <v>5392</v>
      </c>
      <c r="B6198" t="s">
        <v>13</v>
      </c>
      <c r="C6198">
        <v>45.74</v>
      </c>
      <c r="D6198">
        <v>44.09</v>
      </c>
      <c r="E6198" t="s">
        <v>17</v>
      </c>
      <c r="F6198">
        <v>28.12</v>
      </c>
      <c r="G6198">
        <v>29.33</v>
      </c>
      <c r="H6198" t="s">
        <v>17</v>
      </c>
      <c r="I6198" t="str">
        <f>"063153002667"</f>
        <v>063153002667</v>
      </c>
    </row>
    <row r="6199" spans="1:9" x14ac:dyDescent="0.25">
      <c r="A6199" t="s">
        <v>5392</v>
      </c>
      <c r="B6199" t="s">
        <v>13</v>
      </c>
      <c r="C6199">
        <v>27.52</v>
      </c>
      <c r="D6199">
        <v>30.52</v>
      </c>
      <c r="E6199" t="s">
        <v>17</v>
      </c>
      <c r="F6199">
        <v>27.69</v>
      </c>
      <c r="G6199">
        <v>26.64</v>
      </c>
      <c r="H6199" t="s">
        <v>17</v>
      </c>
      <c r="I6199" t="str">
        <f>"062569004325"</f>
        <v>062569004325</v>
      </c>
    </row>
    <row r="6200" spans="1:9" x14ac:dyDescent="0.25">
      <c r="A6200" t="s">
        <v>5393</v>
      </c>
      <c r="B6200" t="s">
        <v>13</v>
      </c>
      <c r="C6200">
        <v>34</v>
      </c>
      <c r="D6200">
        <v>37</v>
      </c>
      <c r="E6200" t="s">
        <v>17</v>
      </c>
      <c r="F6200">
        <v>31.79</v>
      </c>
      <c r="G6200">
        <v>27.68</v>
      </c>
      <c r="H6200" t="s">
        <v>17</v>
      </c>
      <c r="I6200" t="str">
        <f>"063339011886"</f>
        <v>063339011886</v>
      </c>
    </row>
    <row r="6201" spans="1:9" x14ac:dyDescent="0.25">
      <c r="A6201" t="s">
        <v>5394</v>
      </c>
      <c r="B6201" t="s">
        <v>13</v>
      </c>
      <c r="C6201">
        <v>31</v>
      </c>
      <c r="D6201">
        <v>31</v>
      </c>
      <c r="E6201" t="s">
        <v>17</v>
      </c>
      <c r="F6201">
        <v>24.39</v>
      </c>
      <c r="G6201">
        <v>24.61</v>
      </c>
      <c r="H6201" t="s">
        <v>17</v>
      </c>
      <c r="I6201" t="str">
        <f>"062814004340"</f>
        <v>062814004340</v>
      </c>
    </row>
    <row r="6202" spans="1:9" x14ac:dyDescent="0.25">
      <c r="A6202" t="s">
        <v>5394</v>
      </c>
      <c r="B6202" t="s">
        <v>13</v>
      </c>
      <c r="C6202">
        <v>32</v>
      </c>
      <c r="D6202">
        <v>24.84</v>
      </c>
      <c r="E6202" t="s">
        <v>17</v>
      </c>
      <c r="F6202">
        <v>25.22</v>
      </c>
      <c r="G6202">
        <v>24.64</v>
      </c>
      <c r="H6202" t="s">
        <v>17</v>
      </c>
      <c r="I6202" t="str">
        <f>"064356012413"</f>
        <v>064356012413</v>
      </c>
    </row>
    <row r="6203" spans="1:9" x14ac:dyDescent="0.25">
      <c r="A6203" t="s">
        <v>5395</v>
      </c>
      <c r="B6203" t="s">
        <v>13</v>
      </c>
      <c r="C6203">
        <v>6.6</v>
      </c>
      <c r="D6203">
        <v>6.2</v>
      </c>
      <c r="E6203" t="s">
        <v>17</v>
      </c>
      <c r="F6203">
        <v>17.12</v>
      </c>
      <c r="G6203">
        <v>18.55</v>
      </c>
      <c r="H6203" t="s">
        <v>17</v>
      </c>
      <c r="I6203" t="str">
        <f>"063680006237"</f>
        <v>063680006237</v>
      </c>
    </row>
    <row r="6204" spans="1:9" x14ac:dyDescent="0.25">
      <c r="A6204" t="s">
        <v>5396</v>
      </c>
      <c r="B6204" t="s">
        <v>13</v>
      </c>
      <c r="C6204">
        <v>33.08</v>
      </c>
      <c r="D6204">
        <v>33.04</v>
      </c>
      <c r="E6204" t="s">
        <v>17</v>
      </c>
      <c r="F6204">
        <v>28.3</v>
      </c>
      <c r="G6204">
        <v>29.06</v>
      </c>
      <c r="H6204" t="s">
        <v>17</v>
      </c>
      <c r="I6204" t="str">
        <f>"062958009608"</f>
        <v>062958009608</v>
      </c>
    </row>
    <row r="6205" spans="1:9" x14ac:dyDescent="0.25">
      <c r="A6205" t="s">
        <v>5397</v>
      </c>
      <c r="B6205" t="s">
        <v>13</v>
      </c>
      <c r="C6205">
        <v>28</v>
      </c>
      <c r="D6205">
        <v>27</v>
      </c>
      <c r="E6205" t="s">
        <v>17</v>
      </c>
      <c r="F6205">
        <v>29.43</v>
      </c>
      <c r="G6205">
        <v>29.63</v>
      </c>
      <c r="H6205" t="s">
        <v>17</v>
      </c>
      <c r="I6205" t="str">
        <f>"060001407295"</f>
        <v>060001407295</v>
      </c>
    </row>
    <row r="6206" spans="1:9" x14ac:dyDescent="0.25">
      <c r="A6206" t="s">
        <v>5398</v>
      </c>
      <c r="B6206" t="s">
        <v>13</v>
      </c>
      <c r="C6206">
        <v>6</v>
      </c>
      <c r="D6206" t="s">
        <v>14</v>
      </c>
      <c r="E6206" t="s">
        <v>14</v>
      </c>
      <c r="F6206">
        <v>22.5</v>
      </c>
      <c r="G6206" t="s">
        <v>14</v>
      </c>
      <c r="H6206" t="s">
        <v>14</v>
      </c>
      <c r="I6206" t="str">
        <f>"069103013127"</f>
        <v>069103013127</v>
      </c>
    </row>
    <row r="6207" spans="1:9" x14ac:dyDescent="0.25">
      <c r="A6207" t="s">
        <v>5399</v>
      </c>
      <c r="B6207" t="s">
        <v>13</v>
      </c>
      <c r="C6207" t="s">
        <v>17</v>
      </c>
      <c r="D6207" t="s">
        <v>14</v>
      </c>
      <c r="E6207" t="s">
        <v>14</v>
      </c>
      <c r="F6207" t="s">
        <v>17</v>
      </c>
      <c r="G6207" t="s">
        <v>14</v>
      </c>
      <c r="H6207" t="s">
        <v>14</v>
      </c>
      <c r="I6207" t="str">
        <f>"062271013378"</f>
        <v>062271013378</v>
      </c>
    </row>
    <row r="6208" spans="1:9" x14ac:dyDescent="0.25">
      <c r="A6208" t="s">
        <v>5400</v>
      </c>
      <c r="B6208" t="s">
        <v>13</v>
      </c>
      <c r="C6208">
        <v>7</v>
      </c>
      <c r="D6208" t="s">
        <v>14</v>
      </c>
      <c r="E6208" t="s">
        <v>14</v>
      </c>
      <c r="F6208">
        <v>20.43</v>
      </c>
      <c r="G6208" t="s">
        <v>14</v>
      </c>
      <c r="H6208" t="s">
        <v>14</v>
      </c>
      <c r="I6208" t="str">
        <f>"069103013131"</f>
        <v>069103013131</v>
      </c>
    </row>
    <row r="6209" spans="1:9" x14ac:dyDescent="0.25">
      <c r="A6209" t="s">
        <v>5401</v>
      </c>
      <c r="B6209" t="s">
        <v>13</v>
      </c>
      <c r="C6209" t="s">
        <v>14</v>
      </c>
      <c r="D6209">
        <v>24</v>
      </c>
      <c r="E6209" t="s">
        <v>17</v>
      </c>
      <c r="F6209" t="s">
        <v>17</v>
      </c>
      <c r="G6209">
        <v>22.38</v>
      </c>
      <c r="H6209" t="s">
        <v>17</v>
      </c>
      <c r="I6209" t="str">
        <f>"069103012102"</f>
        <v>069103012102</v>
      </c>
    </row>
    <row r="6210" spans="1:9" x14ac:dyDescent="0.25">
      <c r="A6210" t="s">
        <v>5402</v>
      </c>
      <c r="B6210" t="s">
        <v>13</v>
      </c>
      <c r="C6210">
        <v>1</v>
      </c>
      <c r="D6210">
        <v>2</v>
      </c>
      <c r="E6210" t="s">
        <v>17</v>
      </c>
      <c r="F6210">
        <v>19</v>
      </c>
      <c r="G6210">
        <v>17.5</v>
      </c>
      <c r="H6210" t="s">
        <v>17</v>
      </c>
      <c r="I6210" t="str">
        <f>"069103012121"</f>
        <v>069103012121</v>
      </c>
    </row>
    <row r="6211" spans="1:9" x14ac:dyDescent="0.25">
      <c r="A6211" t="s">
        <v>5403</v>
      </c>
      <c r="B6211" t="s">
        <v>13</v>
      </c>
      <c r="C6211">
        <v>9</v>
      </c>
      <c r="D6211" t="s">
        <v>14</v>
      </c>
      <c r="E6211" t="s">
        <v>14</v>
      </c>
      <c r="F6211">
        <v>26.33</v>
      </c>
      <c r="G6211" t="s">
        <v>14</v>
      </c>
      <c r="H6211" t="s">
        <v>14</v>
      </c>
      <c r="I6211" t="str">
        <f>"069103013087"</f>
        <v>069103013087</v>
      </c>
    </row>
    <row r="6212" spans="1:9" x14ac:dyDescent="0.25">
      <c r="A6212" t="s">
        <v>5404</v>
      </c>
      <c r="B6212" t="s">
        <v>13</v>
      </c>
      <c r="C6212">
        <v>9</v>
      </c>
      <c r="D6212">
        <v>9</v>
      </c>
      <c r="E6212" t="s">
        <v>17</v>
      </c>
      <c r="F6212">
        <v>13.67</v>
      </c>
      <c r="G6212">
        <v>13.33</v>
      </c>
      <c r="H6212" t="s">
        <v>17</v>
      </c>
      <c r="I6212" t="str">
        <f>"063441011409"</f>
        <v>063441011409</v>
      </c>
    </row>
    <row r="6213" spans="1:9" x14ac:dyDescent="0.25">
      <c r="A6213" t="s">
        <v>5405</v>
      </c>
      <c r="B6213" t="s">
        <v>13</v>
      </c>
      <c r="C6213">
        <v>9</v>
      </c>
      <c r="D6213">
        <v>7.01</v>
      </c>
      <c r="E6213" t="s">
        <v>17</v>
      </c>
      <c r="F6213">
        <v>20.67</v>
      </c>
      <c r="G6213">
        <v>22.25</v>
      </c>
      <c r="H6213" t="s">
        <v>17</v>
      </c>
      <c r="I6213" t="str">
        <f>"062271003181"</f>
        <v>062271003181</v>
      </c>
    </row>
    <row r="6214" spans="1:9" x14ac:dyDescent="0.25">
      <c r="A6214" t="s">
        <v>5406</v>
      </c>
      <c r="B6214" t="s">
        <v>13</v>
      </c>
      <c r="C6214">
        <v>8</v>
      </c>
      <c r="D6214">
        <v>10.4</v>
      </c>
      <c r="E6214" t="s">
        <v>17</v>
      </c>
      <c r="F6214">
        <v>17.25</v>
      </c>
      <c r="G6214">
        <v>15.1</v>
      </c>
      <c r="H6214" t="s">
        <v>17</v>
      </c>
      <c r="I6214" t="str">
        <f>"062805011350"</f>
        <v>062805011350</v>
      </c>
    </row>
    <row r="6215" spans="1:9" x14ac:dyDescent="0.25">
      <c r="A6215" t="s">
        <v>5407</v>
      </c>
      <c r="B6215" t="s">
        <v>13</v>
      </c>
      <c r="C6215">
        <v>32</v>
      </c>
      <c r="D6215">
        <v>34</v>
      </c>
      <c r="E6215" t="s">
        <v>17</v>
      </c>
      <c r="F6215">
        <v>24.13</v>
      </c>
      <c r="G6215">
        <v>24.06</v>
      </c>
      <c r="H6215" t="s">
        <v>17</v>
      </c>
      <c r="I6215" t="str">
        <f>"062271003182"</f>
        <v>062271003182</v>
      </c>
    </row>
    <row r="6216" spans="1:9" x14ac:dyDescent="0.25">
      <c r="A6216" t="s">
        <v>5408</v>
      </c>
      <c r="B6216" t="s">
        <v>13</v>
      </c>
      <c r="C6216">
        <v>23</v>
      </c>
      <c r="D6216">
        <v>25</v>
      </c>
      <c r="E6216" t="s">
        <v>17</v>
      </c>
      <c r="F6216">
        <v>22.83</v>
      </c>
      <c r="G6216">
        <v>22.12</v>
      </c>
      <c r="H6216" t="s">
        <v>17</v>
      </c>
      <c r="I6216" t="str">
        <f>"060939006353"</f>
        <v>060939006353</v>
      </c>
    </row>
    <row r="6217" spans="1:9" x14ac:dyDescent="0.25">
      <c r="A6217" t="s">
        <v>5409</v>
      </c>
      <c r="B6217" t="s">
        <v>13</v>
      </c>
      <c r="C6217">
        <v>31.3</v>
      </c>
      <c r="D6217">
        <v>30.74</v>
      </c>
      <c r="E6217" t="s">
        <v>17</v>
      </c>
      <c r="F6217">
        <v>29.3</v>
      </c>
      <c r="G6217">
        <v>29.77</v>
      </c>
      <c r="H6217" t="s">
        <v>17</v>
      </c>
      <c r="I6217" t="str">
        <f>"060846011325"</f>
        <v>060846011325</v>
      </c>
    </row>
    <row r="6218" spans="1:9" x14ac:dyDescent="0.25">
      <c r="A6218" t="s">
        <v>5410</v>
      </c>
      <c r="B6218" t="s">
        <v>13</v>
      </c>
      <c r="C6218">
        <v>27</v>
      </c>
      <c r="D6218">
        <v>25</v>
      </c>
      <c r="E6218" t="s">
        <v>17</v>
      </c>
      <c r="F6218">
        <v>28.89</v>
      </c>
      <c r="G6218">
        <v>29.56</v>
      </c>
      <c r="H6218" t="s">
        <v>17</v>
      </c>
      <c r="I6218" t="str">
        <f>"060133204154"</f>
        <v>060133204154</v>
      </c>
    </row>
    <row r="6219" spans="1:9" x14ac:dyDescent="0.25">
      <c r="A6219" t="s">
        <v>5411</v>
      </c>
      <c r="B6219" t="s">
        <v>13</v>
      </c>
      <c r="C6219">
        <v>27</v>
      </c>
      <c r="D6219" t="s">
        <v>14</v>
      </c>
      <c r="E6219" t="s">
        <v>14</v>
      </c>
      <c r="F6219">
        <v>25</v>
      </c>
      <c r="G6219" t="s">
        <v>14</v>
      </c>
      <c r="H6219" t="s">
        <v>14</v>
      </c>
      <c r="I6219" t="str">
        <f>"062271013045"</f>
        <v>062271013045</v>
      </c>
    </row>
    <row r="6220" spans="1:9" x14ac:dyDescent="0.25">
      <c r="A6220" t="s">
        <v>5412</v>
      </c>
      <c r="B6220" t="s">
        <v>13</v>
      </c>
      <c r="C6220">
        <v>15</v>
      </c>
      <c r="D6220">
        <v>14</v>
      </c>
      <c r="E6220" t="s">
        <v>17</v>
      </c>
      <c r="F6220">
        <v>19.73</v>
      </c>
      <c r="G6220">
        <v>19.86</v>
      </c>
      <c r="H6220" t="s">
        <v>17</v>
      </c>
      <c r="I6220" t="str">
        <f>"062271003183"</f>
        <v>062271003183</v>
      </c>
    </row>
    <row r="6221" spans="1:9" x14ac:dyDescent="0.25">
      <c r="A6221" t="s">
        <v>5413</v>
      </c>
      <c r="B6221" t="s">
        <v>13</v>
      </c>
      <c r="C6221">
        <v>1</v>
      </c>
      <c r="D6221">
        <v>1</v>
      </c>
      <c r="E6221" t="s">
        <v>17</v>
      </c>
      <c r="F6221">
        <v>21</v>
      </c>
      <c r="G6221">
        <v>11</v>
      </c>
      <c r="H6221" t="s">
        <v>17</v>
      </c>
      <c r="I6221" t="str">
        <f>"064254000117"</f>
        <v>064254000117</v>
      </c>
    </row>
    <row r="6222" spans="1:9" x14ac:dyDescent="0.25">
      <c r="A6222" t="s">
        <v>5414</v>
      </c>
      <c r="B6222" t="s">
        <v>13</v>
      </c>
      <c r="C6222">
        <v>13.5</v>
      </c>
      <c r="D6222">
        <v>14</v>
      </c>
      <c r="E6222" t="s">
        <v>17</v>
      </c>
      <c r="F6222">
        <v>20.07</v>
      </c>
      <c r="G6222">
        <v>20.36</v>
      </c>
      <c r="H6222" t="s">
        <v>17</v>
      </c>
      <c r="I6222" t="str">
        <f>"062271002823"</f>
        <v>062271002823</v>
      </c>
    </row>
    <row r="6223" spans="1:9" x14ac:dyDescent="0.25">
      <c r="A6223" t="s">
        <v>5415</v>
      </c>
      <c r="B6223" t="s">
        <v>13</v>
      </c>
      <c r="C6223">
        <v>13.21</v>
      </c>
      <c r="D6223">
        <v>12.62</v>
      </c>
      <c r="E6223" t="s">
        <v>17</v>
      </c>
      <c r="F6223">
        <v>24.07</v>
      </c>
      <c r="G6223">
        <v>24.17</v>
      </c>
      <c r="H6223" t="s">
        <v>17</v>
      </c>
      <c r="I6223" t="str">
        <f>"063531007197"</f>
        <v>063531007197</v>
      </c>
    </row>
    <row r="6224" spans="1:9" x14ac:dyDescent="0.25">
      <c r="A6224" t="s">
        <v>5415</v>
      </c>
      <c r="B6224" t="s">
        <v>13</v>
      </c>
      <c r="C6224">
        <v>13</v>
      </c>
      <c r="D6224">
        <v>13</v>
      </c>
      <c r="E6224" t="s">
        <v>17</v>
      </c>
      <c r="F6224">
        <v>30.54</v>
      </c>
      <c r="G6224">
        <v>30.23</v>
      </c>
      <c r="H6224" t="s">
        <v>17</v>
      </c>
      <c r="I6224" t="str">
        <f>"062271010843"</f>
        <v>062271010843</v>
      </c>
    </row>
    <row r="6225" spans="1:9" x14ac:dyDescent="0.25">
      <c r="A6225" t="s">
        <v>5415</v>
      </c>
      <c r="B6225" t="s">
        <v>13</v>
      </c>
      <c r="C6225">
        <v>8</v>
      </c>
      <c r="D6225">
        <v>8</v>
      </c>
      <c r="E6225" t="s">
        <v>17</v>
      </c>
      <c r="F6225">
        <v>30</v>
      </c>
      <c r="G6225">
        <v>29.75</v>
      </c>
      <c r="H6225" t="s">
        <v>17</v>
      </c>
      <c r="I6225" t="str">
        <f>"062223008616"</f>
        <v>062223008616</v>
      </c>
    </row>
    <row r="6226" spans="1:9" x14ac:dyDescent="0.25">
      <c r="A6226" t="s">
        <v>5415</v>
      </c>
      <c r="B6226" t="s">
        <v>13</v>
      </c>
      <c r="C6226">
        <v>2</v>
      </c>
      <c r="D6226">
        <v>2</v>
      </c>
      <c r="E6226" t="s">
        <v>17</v>
      </c>
      <c r="F6226">
        <v>21</v>
      </c>
      <c r="G6226">
        <v>20.5</v>
      </c>
      <c r="H6226" t="s">
        <v>17</v>
      </c>
      <c r="I6226" t="str">
        <f>"063459008633"</f>
        <v>063459008633</v>
      </c>
    </row>
    <row r="6227" spans="1:9" x14ac:dyDescent="0.25">
      <c r="A6227" t="s">
        <v>5415</v>
      </c>
      <c r="B6227" t="s">
        <v>13</v>
      </c>
      <c r="C6227">
        <v>10</v>
      </c>
      <c r="D6227">
        <v>10</v>
      </c>
      <c r="E6227" t="s">
        <v>17</v>
      </c>
      <c r="F6227">
        <v>27.9</v>
      </c>
      <c r="G6227">
        <v>28.5</v>
      </c>
      <c r="H6227" t="s">
        <v>17</v>
      </c>
      <c r="I6227" t="str">
        <f>"063255009622"</f>
        <v>063255009622</v>
      </c>
    </row>
    <row r="6228" spans="1:9" x14ac:dyDescent="0.25">
      <c r="A6228" t="s">
        <v>5415</v>
      </c>
      <c r="B6228" t="s">
        <v>13</v>
      </c>
      <c r="C6228">
        <v>7</v>
      </c>
      <c r="D6228">
        <v>7</v>
      </c>
      <c r="E6228" t="s">
        <v>17</v>
      </c>
      <c r="F6228">
        <v>23.86</v>
      </c>
      <c r="G6228">
        <v>22.29</v>
      </c>
      <c r="H6228" t="s">
        <v>17</v>
      </c>
      <c r="I6228" t="str">
        <f>"063417010366"</f>
        <v>063417010366</v>
      </c>
    </row>
    <row r="6229" spans="1:9" x14ac:dyDescent="0.25">
      <c r="A6229" t="s">
        <v>5416</v>
      </c>
      <c r="B6229" t="s">
        <v>13</v>
      </c>
      <c r="C6229" t="s">
        <v>14</v>
      </c>
      <c r="D6229" t="s">
        <v>14</v>
      </c>
      <c r="E6229" t="s">
        <v>17</v>
      </c>
      <c r="F6229" t="s">
        <v>14</v>
      </c>
      <c r="G6229" t="s">
        <v>14</v>
      </c>
      <c r="H6229" t="s">
        <v>17</v>
      </c>
      <c r="I6229" t="str">
        <f>"064308011379"</f>
        <v>064308011379</v>
      </c>
    </row>
    <row r="6230" spans="1:9" x14ac:dyDescent="0.25">
      <c r="A6230" t="s">
        <v>5417</v>
      </c>
      <c r="B6230" t="s">
        <v>13</v>
      </c>
      <c r="C6230">
        <v>11</v>
      </c>
      <c r="D6230">
        <v>11</v>
      </c>
      <c r="E6230" t="s">
        <v>17</v>
      </c>
      <c r="F6230">
        <v>22</v>
      </c>
      <c r="G6230">
        <v>21.45</v>
      </c>
      <c r="H6230" t="s">
        <v>17</v>
      </c>
      <c r="I6230" t="str">
        <f>"062271011620"</f>
        <v>062271011620</v>
      </c>
    </row>
    <row r="6231" spans="1:9" x14ac:dyDescent="0.25">
      <c r="A6231" t="s">
        <v>5418</v>
      </c>
      <c r="B6231" t="s">
        <v>13</v>
      </c>
      <c r="C6231">
        <v>47</v>
      </c>
      <c r="D6231">
        <v>51</v>
      </c>
      <c r="E6231" t="s">
        <v>17</v>
      </c>
      <c r="F6231">
        <v>25.19</v>
      </c>
      <c r="G6231">
        <v>25.02</v>
      </c>
      <c r="H6231" t="s">
        <v>17</v>
      </c>
      <c r="I6231" t="str">
        <f>"062271003184"</f>
        <v>062271003184</v>
      </c>
    </row>
    <row r="6232" spans="1:9" x14ac:dyDescent="0.25">
      <c r="A6232" t="s">
        <v>5419</v>
      </c>
      <c r="B6232" t="s">
        <v>13</v>
      </c>
      <c r="C6232" t="str">
        <f>"0.50"</f>
        <v>0.50</v>
      </c>
      <c r="D6232" t="str">
        <f>"0.25"</f>
        <v>0.25</v>
      </c>
      <c r="E6232" t="s">
        <v>17</v>
      </c>
      <c r="F6232">
        <v>10</v>
      </c>
      <c r="G6232">
        <v>56</v>
      </c>
      <c r="H6232" t="s">
        <v>17</v>
      </c>
      <c r="I6232" t="str">
        <f>"062475005815"</f>
        <v>062475005815</v>
      </c>
    </row>
    <row r="6233" spans="1:9" x14ac:dyDescent="0.25">
      <c r="A6233" t="s">
        <v>5420</v>
      </c>
      <c r="B6233" t="s">
        <v>13</v>
      </c>
      <c r="C6233" t="s">
        <v>17</v>
      </c>
      <c r="D6233">
        <v>1</v>
      </c>
      <c r="E6233" t="s">
        <v>17</v>
      </c>
      <c r="F6233" t="s">
        <v>17</v>
      </c>
      <c r="G6233">
        <v>3</v>
      </c>
      <c r="H6233" t="s">
        <v>17</v>
      </c>
      <c r="I6233" t="str">
        <f>"062475007507"</f>
        <v>062475007507</v>
      </c>
    </row>
    <row r="6234" spans="1:9" x14ac:dyDescent="0.25">
      <c r="A6234" t="s">
        <v>5421</v>
      </c>
      <c r="B6234" t="s">
        <v>13</v>
      </c>
      <c r="C6234">
        <v>25.59</v>
      </c>
      <c r="D6234">
        <v>27.05</v>
      </c>
      <c r="E6234" t="s">
        <v>17</v>
      </c>
      <c r="F6234">
        <v>19.38</v>
      </c>
      <c r="G6234">
        <v>18.82</v>
      </c>
      <c r="H6234" t="s">
        <v>17</v>
      </c>
      <c r="I6234" t="str">
        <f>"062475003708"</f>
        <v>062475003708</v>
      </c>
    </row>
    <row r="6235" spans="1:9" x14ac:dyDescent="0.25">
      <c r="A6235" t="s">
        <v>5422</v>
      </c>
      <c r="B6235" t="s">
        <v>13</v>
      </c>
      <c r="C6235">
        <v>12.6</v>
      </c>
      <c r="D6235">
        <v>12.6</v>
      </c>
      <c r="E6235" t="s">
        <v>17</v>
      </c>
      <c r="F6235">
        <v>19.920000000000002</v>
      </c>
      <c r="G6235">
        <v>20.399999999999999</v>
      </c>
      <c r="H6235" t="s">
        <v>17</v>
      </c>
      <c r="I6235" t="str">
        <f>"062475009155"</f>
        <v>062475009155</v>
      </c>
    </row>
    <row r="6236" spans="1:9" x14ac:dyDescent="0.25">
      <c r="A6236" t="s">
        <v>5423</v>
      </c>
      <c r="B6236" t="s">
        <v>13</v>
      </c>
      <c r="C6236">
        <v>25</v>
      </c>
      <c r="D6236">
        <v>25</v>
      </c>
      <c r="E6236" t="s">
        <v>17</v>
      </c>
      <c r="F6236">
        <v>29.44</v>
      </c>
      <c r="G6236">
        <v>28.96</v>
      </c>
      <c r="H6236" t="s">
        <v>17</v>
      </c>
      <c r="I6236" t="str">
        <f>"062580003866"</f>
        <v>062580003866</v>
      </c>
    </row>
    <row r="6237" spans="1:9" x14ac:dyDescent="0.25">
      <c r="A6237" t="s">
        <v>5423</v>
      </c>
      <c r="B6237" t="s">
        <v>13</v>
      </c>
      <c r="C6237">
        <v>23.5</v>
      </c>
      <c r="D6237">
        <v>23</v>
      </c>
      <c r="E6237" t="s">
        <v>17</v>
      </c>
      <c r="F6237">
        <v>27.91</v>
      </c>
      <c r="G6237">
        <v>27.39</v>
      </c>
      <c r="H6237" t="s">
        <v>17</v>
      </c>
      <c r="I6237" t="str">
        <f>"063153004889"</f>
        <v>063153004889</v>
      </c>
    </row>
    <row r="6238" spans="1:9" x14ac:dyDescent="0.25">
      <c r="A6238" t="s">
        <v>5424</v>
      </c>
      <c r="B6238" t="s">
        <v>13</v>
      </c>
      <c r="C6238">
        <v>2.5</v>
      </c>
      <c r="D6238">
        <v>3</v>
      </c>
      <c r="E6238" t="s">
        <v>17</v>
      </c>
      <c r="F6238">
        <v>27.2</v>
      </c>
      <c r="G6238">
        <v>23</v>
      </c>
      <c r="H6238" t="s">
        <v>17</v>
      </c>
      <c r="I6238" t="str">
        <f>"063583005455"</f>
        <v>063583005455</v>
      </c>
    </row>
    <row r="6239" spans="1:9" x14ac:dyDescent="0.25">
      <c r="A6239" t="s">
        <v>5425</v>
      </c>
      <c r="B6239" t="s">
        <v>13</v>
      </c>
      <c r="C6239">
        <v>1</v>
      </c>
      <c r="D6239">
        <v>2</v>
      </c>
      <c r="E6239" t="s">
        <v>17</v>
      </c>
      <c r="F6239">
        <v>18</v>
      </c>
      <c r="G6239">
        <v>14</v>
      </c>
      <c r="H6239" t="s">
        <v>17</v>
      </c>
      <c r="I6239" t="str">
        <f>"069104910713"</f>
        <v>069104910713</v>
      </c>
    </row>
    <row r="6240" spans="1:9" x14ac:dyDescent="0.25">
      <c r="A6240" t="s">
        <v>5426</v>
      </c>
      <c r="B6240" t="s">
        <v>13</v>
      </c>
      <c r="C6240">
        <v>7</v>
      </c>
      <c r="D6240">
        <v>7</v>
      </c>
      <c r="E6240" t="s">
        <v>17</v>
      </c>
      <c r="F6240">
        <v>14.43</v>
      </c>
      <c r="G6240">
        <v>11.29</v>
      </c>
      <c r="H6240" t="s">
        <v>17</v>
      </c>
      <c r="I6240" t="str">
        <f>"062478003709"</f>
        <v>062478003709</v>
      </c>
    </row>
    <row r="6241" spans="1:9" x14ac:dyDescent="0.25">
      <c r="A6241" t="s">
        <v>5427</v>
      </c>
      <c r="B6241" t="s">
        <v>13</v>
      </c>
      <c r="C6241">
        <v>22.25</v>
      </c>
      <c r="D6241">
        <v>22.25</v>
      </c>
      <c r="E6241" t="s">
        <v>17</v>
      </c>
      <c r="F6241">
        <v>29.21</v>
      </c>
      <c r="G6241">
        <v>28.9</v>
      </c>
      <c r="H6241" t="s">
        <v>17</v>
      </c>
      <c r="I6241" t="str">
        <f>"060579000521"</f>
        <v>060579000521</v>
      </c>
    </row>
    <row r="6242" spans="1:9" x14ac:dyDescent="0.25">
      <c r="A6242" t="s">
        <v>5427</v>
      </c>
      <c r="B6242" t="s">
        <v>13</v>
      </c>
      <c r="C6242">
        <v>30</v>
      </c>
      <c r="D6242">
        <v>29</v>
      </c>
      <c r="E6242" t="s">
        <v>17</v>
      </c>
      <c r="F6242">
        <v>24.87</v>
      </c>
      <c r="G6242">
        <v>26.38</v>
      </c>
      <c r="H6242" t="s">
        <v>17</v>
      </c>
      <c r="I6242" t="str">
        <f>"061455008845"</f>
        <v>061455008845</v>
      </c>
    </row>
    <row r="6243" spans="1:9" x14ac:dyDescent="0.25">
      <c r="A6243" t="s">
        <v>5428</v>
      </c>
      <c r="B6243" t="s">
        <v>13</v>
      </c>
      <c r="C6243">
        <v>2</v>
      </c>
      <c r="D6243">
        <v>6.01</v>
      </c>
      <c r="E6243" t="s">
        <v>17</v>
      </c>
      <c r="F6243">
        <v>7.5</v>
      </c>
      <c r="G6243">
        <v>15.64</v>
      </c>
      <c r="H6243" t="s">
        <v>17</v>
      </c>
      <c r="I6243" t="str">
        <f>"062271003133"</f>
        <v>062271003133</v>
      </c>
    </row>
    <row r="6244" spans="1:9" x14ac:dyDescent="0.25">
      <c r="A6244" t="s">
        <v>5429</v>
      </c>
      <c r="B6244" t="s">
        <v>13</v>
      </c>
      <c r="C6244">
        <v>25.1</v>
      </c>
      <c r="D6244">
        <v>25.14</v>
      </c>
      <c r="E6244" t="s">
        <v>17</v>
      </c>
      <c r="F6244">
        <v>21.12</v>
      </c>
      <c r="G6244">
        <v>20.6</v>
      </c>
      <c r="H6244" t="s">
        <v>17</v>
      </c>
      <c r="I6244" t="str">
        <f>"062241008882"</f>
        <v>062241008882</v>
      </c>
    </row>
    <row r="6245" spans="1:9" x14ac:dyDescent="0.25">
      <c r="A6245" t="s">
        <v>5430</v>
      </c>
      <c r="B6245" t="s">
        <v>13</v>
      </c>
      <c r="C6245">
        <v>23</v>
      </c>
      <c r="D6245">
        <v>23</v>
      </c>
      <c r="E6245" t="s">
        <v>17</v>
      </c>
      <c r="F6245">
        <v>26.78</v>
      </c>
      <c r="G6245">
        <v>27.61</v>
      </c>
      <c r="H6245" t="s">
        <v>17</v>
      </c>
      <c r="I6245" t="str">
        <f>"063357005179"</f>
        <v>063357005179</v>
      </c>
    </row>
    <row r="6246" spans="1:9" x14ac:dyDescent="0.25">
      <c r="A6246" t="s">
        <v>5431</v>
      </c>
      <c r="B6246" t="s">
        <v>13</v>
      </c>
      <c r="C6246">
        <v>45</v>
      </c>
      <c r="D6246">
        <v>63.5</v>
      </c>
      <c r="E6246" t="s">
        <v>17</v>
      </c>
      <c r="F6246">
        <v>24.36</v>
      </c>
      <c r="G6246">
        <v>24</v>
      </c>
      <c r="H6246" t="s">
        <v>17</v>
      </c>
      <c r="I6246" t="str">
        <f>"062271003185"</f>
        <v>062271003185</v>
      </c>
    </row>
    <row r="6247" spans="1:9" x14ac:dyDescent="0.25">
      <c r="A6247" t="s">
        <v>5432</v>
      </c>
      <c r="B6247" t="s">
        <v>13</v>
      </c>
      <c r="C6247">
        <v>5</v>
      </c>
      <c r="D6247">
        <v>4</v>
      </c>
      <c r="E6247" t="s">
        <v>17</v>
      </c>
      <c r="F6247">
        <v>13.8</v>
      </c>
      <c r="G6247">
        <v>10.75</v>
      </c>
      <c r="H6247" t="s">
        <v>17</v>
      </c>
      <c r="I6247" t="str">
        <f>"060133207728"</f>
        <v>060133207728</v>
      </c>
    </row>
    <row r="6248" spans="1:9" x14ac:dyDescent="0.25">
      <c r="A6248" t="s">
        <v>5433</v>
      </c>
      <c r="B6248" t="s">
        <v>13</v>
      </c>
      <c r="C6248">
        <v>1</v>
      </c>
      <c r="D6248">
        <v>1</v>
      </c>
      <c r="E6248" t="s">
        <v>17</v>
      </c>
      <c r="F6248">
        <v>7</v>
      </c>
      <c r="G6248" t="s">
        <v>17</v>
      </c>
      <c r="H6248" t="s">
        <v>17</v>
      </c>
      <c r="I6248" t="str">
        <f>"060912008696"</f>
        <v>060912008696</v>
      </c>
    </row>
    <row r="6249" spans="1:9" x14ac:dyDescent="0.25">
      <c r="A6249" t="s">
        <v>5434</v>
      </c>
      <c r="B6249" t="s">
        <v>13</v>
      </c>
      <c r="C6249">
        <v>1</v>
      </c>
      <c r="D6249">
        <v>1</v>
      </c>
      <c r="E6249" t="s">
        <v>17</v>
      </c>
      <c r="F6249">
        <v>8</v>
      </c>
      <c r="G6249">
        <v>10</v>
      </c>
      <c r="H6249" t="s">
        <v>17</v>
      </c>
      <c r="I6249" t="str">
        <f>"061398012646"</f>
        <v>061398012646</v>
      </c>
    </row>
    <row r="6250" spans="1:9" x14ac:dyDescent="0.25">
      <c r="A6250" t="s">
        <v>5435</v>
      </c>
      <c r="B6250" t="s">
        <v>13</v>
      </c>
      <c r="C6250">
        <v>12</v>
      </c>
      <c r="D6250">
        <v>11</v>
      </c>
      <c r="E6250" t="s">
        <v>17</v>
      </c>
      <c r="F6250">
        <v>20.25</v>
      </c>
      <c r="G6250">
        <v>23</v>
      </c>
      <c r="H6250" t="s">
        <v>17</v>
      </c>
      <c r="I6250" t="str">
        <f>"063441005601"</f>
        <v>063441005601</v>
      </c>
    </row>
    <row r="6251" spans="1:9" x14ac:dyDescent="0.25">
      <c r="A6251" t="s">
        <v>5436</v>
      </c>
      <c r="B6251" t="s">
        <v>13</v>
      </c>
      <c r="C6251">
        <v>14</v>
      </c>
      <c r="D6251">
        <v>14</v>
      </c>
      <c r="E6251" t="s">
        <v>17</v>
      </c>
      <c r="F6251">
        <v>30.93</v>
      </c>
      <c r="G6251">
        <v>30.29</v>
      </c>
      <c r="H6251" t="s">
        <v>17</v>
      </c>
      <c r="I6251" t="str">
        <f>"064245006943"</f>
        <v>064245006943</v>
      </c>
    </row>
    <row r="6252" spans="1:9" x14ac:dyDescent="0.25">
      <c r="A6252" t="s">
        <v>5437</v>
      </c>
      <c r="B6252" t="s">
        <v>13</v>
      </c>
      <c r="C6252">
        <v>23.5</v>
      </c>
      <c r="D6252">
        <v>20.5</v>
      </c>
      <c r="E6252" t="s">
        <v>17</v>
      </c>
      <c r="F6252">
        <v>22.13</v>
      </c>
      <c r="G6252">
        <v>24.54</v>
      </c>
      <c r="H6252" t="s">
        <v>17</v>
      </c>
      <c r="I6252" t="str">
        <f>"060004507092"</f>
        <v>060004507092</v>
      </c>
    </row>
    <row r="6253" spans="1:9" x14ac:dyDescent="0.25">
      <c r="A6253" t="s">
        <v>5438</v>
      </c>
      <c r="B6253" t="s">
        <v>13</v>
      </c>
      <c r="C6253">
        <v>49.87</v>
      </c>
      <c r="D6253">
        <v>44.5</v>
      </c>
      <c r="E6253" t="s">
        <v>17</v>
      </c>
      <c r="F6253">
        <v>19.489999999999998</v>
      </c>
      <c r="G6253">
        <v>19.510000000000002</v>
      </c>
      <c r="H6253" t="s">
        <v>17</v>
      </c>
      <c r="I6253" t="str">
        <f>"062487003712"</f>
        <v>062487003712</v>
      </c>
    </row>
    <row r="6254" spans="1:9" x14ac:dyDescent="0.25">
      <c r="A6254" t="s">
        <v>5439</v>
      </c>
      <c r="B6254" t="s">
        <v>13</v>
      </c>
      <c r="C6254">
        <v>26.32</v>
      </c>
      <c r="D6254">
        <v>23.99</v>
      </c>
      <c r="E6254" t="s">
        <v>17</v>
      </c>
      <c r="F6254">
        <v>17.59</v>
      </c>
      <c r="G6254">
        <v>18.420000000000002</v>
      </c>
      <c r="H6254" t="s">
        <v>17</v>
      </c>
      <c r="I6254" t="str">
        <f>"060231000112"</f>
        <v>060231000112</v>
      </c>
    </row>
    <row r="6255" spans="1:9" x14ac:dyDescent="0.25">
      <c r="A6255" t="s">
        <v>5440</v>
      </c>
      <c r="B6255" t="s">
        <v>13</v>
      </c>
      <c r="C6255">
        <v>29.5</v>
      </c>
      <c r="D6255">
        <v>28.31</v>
      </c>
      <c r="E6255" t="s">
        <v>17</v>
      </c>
      <c r="F6255">
        <v>25.97</v>
      </c>
      <c r="G6255">
        <v>25.33</v>
      </c>
      <c r="H6255" t="s">
        <v>17</v>
      </c>
      <c r="I6255" t="str">
        <f>"061314008836"</f>
        <v>061314008836</v>
      </c>
    </row>
    <row r="6256" spans="1:9" x14ac:dyDescent="0.25">
      <c r="A6256" t="s">
        <v>5441</v>
      </c>
      <c r="B6256" t="s">
        <v>13</v>
      </c>
      <c r="C6256">
        <v>29.01</v>
      </c>
      <c r="D6256">
        <v>28</v>
      </c>
      <c r="E6256" t="s">
        <v>17</v>
      </c>
      <c r="F6256">
        <v>20.92</v>
      </c>
      <c r="G6256">
        <v>20</v>
      </c>
      <c r="H6256" t="s">
        <v>17</v>
      </c>
      <c r="I6256" t="str">
        <f>"063432012376"</f>
        <v>063432012376</v>
      </c>
    </row>
    <row r="6257" spans="1:9" x14ac:dyDescent="0.25">
      <c r="A6257" t="s">
        <v>5442</v>
      </c>
      <c r="B6257" t="s">
        <v>13</v>
      </c>
      <c r="C6257">
        <v>22</v>
      </c>
      <c r="D6257">
        <v>20.53</v>
      </c>
      <c r="E6257" t="s">
        <v>17</v>
      </c>
      <c r="F6257">
        <v>20.32</v>
      </c>
      <c r="G6257">
        <v>21.53</v>
      </c>
      <c r="H6257" t="s">
        <v>17</v>
      </c>
      <c r="I6257" t="str">
        <f>"060004711426"</f>
        <v>060004711426</v>
      </c>
    </row>
    <row r="6258" spans="1:9" x14ac:dyDescent="0.25">
      <c r="A6258" t="s">
        <v>5443</v>
      </c>
      <c r="B6258" t="s">
        <v>13</v>
      </c>
      <c r="C6258" t="s">
        <v>17</v>
      </c>
      <c r="D6258" t="s">
        <v>14</v>
      </c>
      <c r="E6258" t="s">
        <v>14</v>
      </c>
      <c r="F6258" t="s">
        <v>17</v>
      </c>
      <c r="G6258" t="s">
        <v>14</v>
      </c>
      <c r="H6258" t="s">
        <v>14</v>
      </c>
      <c r="I6258" t="str">
        <f>"069102113148"</f>
        <v>069102113148</v>
      </c>
    </row>
    <row r="6259" spans="1:9" x14ac:dyDescent="0.25">
      <c r="A6259" t="s">
        <v>5444</v>
      </c>
      <c r="B6259" t="s">
        <v>13</v>
      </c>
      <c r="C6259">
        <v>5.9</v>
      </c>
      <c r="D6259">
        <v>5.3</v>
      </c>
      <c r="E6259" t="s">
        <v>17</v>
      </c>
      <c r="F6259">
        <v>11.69</v>
      </c>
      <c r="G6259">
        <v>14.53</v>
      </c>
      <c r="H6259" t="s">
        <v>17</v>
      </c>
      <c r="I6259" t="str">
        <f>"063033007819"</f>
        <v>063033007819</v>
      </c>
    </row>
    <row r="6260" spans="1:9" x14ac:dyDescent="0.25">
      <c r="A6260" t="s">
        <v>5445</v>
      </c>
      <c r="B6260" t="s">
        <v>13</v>
      </c>
      <c r="C6260">
        <v>30.5</v>
      </c>
      <c r="D6260">
        <v>30.5</v>
      </c>
      <c r="E6260" t="s">
        <v>17</v>
      </c>
      <c r="F6260">
        <v>28.52</v>
      </c>
      <c r="G6260">
        <v>28.92</v>
      </c>
      <c r="H6260" t="s">
        <v>17</v>
      </c>
      <c r="I6260" t="str">
        <f>"060558009319"</f>
        <v>060558009319</v>
      </c>
    </row>
    <row r="6261" spans="1:9" x14ac:dyDescent="0.25">
      <c r="A6261" t="s">
        <v>5446</v>
      </c>
      <c r="B6261" t="s">
        <v>13</v>
      </c>
      <c r="C6261">
        <v>31.6</v>
      </c>
      <c r="D6261">
        <v>31.6</v>
      </c>
      <c r="E6261" t="s">
        <v>17</v>
      </c>
      <c r="F6261">
        <v>19.239999999999998</v>
      </c>
      <c r="G6261">
        <v>19.37</v>
      </c>
      <c r="H6261" t="s">
        <v>17</v>
      </c>
      <c r="I6261" t="str">
        <f>"061122001247"</f>
        <v>061122001247</v>
      </c>
    </row>
    <row r="6262" spans="1:9" x14ac:dyDescent="0.25">
      <c r="A6262" t="s">
        <v>5447</v>
      </c>
      <c r="B6262" t="s">
        <v>13</v>
      </c>
      <c r="C6262">
        <v>36</v>
      </c>
      <c r="D6262">
        <v>36</v>
      </c>
      <c r="E6262" t="s">
        <v>17</v>
      </c>
      <c r="F6262">
        <v>18.36</v>
      </c>
      <c r="G6262">
        <v>20.309999999999999</v>
      </c>
      <c r="H6262" t="s">
        <v>17</v>
      </c>
      <c r="I6262" t="str">
        <f>"063432005519"</f>
        <v>063432005519</v>
      </c>
    </row>
    <row r="6263" spans="1:9" x14ac:dyDescent="0.25">
      <c r="A6263" t="s">
        <v>5447</v>
      </c>
      <c r="B6263" t="s">
        <v>13</v>
      </c>
      <c r="C6263">
        <v>22</v>
      </c>
      <c r="D6263">
        <v>22.1</v>
      </c>
      <c r="E6263" t="s">
        <v>17</v>
      </c>
      <c r="F6263">
        <v>23.68</v>
      </c>
      <c r="G6263">
        <v>24.34</v>
      </c>
      <c r="H6263" t="s">
        <v>17</v>
      </c>
      <c r="I6263" t="str">
        <f>"061288001460"</f>
        <v>061288001460</v>
      </c>
    </row>
    <row r="6264" spans="1:9" x14ac:dyDescent="0.25">
      <c r="A6264" t="s">
        <v>5448</v>
      </c>
      <c r="B6264" t="s">
        <v>13</v>
      </c>
      <c r="C6264">
        <v>5</v>
      </c>
      <c r="D6264">
        <v>5</v>
      </c>
      <c r="E6264" t="s">
        <v>17</v>
      </c>
      <c r="F6264">
        <v>20</v>
      </c>
      <c r="G6264">
        <v>18.600000000000001</v>
      </c>
      <c r="H6264" t="s">
        <v>17</v>
      </c>
      <c r="I6264" t="str">
        <f>"062118008151"</f>
        <v>062118008151</v>
      </c>
    </row>
    <row r="6265" spans="1:9" x14ac:dyDescent="0.25">
      <c r="A6265" t="s">
        <v>5449</v>
      </c>
      <c r="B6265" t="s">
        <v>13</v>
      </c>
      <c r="C6265">
        <v>13</v>
      </c>
      <c r="D6265">
        <v>8</v>
      </c>
      <c r="E6265" t="s">
        <v>17</v>
      </c>
      <c r="F6265">
        <v>7.69</v>
      </c>
      <c r="G6265">
        <v>9.3800000000000008</v>
      </c>
      <c r="H6265" t="s">
        <v>17</v>
      </c>
      <c r="I6265" t="str">
        <f>"069107812732"</f>
        <v>069107812732</v>
      </c>
    </row>
    <row r="6266" spans="1:9" x14ac:dyDescent="0.25">
      <c r="A6266" t="s">
        <v>5450</v>
      </c>
      <c r="B6266" t="s">
        <v>13</v>
      </c>
      <c r="C6266">
        <v>154.11000000000001</v>
      </c>
      <c r="D6266">
        <v>155.1</v>
      </c>
      <c r="E6266" t="s">
        <v>17</v>
      </c>
      <c r="F6266">
        <v>26.01</v>
      </c>
      <c r="G6266">
        <v>26.16</v>
      </c>
      <c r="H6266" t="s">
        <v>17</v>
      </c>
      <c r="I6266" t="str">
        <f>"062250002745"</f>
        <v>062250002745</v>
      </c>
    </row>
    <row r="6267" spans="1:9" x14ac:dyDescent="0.25">
      <c r="A6267" t="s">
        <v>5451</v>
      </c>
      <c r="B6267" t="s">
        <v>13</v>
      </c>
      <c r="C6267">
        <v>14</v>
      </c>
      <c r="D6267">
        <v>13.25</v>
      </c>
      <c r="E6267" t="s">
        <v>17</v>
      </c>
      <c r="F6267">
        <v>30.71</v>
      </c>
      <c r="G6267">
        <v>30.34</v>
      </c>
      <c r="H6267" t="s">
        <v>17</v>
      </c>
      <c r="I6267" t="str">
        <f>"063543006044"</f>
        <v>063543006044</v>
      </c>
    </row>
    <row r="6268" spans="1:9" x14ac:dyDescent="0.25">
      <c r="A6268" t="s">
        <v>5452</v>
      </c>
      <c r="B6268" t="s">
        <v>13</v>
      </c>
      <c r="C6268">
        <v>57.65</v>
      </c>
      <c r="D6268">
        <v>58.75</v>
      </c>
      <c r="E6268" t="s">
        <v>17</v>
      </c>
      <c r="F6268">
        <v>22.27</v>
      </c>
      <c r="G6268">
        <v>22.55</v>
      </c>
      <c r="H6268" t="s">
        <v>17</v>
      </c>
      <c r="I6268" t="str">
        <f>"063498005924"</f>
        <v>063498005924</v>
      </c>
    </row>
    <row r="6269" spans="1:9" x14ac:dyDescent="0.25">
      <c r="A6269" t="s">
        <v>5453</v>
      </c>
      <c r="B6269" t="s">
        <v>13</v>
      </c>
      <c r="C6269">
        <v>36</v>
      </c>
      <c r="D6269">
        <v>36.51</v>
      </c>
      <c r="E6269" t="s">
        <v>17</v>
      </c>
      <c r="F6269">
        <v>22.69</v>
      </c>
      <c r="G6269">
        <v>21.58</v>
      </c>
      <c r="H6269" t="s">
        <v>17</v>
      </c>
      <c r="I6269" t="str">
        <f>"061389001576"</f>
        <v>061389001576</v>
      </c>
    </row>
    <row r="6270" spans="1:9" x14ac:dyDescent="0.25">
      <c r="A6270" t="s">
        <v>5454</v>
      </c>
      <c r="B6270" t="s">
        <v>13</v>
      </c>
      <c r="C6270">
        <v>35.11</v>
      </c>
      <c r="D6270">
        <v>35.090000000000003</v>
      </c>
      <c r="E6270" t="s">
        <v>17</v>
      </c>
      <c r="F6270">
        <v>23.75</v>
      </c>
      <c r="G6270">
        <v>23.65</v>
      </c>
      <c r="H6270" t="s">
        <v>17</v>
      </c>
      <c r="I6270" t="str">
        <f>"062223011414"</f>
        <v>062223011414</v>
      </c>
    </row>
    <row r="6271" spans="1:9" x14ac:dyDescent="0.25">
      <c r="A6271" t="s">
        <v>5455</v>
      </c>
      <c r="B6271" t="s">
        <v>13</v>
      </c>
      <c r="C6271">
        <v>31</v>
      </c>
      <c r="D6271">
        <v>36.5</v>
      </c>
      <c r="E6271" t="s">
        <v>17</v>
      </c>
      <c r="F6271">
        <v>29.32</v>
      </c>
      <c r="G6271">
        <v>24.05</v>
      </c>
      <c r="H6271" t="s">
        <v>17</v>
      </c>
      <c r="I6271" t="str">
        <f>"062334003550"</f>
        <v>062334003550</v>
      </c>
    </row>
    <row r="6272" spans="1:9" x14ac:dyDescent="0.25">
      <c r="A6272" t="s">
        <v>5456</v>
      </c>
      <c r="B6272" t="s">
        <v>13</v>
      </c>
      <c r="C6272">
        <v>13</v>
      </c>
      <c r="D6272">
        <v>13</v>
      </c>
      <c r="E6272" t="s">
        <v>17</v>
      </c>
      <c r="F6272">
        <v>19.77</v>
      </c>
      <c r="G6272">
        <v>20.079999999999998</v>
      </c>
      <c r="H6272" t="s">
        <v>17</v>
      </c>
      <c r="I6272" t="str">
        <f>"062493003723"</f>
        <v>062493003723</v>
      </c>
    </row>
    <row r="6273" spans="1:9" x14ac:dyDescent="0.25">
      <c r="A6273" t="s">
        <v>5457</v>
      </c>
      <c r="B6273" t="s">
        <v>13</v>
      </c>
      <c r="C6273">
        <v>15.45</v>
      </c>
      <c r="D6273">
        <v>16.68</v>
      </c>
      <c r="E6273" t="s">
        <v>17</v>
      </c>
      <c r="F6273">
        <v>20.78</v>
      </c>
      <c r="G6273">
        <v>20.68</v>
      </c>
      <c r="H6273" t="s">
        <v>17</v>
      </c>
      <c r="I6273" t="str">
        <f>"063237007338"</f>
        <v>063237007338</v>
      </c>
    </row>
    <row r="6274" spans="1:9" x14ac:dyDescent="0.25">
      <c r="A6274" t="s">
        <v>5458</v>
      </c>
      <c r="B6274" t="s">
        <v>13</v>
      </c>
      <c r="C6274">
        <v>1.2</v>
      </c>
      <c r="D6274" t="s">
        <v>14</v>
      </c>
      <c r="E6274" t="s">
        <v>14</v>
      </c>
      <c r="F6274">
        <v>4.17</v>
      </c>
      <c r="G6274" t="s">
        <v>14</v>
      </c>
      <c r="H6274" t="s">
        <v>14</v>
      </c>
      <c r="I6274" t="str">
        <f>"062450013161"</f>
        <v>062450013161</v>
      </c>
    </row>
    <row r="6275" spans="1:9" x14ac:dyDescent="0.25">
      <c r="A6275" t="s">
        <v>5459</v>
      </c>
      <c r="B6275" t="s">
        <v>13</v>
      </c>
      <c r="C6275">
        <v>126.55</v>
      </c>
      <c r="D6275">
        <v>126.33</v>
      </c>
      <c r="E6275" t="s">
        <v>17</v>
      </c>
      <c r="F6275">
        <v>23.94</v>
      </c>
      <c r="G6275">
        <v>23.78</v>
      </c>
      <c r="H6275" t="s">
        <v>17</v>
      </c>
      <c r="I6275" t="str">
        <f>"062450003666"</f>
        <v>062450003666</v>
      </c>
    </row>
    <row r="6276" spans="1:9" x14ac:dyDescent="0.25">
      <c r="A6276" t="s">
        <v>5460</v>
      </c>
      <c r="B6276" t="s">
        <v>13</v>
      </c>
      <c r="C6276">
        <v>9.7200000000000006</v>
      </c>
      <c r="D6276">
        <v>6.25</v>
      </c>
      <c r="E6276" t="s">
        <v>14</v>
      </c>
      <c r="F6276">
        <v>22.12</v>
      </c>
      <c r="G6276">
        <v>21.44</v>
      </c>
      <c r="H6276" t="s">
        <v>14</v>
      </c>
      <c r="I6276" t="str">
        <f>"060011613035"</f>
        <v>060011613035</v>
      </c>
    </row>
    <row r="6277" spans="1:9" x14ac:dyDescent="0.25">
      <c r="A6277" t="s">
        <v>5461</v>
      </c>
      <c r="B6277" t="s">
        <v>13</v>
      </c>
      <c r="C6277">
        <v>12.38</v>
      </c>
      <c r="D6277">
        <v>18.75</v>
      </c>
      <c r="E6277" t="s">
        <v>17</v>
      </c>
      <c r="F6277">
        <v>20.76</v>
      </c>
      <c r="G6277">
        <v>15.09</v>
      </c>
      <c r="H6277" t="s">
        <v>17</v>
      </c>
      <c r="I6277" t="str">
        <f>"060011612212"</f>
        <v>060011612212</v>
      </c>
    </row>
    <row r="6278" spans="1:9" x14ac:dyDescent="0.25">
      <c r="A6278" t="s">
        <v>5462</v>
      </c>
      <c r="B6278" t="s">
        <v>13</v>
      </c>
      <c r="C6278">
        <v>18.5</v>
      </c>
      <c r="D6278">
        <v>20.8</v>
      </c>
      <c r="E6278" t="s">
        <v>17</v>
      </c>
      <c r="F6278">
        <v>26.97</v>
      </c>
      <c r="G6278">
        <v>23.17</v>
      </c>
      <c r="H6278" t="s">
        <v>17</v>
      </c>
      <c r="I6278" t="str">
        <f>"062781004217"</f>
        <v>062781004217</v>
      </c>
    </row>
    <row r="6279" spans="1:9" x14ac:dyDescent="0.25">
      <c r="A6279" t="s">
        <v>5463</v>
      </c>
      <c r="B6279" t="s">
        <v>13</v>
      </c>
      <c r="C6279">
        <v>1</v>
      </c>
      <c r="D6279">
        <v>1</v>
      </c>
      <c r="E6279" t="s">
        <v>17</v>
      </c>
      <c r="F6279">
        <v>7</v>
      </c>
      <c r="G6279">
        <v>7</v>
      </c>
      <c r="H6279" t="s">
        <v>17</v>
      </c>
      <c r="I6279" t="str">
        <f>"062502003724"</f>
        <v>062502003724</v>
      </c>
    </row>
    <row r="6280" spans="1:9" x14ac:dyDescent="0.25">
      <c r="A6280" t="s">
        <v>5464</v>
      </c>
      <c r="B6280" t="s">
        <v>13</v>
      </c>
      <c r="C6280">
        <v>23.06</v>
      </c>
      <c r="D6280">
        <v>25.06</v>
      </c>
      <c r="E6280" t="s">
        <v>17</v>
      </c>
      <c r="F6280">
        <v>29.79</v>
      </c>
      <c r="G6280">
        <v>27.29</v>
      </c>
      <c r="H6280" t="s">
        <v>17</v>
      </c>
      <c r="I6280" t="str">
        <f>"064116006799"</f>
        <v>064116006799</v>
      </c>
    </row>
    <row r="6281" spans="1:9" x14ac:dyDescent="0.25">
      <c r="A6281" t="s">
        <v>5465</v>
      </c>
      <c r="B6281" t="s">
        <v>13</v>
      </c>
      <c r="C6281">
        <v>2.5</v>
      </c>
      <c r="D6281">
        <v>8</v>
      </c>
      <c r="E6281" t="s">
        <v>17</v>
      </c>
      <c r="F6281">
        <v>70.8</v>
      </c>
      <c r="G6281">
        <v>21.13</v>
      </c>
      <c r="H6281" t="s">
        <v>17</v>
      </c>
      <c r="I6281" t="str">
        <f>"062475003706"</f>
        <v>062475003706</v>
      </c>
    </row>
    <row r="6282" spans="1:9" x14ac:dyDescent="0.25">
      <c r="A6282" t="s">
        <v>5466</v>
      </c>
      <c r="B6282" t="s">
        <v>13</v>
      </c>
      <c r="C6282">
        <v>21</v>
      </c>
      <c r="D6282">
        <v>22.2</v>
      </c>
      <c r="E6282" t="s">
        <v>17</v>
      </c>
      <c r="F6282">
        <v>25.38</v>
      </c>
      <c r="G6282">
        <v>25</v>
      </c>
      <c r="H6282" t="s">
        <v>17</v>
      </c>
      <c r="I6282" t="str">
        <f>"063822006447"</f>
        <v>063822006447</v>
      </c>
    </row>
    <row r="6283" spans="1:9" x14ac:dyDescent="0.25">
      <c r="A6283" t="s">
        <v>5467</v>
      </c>
      <c r="B6283" t="s">
        <v>13</v>
      </c>
      <c r="C6283">
        <v>22</v>
      </c>
      <c r="D6283">
        <v>27</v>
      </c>
      <c r="E6283" t="s">
        <v>17</v>
      </c>
      <c r="F6283">
        <v>28.64</v>
      </c>
      <c r="G6283">
        <v>22.85</v>
      </c>
      <c r="H6283" t="s">
        <v>17</v>
      </c>
      <c r="I6283" t="str">
        <f>"062949004546"</f>
        <v>062949004546</v>
      </c>
    </row>
    <row r="6284" spans="1:9" x14ac:dyDescent="0.25">
      <c r="A6284" t="s">
        <v>5468</v>
      </c>
      <c r="B6284" t="s">
        <v>13</v>
      </c>
      <c r="C6284">
        <v>13</v>
      </c>
      <c r="D6284">
        <v>13</v>
      </c>
      <c r="E6284" t="s">
        <v>17</v>
      </c>
      <c r="F6284">
        <v>26.85</v>
      </c>
      <c r="G6284">
        <v>26.54</v>
      </c>
      <c r="H6284" t="s">
        <v>17</v>
      </c>
      <c r="I6284" t="str">
        <f>"062970004612"</f>
        <v>062970004612</v>
      </c>
    </row>
    <row r="6285" spans="1:9" x14ac:dyDescent="0.25">
      <c r="A6285" t="s">
        <v>5469</v>
      </c>
      <c r="B6285" t="s">
        <v>13</v>
      </c>
      <c r="C6285">
        <v>101.79</v>
      </c>
      <c r="D6285">
        <v>96.79</v>
      </c>
      <c r="E6285" t="s">
        <v>17</v>
      </c>
      <c r="F6285">
        <v>24.13</v>
      </c>
      <c r="G6285">
        <v>25.09</v>
      </c>
      <c r="H6285" t="s">
        <v>17</v>
      </c>
      <c r="I6285" t="str">
        <f>"060002506328"</f>
        <v>060002506328</v>
      </c>
    </row>
    <row r="6286" spans="1:9" x14ac:dyDescent="0.25">
      <c r="A6286" t="s">
        <v>5470</v>
      </c>
      <c r="B6286" t="s">
        <v>13</v>
      </c>
      <c r="C6286">
        <v>61.15</v>
      </c>
      <c r="D6286">
        <v>63.61</v>
      </c>
      <c r="E6286" t="s">
        <v>17</v>
      </c>
      <c r="F6286">
        <v>26.21</v>
      </c>
      <c r="G6286">
        <v>25.07</v>
      </c>
      <c r="H6286" t="s">
        <v>17</v>
      </c>
      <c r="I6286" t="str">
        <f>"063462005799"</f>
        <v>063462005799</v>
      </c>
    </row>
    <row r="6287" spans="1:9" x14ac:dyDescent="0.25">
      <c r="A6287" t="s">
        <v>5471</v>
      </c>
      <c r="B6287" t="s">
        <v>13</v>
      </c>
      <c r="C6287">
        <v>36.020000000000003</v>
      </c>
      <c r="D6287">
        <v>36.14</v>
      </c>
      <c r="E6287" t="s">
        <v>17</v>
      </c>
      <c r="F6287">
        <v>24.6</v>
      </c>
      <c r="G6287">
        <v>24.41</v>
      </c>
      <c r="H6287" t="s">
        <v>17</v>
      </c>
      <c r="I6287" t="str">
        <f>"061926004980"</f>
        <v>061926004980</v>
      </c>
    </row>
    <row r="6288" spans="1:9" x14ac:dyDescent="0.25">
      <c r="A6288" t="s">
        <v>5472</v>
      </c>
      <c r="B6288" t="s">
        <v>13</v>
      </c>
      <c r="C6288">
        <v>106.65</v>
      </c>
      <c r="D6288">
        <v>112.67</v>
      </c>
      <c r="E6288" t="s">
        <v>17</v>
      </c>
      <c r="F6288">
        <v>24.14</v>
      </c>
      <c r="G6288">
        <v>23.2</v>
      </c>
      <c r="H6288" t="s">
        <v>17</v>
      </c>
      <c r="I6288" t="str">
        <f>"063432005520"</f>
        <v>063432005520</v>
      </c>
    </row>
    <row r="6289" spans="1:9" x14ac:dyDescent="0.25">
      <c r="A6289" t="s">
        <v>5473</v>
      </c>
      <c r="B6289" t="s">
        <v>13</v>
      </c>
      <c r="C6289">
        <v>13.15</v>
      </c>
      <c r="D6289">
        <v>14</v>
      </c>
      <c r="E6289" t="s">
        <v>17</v>
      </c>
      <c r="F6289">
        <v>30.19</v>
      </c>
      <c r="G6289">
        <v>28.86</v>
      </c>
      <c r="H6289" t="s">
        <v>17</v>
      </c>
      <c r="I6289" t="str">
        <f>"062827004378"</f>
        <v>062827004378</v>
      </c>
    </row>
    <row r="6290" spans="1:9" x14ac:dyDescent="0.25">
      <c r="A6290" t="s">
        <v>5474</v>
      </c>
      <c r="B6290" t="s">
        <v>13</v>
      </c>
      <c r="C6290">
        <v>81.849999999999994</v>
      </c>
      <c r="D6290">
        <v>74.95</v>
      </c>
      <c r="E6290" t="s">
        <v>17</v>
      </c>
      <c r="F6290">
        <v>24.78</v>
      </c>
      <c r="G6290">
        <v>26.88</v>
      </c>
      <c r="H6290" t="s">
        <v>17</v>
      </c>
      <c r="I6290" t="str">
        <f>"061954012155"</f>
        <v>061954012155</v>
      </c>
    </row>
    <row r="6291" spans="1:9" x14ac:dyDescent="0.25">
      <c r="A6291" t="s">
        <v>5475</v>
      </c>
      <c r="B6291" t="s">
        <v>13</v>
      </c>
      <c r="C6291">
        <v>1.26</v>
      </c>
      <c r="D6291" t="str">
        <f>"0.91"</f>
        <v>0.91</v>
      </c>
      <c r="E6291" t="s">
        <v>17</v>
      </c>
      <c r="F6291">
        <v>38.1</v>
      </c>
      <c r="G6291">
        <v>79.12</v>
      </c>
      <c r="H6291" t="s">
        <v>17</v>
      </c>
      <c r="I6291" t="str">
        <f>"063386007199"</f>
        <v>063386007199</v>
      </c>
    </row>
    <row r="6292" spans="1:9" x14ac:dyDescent="0.25">
      <c r="A6292" t="s">
        <v>5476</v>
      </c>
      <c r="B6292" t="s">
        <v>13</v>
      </c>
      <c r="C6292">
        <v>24</v>
      </c>
      <c r="D6292">
        <v>23</v>
      </c>
      <c r="E6292" t="s">
        <v>17</v>
      </c>
      <c r="F6292">
        <v>21.79</v>
      </c>
      <c r="G6292">
        <v>24.26</v>
      </c>
      <c r="H6292" t="s">
        <v>17</v>
      </c>
      <c r="I6292" t="str">
        <f>"063255005044"</f>
        <v>063255005044</v>
      </c>
    </row>
    <row r="6293" spans="1:9" x14ac:dyDescent="0.25">
      <c r="A6293" t="s">
        <v>5477</v>
      </c>
      <c r="B6293" t="s">
        <v>13</v>
      </c>
      <c r="C6293">
        <v>38.75</v>
      </c>
      <c r="D6293">
        <v>38.1</v>
      </c>
      <c r="E6293" t="s">
        <v>17</v>
      </c>
      <c r="F6293">
        <v>23.74</v>
      </c>
      <c r="G6293">
        <v>24.57</v>
      </c>
      <c r="H6293" t="s">
        <v>17</v>
      </c>
      <c r="I6293" t="str">
        <f>"062970004620"</f>
        <v>062970004620</v>
      </c>
    </row>
    <row r="6294" spans="1:9" x14ac:dyDescent="0.25">
      <c r="A6294" t="s">
        <v>5478</v>
      </c>
      <c r="B6294" t="s">
        <v>13</v>
      </c>
      <c r="C6294">
        <v>3</v>
      </c>
      <c r="D6294">
        <v>4</v>
      </c>
      <c r="E6294" t="s">
        <v>17</v>
      </c>
      <c r="F6294">
        <v>26</v>
      </c>
      <c r="G6294">
        <v>21.25</v>
      </c>
      <c r="H6294" t="s">
        <v>17</v>
      </c>
      <c r="I6294" t="str">
        <f>"062970005904"</f>
        <v>062970005904</v>
      </c>
    </row>
    <row r="6295" spans="1:9" x14ac:dyDescent="0.25">
      <c r="A6295" t="s">
        <v>5479</v>
      </c>
      <c r="B6295" t="s">
        <v>13</v>
      </c>
      <c r="C6295">
        <v>18.03</v>
      </c>
      <c r="D6295">
        <v>20</v>
      </c>
      <c r="E6295" t="s">
        <v>17</v>
      </c>
      <c r="F6295">
        <v>19.86</v>
      </c>
      <c r="G6295">
        <v>17.95</v>
      </c>
      <c r="H6295" t="s">
        <v>17</v>
      </c>
      <c r="I6295" t="str">
        <f>"063441005648"</f>
        <v>063441005648</v>
      </c>
    </row>
    <row r="6296" spans="1:9" x14ac:dyDescent="0.25">
      <c r="A6296" t="s">
        <v>5480</v>
      </c>
      <c r="B6296" t="s">
        <v>13</v>
      </c>
      <c r="C6296">
        <v>30.8</v>
      </c>
      <c r="D6296">
        <v>31.8</v>
      </c>
      <c r="E6296" t="s">
        <v>17</v>
      </c>
      <c r="F6296">
        <v>23.15</v>
      </c>
      <c r="G6296">
        <v>21.67</v>
      </c>
      <c r="H6296" t="s">
        <v>17</v>
      </c>
      <c r="I6296" t="str">
        <f>"063432005521"</f>
        <v>063432005521</v>
      </c>
    </row>
    <row r="6297" spans="1:9" x14ac:dyDescent="0.25">
      <c r="A6297" t="s">
        <v>5481</v>
      </c>
      <c r="B6297" t="s">
        <v>13</v>
      </c>
      <c r="C6297">
        <v>45</v>
      </c>
      <c r="D6297">
        <v>65</v>
      </c>
      <c r="E6297" t="s">
        <v>17</v>
      </c>
      <c r="F6297">
        <v>20.36</v>
      </c>
      <c r="G6297">
        <v>21.26</v>
      </c>
      <c r="H6297" t="s">
        <v>17</v>
      </c>
      <c r="I6297" t="str">
        <f>"062271003188"</f>
        <v>062271003188</v>
      </c>
    </row>
    <row r="6298" spans="1:9" x14ac:dyDescent="0.25">
      <c r="A6298" t="s">
        <v>5481</v>
      </c>
      <c r="B6298" t="s">
        <v>13</v>
      </c>
      <c r="C6298">
        <v>18.2</v>
      </c>
      <c r="D6298">
        <v>18.25</v>
      </c>
      <c r="E6298" t="s">
        <v>17</v>
      </c>
      <c r="F6298">
        <v>30.16</v>
      </c>
      <c r="G6298">
        <v>29.81</v>
      </c>
      <c r="H6298" t="s">
        <v>17</v>
      </c>
      <c r="I6298" t="str">
        <f>"062619003917"</f>
        <v>062619003917</v>
      </c>
    </row>
    <row r="6299" spans="1:9" x14ac:dyDescent="0.25">
      <c r="A6299" t="s">
        <v>5481</v>
      </c>
      <c r="B6299" t="s">
        <v>13</v>
      </c>
      <c r="C6299">
        <v>21</v>
      </c>
      <c r="D6299">
        <v>25</v>
      </c>
      <c r="E6299" t="s">
        <v>17</v>
      </c>
      <c r="F6299">
        <v>29.19</v>
      </c>
      <c r="G6299">
        <v>26.6</v>
      </c>
      <c r="H6299" t="s">
        <v>17</v>
      </c>
      <c r="I6299" t="str">
        <f>"060903000914"</f>
        <v>060903000914</v>
      </c>
    </row>
    <row r="6300" spans="1:9" x14ac:dyDescent="0.25">
      <c r="A6300" t="s">
        <v>5482</v>
      </c>
      <c r="B6300" t="s">
        <v>13</v>
      </c>
      <c r="C6300">
        <v>55.4</v>
      </c>
      <c r="D6300">
        <v>60</v>
      </c>
      <c r="E6300" t="s">
        <v>17</v>
      </c>
      <c r="F6300">
        <v>20.29</v>
      </c>
      <c r="G6300">
        <v>19.72</v>
      </c>
      <c r="H6300" t="s">
        <v>17</v>
      </c>
      <c r="I6300" t="str">
        <f>"060165000036"</f>
        <v>060165000036</v>
      </c>
    </row>
    <row r="6301" spans="1:9" x14ac:dyDescent="0.25">
      <c r="A6301" t="s">
        <v>5483</v>
      </c>
      <c r="B6301" t="s">
        <v>13</v>
      </c>
      <c r="C6301">
        <v>9</v>
      </c>
      <c r="D6301">
        <v>7</v>
      </c>
      <c r="E6301" t="s">
        <v>17</v>
      </c>
      <c r="F6301">
        <v>32.89</v>
      </c>
      <c r="G6301">
        <v>32.71</v>
      </c>
      <c r="H6301" t="s">
        <v>17</v>
      </c>
      <c r="I6301" t="str">
        <f>"060001411899"</f>
        <v>060001411899</v>
      </c>
    </row>
    <row r="6302" spans="1:9" x14ac:dyDescent="0.25">
      <c r="A6302" t="s">
        <v>5484</v>
      </c>
      <c r="B6302" t="s">
        <v>13</v>
      </c>
      <c r="C6302">
        <v>17.53</v>
      </c>
      <c r="D6302">
        <v>20</v>
      </c>
      <c r="E6302" t="s">
        <v>17</v>
      </c>
      <c r="F6302">
        <v>30.23</v>
      </c>
      <c r="G6302">
        <v>26.3</v>
      </c>
      <c r="H6302" t="s">
        <v>17</v>
      </c>
      <c r="I6302" t="str">
        <f>"063462005800"</f>
        <v>063462005800</v>
      </c>
    </row>
    <row r="6303" spans="1:9" x14ac:dyDescent="0.25">
      <c r="A6303" t="s">
        <v>5485</v>
      </c>
      <c r="B6303" t="s">
        <v>13</v>
      </c>
      <c r="C6303">
        <v>63.03</v>
      </c>
      <c r="D6303">
        <v>76.02</v>
      </c>
      <c r="E6303" t="s">
        <v>17</v>
      </c>
      <c r="F6303">
        <v>19.670000000000002</v>
      </c>
      <c r="G6303">
        <v>18.760000000000002</v>
      </c>
      <c r="H6303" t="s">
        <v>17</v>
      </c>
      <c r="I6303" t="str">
        <f>"063432005522"</f>
        <v>063432005522</v>
      </c>
    </row>
    <row r="6304" spans="1:9" x14ac:dyDescent="0.25">
      <c r="A6304" t="s">
        <v>5486</v>
      </c>
      <c r="B6304" t="s">
        <v>13</v>
      </c>
      <c r="C6304">
        <v>21</v>
      </c>
      <c r="D6304">
        <v>24</v>
      </c>
      <c r="E6304" t="s">
        <v>17</v>
      </c>
      <c r="F6304">
        <v>22.86</v>
      </c>
      <c r="G6304">
        <v>22.08</v>
      </c>
      <c r="H6304" t="s">
        <v>17</v>
      </c>
      <c r="I6304" t="str">
        <f>"061926002313"</f>
        <v>061926002313</v>
      </c>
    </row>
    <row r="6305" spans="1:9" x14ac:dyDescent="0.25">
      <c r="A6305" t="s">
        <v>5487</v>
      </c>
      <c r="B6305" t="s">
        <v>13</v>
      </c>
      <c r="C6305">
        <v>1</v>
      </c>
      <c r="D6305">
        <v>1</v>
      </c>
      <c r="E6305" t="s">
        <v>17</v>
      </c>
      <c r="F6305">
        <v>10</v>
      </c>
      <c r="G6305">
        <v>12</v>
      </c>
      <c r="H6305" t="s">
        <v>17</v>
      </c>
      <c r="I6305" t="str">
        <f>"060969012716"</f>
        <v>060969012716</v>
      </c>
    </row>
    <row r="6306" spans="1:9" x14ac:dyDescent="0.25">
      <c r="A6306" t="s">
        <v>5488</v>
      </c>
      <c r="B6306" t="s">
        <v>13</v>
      </c>
      <c r="C6306">
        <v>5.5</v>
      </c>
      <c r="D6306">
        <v>5.01</v>
      </c>
      <c r="E6306" t="s">
        <v>17</v>
      </c>
      <c r="F6306">
        <v>21.09</v>
      </c>
      <c r="G6306">
        <v>19.96</v>
      </c>
      <c r="H6306" t="s">
        <v>17</v>
      </c>
      <c r="I6306" t="str">
        <f>"062271003189"</f>
        <v>062271003189</v>
      </c>
    </row>
    <row r="6307" spans="1:9" x14ac:dyDescent="0.25">
      <c r="A6307" t="s">
        <v>5489</v>
      </c>
      <c r="B6307" t="s">
        <v>13</v>
      </c>
      <c r="C6307">
        <v>38</v>
      </c>
      <c r="D6307">
        <v>35</v>
      </c>
      <c r="E6307" t="s">
        <v>17</v>
      </c>
      <c r="F6307">
        <v>27.03</v>
      </c>
      <c r="G6307">
        <v>29.34</v>
      </c>
      <c r="H6307" t="s">
        <v>17</v>
      </c>
      <c r="I6307" t="str">
        <f>"060001412171"</f>
        <v>060001412171</v>
      </c>
    </row>
    <row r="6308" spans="1:9" x14ac:dyDescent="0.25">
      <c r="A6308" t="s">
        <v>5490</v>
      </c>
      <c r="B6308" t="s">
        <v>13</v>
      </c>
      <c r="C6308">
        <v>6</v>
      </c>
      <c r="D6308">
        <v>6</v>
      </c>
      <c r="E6308" t="s">
        <v>17</v>
      </c>
      <c r="F6308">
        <v>9.33</v>
      </c>
      <c r="G6308">
        <v>7.83</v>
      </c>
      <c r="H6308" t="s">
        <v>17</v>
      </c>
      <c r="I6308" t="str">
        <f>"063441005649"</f>
        <v>063441005649</v>
      </c>
    </row>
    <row r="6309" spans="1:9" x14ac:dyDescent="0.25">
      <c r="A6309" t="s">
        <v>5491</v>
      </c>
      <c r="B6309" t="s">
        <v>13</v>
      </c>
      <c r="C6309">
        <v>39.200000000000003</v>
      </c>
      <c r="D6309">
        <v>39</v>
      </c>
      <c r="E6309" t="s">
        <v>17</v>
      </c>
      <c r="F6309">
        <v>19.29</v>
      </c>
      <c r="G6309">
        <v>18.850000000000001</v>
      </c>
      <c r="H6309" t="s">
        <v>17</v>
      </c>
      <c r="I6309" t="str">
        <f>"062847004407"</f>
        <v>062847004407</v>
      </c>
    </row>
    <row r="6310" spans="1:9" x14ac:dyDescent="0.25">
      <c r="A6310" t="s">
        <v>5491</v>
      </c>
      <c r="B6310" t="s">
        <v>13</v>
      </c>
      <c r="C6310">
        <v>20.45</v>
      </c>
      <c r="D6310">
        <v>26.44</v>
      </c>
      <c r="E6310" t="s">
        <v>17</v>
      </c>
      <c r="F6310">
        <v>23.37</v>
      </c>
      <c r="G6310">
        <v>22.24</v>
      </c>
      <c r="H6310" t="s">
        <v>17</v>
      </c>
      <c r="I6310" t="str">
        <f>"062825004365"</f>
        <v>062825004365</v>
      </c>
    </row>
    <row r="6311" spans="1:9" x14ac:dyDescent="0.25">
      <c r="A6311" t="s">
        <v>5491</v>
      </c>
      <c r="B6311" t="s">
        <v>13</v>
      </c>
      <c r="C6311">
        <v>8</v>
      </c>
      <c r="D6311">
        <v>8.6</v>
      </c>
      <c r="E6311" t="s">
        <v>17</v>
      </c>
      <c r="F6311">
        <v>15.38</v>
      </c>
      <c r="G6311">
        <v>14.65</v>
      </c>
      <c r="H6311" t="s">
        <v>17</v>
      </c>
      <c r="I6311" t="str">
        <f>"062511003725"</f>
        <v>062511003725</v>
      </c>
    </row>
    <row r="6312" spans="1:9" x14ac:dyDescent="0.25">
      <c r="A6312" t="s">
        <v>5491</v>
      </c>
      <c r="B6312" t="s">
        <v>13</v>
      </c>
      <c r="C6312">
        <v>26</v>
      </c>
      <c r="D6312">
        <v>28.4</v>
      </c>
      <c r="E6312" t="s">
        <v>17</v>
      </c>
      <c r="F6312">
        <v>27.12</v>
      </c>
      <c r="G6312">
        <v>23.73</v>
      </c>
      <c r="H6312" t="s">
        <v>17</v>
      </c>
      <c r="I6312" t="str">
        <f>"060285000215"</f>
        <v>060285000215</v>
      </c>
    </row>
    <row r="6313" spans="1:9" x14ac:dyDescent="0.25">
      <c r="A6313" t="s">
        <v>5491</v>
      </c>
      <c r="B6313" t="s">
        <v>13</v>
      </c>
      <c r="C6313">
        <v>17.760000000000002</v>
      </c>
      <c r="D6313">
        <v>8.76</v>
      </c>
      <c r="E6313" t="s">
        <v>14</v>
      </c>
      <c r="F6313">
        <v>28.66</v>
      </c>
      <c r="G6313">
        <v>24.77</v>
      </c>
      <c r="H6313" t="s">
        <v>14</v>
      </c>
      <c r="I6313" t="str">
        <f>"063207012666"</f>
        <v>063207012666</v>
      </c>
    </row>
    <row r="6314" spans="1:9" x14ac:dyDescent="0.25">
      <c r="A6314" t="s">
        <v>5492</v>
      </c>
      <c r="B6314" t="s">
        <v>13</v>
      </c>
      <c r="C6314">
        <v>24.3</v>
      </c>
      <c r="D6314">
        <v>26.22</v>
      </c>
      <c r="E6314" t="s">
        <v>17</v>
      </c>
      <c r="F6314">
        <v>23.13</v>
      </c>
      <c r="G6314">
        <v>22.81</v>
      </c>
      <c r="H6314" t="s">
        <v>17</v>
      </c>
      <c r="I6314" t="str">
        <f>"061275009537"</f>
        <v>061275009537</v>
      </c>
    </row>
    <row r="6315" spans="1:9" x14ac:dyDescent="0.25">
      <c r="A6315" t="s">
        <v>5493</v>
      </c>
      <c r="B6315" t="s">
        <v>13</v>
      </c>
      <c r="C6315">
        <v>64.97</v>
      </c>
      <c r="D6315">
        <v>65.7</v>
      </c>
      <c r="E6315" t="s">
        <v>17</v>
      </c>
      <c r="F6315">
        <v>14.27</v>
      </c>
      <c r="G6315">
        <v>14.08</v>
      </c>
      <c r="H6315" t="s">
        <v>17</v>
      </c>
      <c r="I6315" t="str">
        <f>"063441005650"</f>
        <v>063441005650</v>
      </c>
    </row>
    <row r="6316" spans="1:9" x14ac:dyDescent="0.25">
      <c r="A6316" t="s">
        <v>5494</v>
      </c>
      <c r="B6316" t="s">
        <v>13</v>
      </c>
      <c r="C6316">
        <v>27.29</v>
      </c>
      <c r="D6316">
        <v>26.27</v>
      </c>
      <c r="E6316" t="s">
        <v>17</v>
      </c>
      <c r="F6316">
        <v>22.65</v>
      </c>
      <c r="G6316">
        <v>23.18</v>
      </c>
      <c r="H6316" t="s">
        <v>17</v>
      </c>
      <c r="I6316" t="str">
        <f>"063560006065"</f>
        <v>063560006065</v>
      </c>
    </row>
    <row r="6317" spans="1:9" x14ac:dyDescent="0.25">
      <c r="A6317" t="s">
        <v>5495</v>
      </c>
      <c r="B6317" t="s">
        <v>13</v>
      </c>
      <c r="C6317">
        <v>92.87</v>
      </c>
      <c r="D6317">
        <v>88.15</v>
      </c>
      <c r="E6317" t="s">
        <v>17</v>
      </c>
      <c r="F6317">
        <v>27.78</v>
      </c>
      <c r="G6317">
        <v>28.87</v>
      </c>
      <c r="H6317" t="s">
        <v>17</v>
      </c>
      <c r="I6317" t="str">
        <f>"063488011404"</f>
        <v>063488011404</v>
      </c>
    </row>
    <row r="6318" spans="1:9" x14ac:dyDescent="0.25">
      <c r="A6318" t="s">
        <v>5496</v>
      </c>
      <c r="B6318" t="s">
        <v>13</v>
      </c>
      <c r="C6318">
        <v>20.3</v>
      </c>
      <c r="D6318">
        <v>22</v>
      </c>
      <c r="E6318" t="s">
        <v>17</v>
      </c>
      <c r="F6318">
        <v>24.43</v>
      </c>
      <c r="G6318">
        <v>24.45</v>
      </c>
      <c r="H6318" t="s">
        <v>17</v>
      </c>
      <c r="I6318" t="str">
        <f>"064119001249"</f>
        <v>064119001249</v>
      </c>
    </row>
    <row r="6319" spans="1:9" x14ac:dyDescent="0.25">
      <c r="A6319" t="s">
        <v>5497</v>
      </c>
      <c r="B6319" t="s">
        <v>13</v>
      </c>
      <c r="C6319">
        <v>46.2</v>
      </c>
      <c r="D6319">
        <v>43.63</v>
      </c>
      <c r="E6319" t="s">
        <v>17</v>
      </c>
      <c r="F6319">
        <v>21.56</v>
      </c>
      <c r="G6319">
        <v>22.97</v>
      </c>
      <c r="H6319" t="s">
        <v>17</v>
      </c>
      <c r="I6319" t="str">
        <f>"061288001456"</f>
        <v>061288001456</v>
      </c>
    </row>
    <row r="6320" spans="1:9" x14ac:dyDescent="0.25">
      <c r="A6320" t="s">
        <v>5497</v>
      </c>
      <c r="B6320" t="s">
        <v>13</v>
      </c>
      <c r="C6320">
        <v>33.409999999999997</v>
      </c>
      <c r="D6320">
        <v>36.4</v>
      </c>
      <c r="E6320" t="s">
        <v>17</v>
      </c>
      <c r="F6320">
        <v>24.42</v>
      </c>
      <c r="G6320">
        <v>23.68</v>
      </c>
      <c r="H6320" t="s">
        <v>17</v>
      </c>
      <c r="I6320" t="str">
        <f>"061926002314"</f>
        <v>061926002314</v>
      </c>
    </row>
    <row r="6321" spans="1:9" x14ac:dyDescent="0.25">
      <c r="A6321" t="s">
        <v>5498</v>
      </c>
      <c r="B6321" t="s">
        <v>13</v>
      </c>
      <c r="C6321">
        <v>62.26</v>
      </c>
      <c r="D6321">
        <v>60.95</v>
      </c>
      <c r="E6321" t="s">
        <v>17</v>
      </c>
      <c r="F6321">
        <v>24.65</v>
      </c>
      <c r="G6321">
        <v>23.28</v>
      </c>
      <c r="H6321" t="s">
        <v>17</v>
      </c>
      <c r="I6321" t="str">
        <f>"063993012084"</f>
        <v>063993012084</v>
      </c>
    </row>
    <row r="6322" spans="1:9" x14ac:dyDescent="0.25">
      <c r="A6322" t="s">
        <v>5499</v>
      </c>
      <c r="B6322" t="s">
        <v>13</v>
      </c>
      <c r="C6322">
        <v>24</v>
      </c>
      <c r="D6322">
        <v>26</v>
      </c>
      <c r="E6322" t="s">
        <v>17</v>
      </c>
      <c r="F6322">
        <v>29.46</v>
      </c>
      <c r="G6322">
        <v>26.46</v>
      </c>
      <c r="H6322" t="s">
        <v>17</v>
      </c>
      <c r="I6322" t="str">
        <f>"063393005325"</f>
        <v>063393005325</v>
      </c>
    </row>
    <row r="6323" spans="1:9" x14ac:dyDescent="0.25">
      <c r="A6323" t="s">
        <v>5500</v>
      </c>
      <c r="B6323" t="s">
        <v>13</v>
      </c>
      <c r="C6323">
        <v>6</v>
      </c>
      <c r="D6323">
        <v>2</v>
      </c>
      <c r="E6323" t="s">
        <v>14</v>
      </c>
      <c r="F6323">
        <v>17</v>
      </c>
      <c r="G6323">
        <v>21</v>
      </c>
      <c r="H6323" t="s">
        <v>14</v>
      </c>
      <c r="I6323" t="str">
        <f>"060141212768"</f>
        <v>060141212768</v>
      </c>
    </row>
    <row r="6324" spans="1:9" x14ac:dyDescent="0.25">
      <c r="A6324" t="s">
        <v>5501</v>
      </c>
      <c r="B6324" t="s">
        <v>13</v>
      </c>
      <c r="C6324">
        <v>24.1</v>
      </c>
      <c r="D6324">
        <v>26.1</v>
      </c>
      <c r="E6324" t="s">
        <v>17</v>
      </c>
      <c r="F6324">
        <v>27.22</v>
      </c>
      <c r="G6324">
        <v>25.02</v>
      </c>
      <c r="H6324" t="s">
        <v>17</v>
      </c>
      <c r="I6324" t="str">
        <f>"061440001677"</f>
        <v>061440001677</v>
      </c>
    </row>
    <row r="6325" spans="1:9" x14ac:dyDescent="0.25">
      <c r="A6325" t="s">
        <v>5502</v>
      </c>
      <c r="B6325" t="s">
        <v>13</v>
      </c>
      <c r="C6325">
        <v>84.62</v>
      </c>
      <c r="D6325">
        <v>87.19</v>
      </c>
      <c r="E6325" t="s">
        <v>17</v>
      </c>
      <c r="F6325">
        <v>26.31</v>
      </c>
      <c r="G6325">
        <v>25.37</v>
      </c>
      <c r="H6325" t="s">
        <v>17</v>
      </c>
      <c r="I6325" t="str">
        <f>"061440001678"</f>
        <v>061440001678</v>
      </c>
    </row>
    <row r="6326" spans="1:9" x14ac:dyDescent="0.25">
      <c r="A6326" t="s">
        <v>5503</v>
      </c>
      <c r="B6326" t="s">
        <v>13</v>
      </c>
      <c r="C6326" t="s">
        <v>17</v>
      </c>
      <c r="D6326" t="s">
        <v>17</v>
      </c>
      <c r="E6326" t="s">
        <v>17</v>
      </c>
      <c r="F6326" t="s">
        <v>17</v>
      </c>
      <c r="G6326" t="s">
        <v>17</v>
      </c>
      <c r="H6326" t="s">
        <v>17</v>
      </c>
      <c r="I6326" t="str">
        <f>"060012010972"</f>
        <v>060012010972</v>
      </c>
    </row>
    <row r="6327" spans="1:9" x14ac:dyDescent="0.25">
      <c r="A6327" t="s">
        <v>5504</v>
      </c>
      <c r="B6327" t="s">
        <v>13</v>
      </c>
      <c r="C6327">
        <v>1.35</v>
      </c>
      <c r="D6327">
        <v>1.42</v>
      </c>
      <c r="E6327" t="s">
        <v>17</v>
      </c>
      <c r="F6327">
        <v>25.19</v>
      </c>
      <c r="G6327">
        <v>25.35</v>
      </c>
      <c r="H6327" t="s">
        <v>17</v>
      </c>
      <c r="I6327" t="str">
        <f>"062241011344"</f>
        <v>062241011344</v>
      </c>
    </row>
    <row r="6328" spans="1:9" x14ac:dyDescent="0.25">
      <c r="A6328" t="s">
        <v>5505</v>
      </c>
      <c r="B6328" t="s">
        <v>13</v>
      </c>
      <c r="C6328">
        <v>28.4</v>
      </c>
      <c r="D6328">
        <v>31.1</v>
      </c>
      <c r="E6328" t="s">
        <v>17</v>
      </c>
      <c r="F6328">
        <v>24.19</v>
      </c>
      <c r="G6328">
        <v>23.15</v>
      </c>
      <c r="H6328" t="s">
        <v>17</v>
      </c>
      <c r="I6328" t="str">
        <f>"061440001679"</f>
        <v>061440001679</v>
      </c>
    </row>
    <row r="6329" spans="1:9" x14ac:dyDescent="0.25">
      <c r="A6329" t="s">
        <v>5505</v>
      </c>
      <c r="B6329" t="s">
        <v>13</v>
      </c>
      <c r="C6329">
        <v>39</v>
      </c>
      <c r="D6329">
        <v>39</v>
      </c>
      <c r="E6329" t="s">
        <v>17</v>
      </c>
      <c r="F6329">
        <v>25.69</v>
      </c>
      <c r="G6329">
        <v>25.21</v>
      </c>
      <c r="H6329" t="s">
        <v>17</v>
      </c>
      <c r="I6329" t="str">
        <f>"063987012002"</f>
        <v>063987012002</v>
      </c>
    </row>
    <row r="6330" spans="1:9" x14ac:dyDescent="0.25">
      <c r="A6330" t="s">
        <v>5506</v>
      </c>
      <c r="B6330" t="s">
        <v>13</v>
      </c>
      <c r="C6330" t="s">
        <v>17</v>
      </c>
      <c r="D6330" t="s">
        <v>17</v>
      </c>
      <c r="E6330" t="s">
        <v>17</v>
      </c>
      <c r="F6330" t="s">
        <v>17</v>
      </c>
      <c r="G6330" t="s">
        <v>17</v>
      </c>
      <c r="H6330" t="s">
        <v>17</v>
      </c>
      <c r="I6330" t="str">
        <f>"060008610733"</f>
        <v>060008610733</v>
      </c>
    </row>
    <row r="6331" spans="1:9" x14ac:dyDescent="0.25">
      <c r="A6331" t="s">
        <v>5507</v>
      </c>
      <c r="B6331" t="s">
        <v>13</v>
      </c>
      <c r="C6331">
        <v>86.8</v>
      </c>
      <c r="D6331">
        <v>89.5</v>
      </c>
      <c r="E6331" t="s">
        <v>17</v>
      </c>
      <c r="F6331">
        <v>28.71</v>
      </c>
      <c r="G6331">
        <v>28.5</v>
      </c>
      <c r="H6331" t="s">
        <v>17</v>
      </c>
      <c r="I6331" t="str">
        <f>"063386005307"</f>
        <v>063386005307</v>
      </c>
    </row>
    <row r="6332" spans="1:9" x14ac:dyDescent="0.25">
      <c r="A6332" t="s">
        <v>5508</v>
      </c>
      <c r="B6332" t="s">
        <v>13</v>
      </c>
      <c r="C6332">
        <v>14</v>
      </c>
      <c r="D6332">
        <v>10.5</v>
      </c>
      <c r="E6332" t="s">
        <v>17</v>
      </c>
      <c r="F6332">
        <v>30</v>
      </c>
      <c r="G6332">
        <v>34.1</v>
      </c>
      <c r="H6332" t="s">
        <v>17</v>
      </c>
      <c r="I6332" t="str">
        <f>"064251011906"</f>
        <v>064251011906</v>
      </c>
    </row>
    <row r="6333" spans="1:9" x14ac:dyDescent="0.25">
      <c r="A6333" t="s">
        <v>5509</v>
      </c>
      <c r="B6333" t="s">
        <v>13</v>
      </c>
      <c r="C6333">
        <v>50.17</v>
      </c>
      <c r="D6333">
        <v>40.4</v>
      </c>
      <c r="E6333" t="s">
        <v>17</v>
      </c>
      <c r="F6333">
        <v>23.84</v>
      </c>
      <c r="G6333">
        <v>21.44</v>
      </c>
      <c r="H6333" t="s">
        <v>17</v>
      </c>
      <c r="I6333" t="str">
        <f>"064119012341"</f>
        <v>064119012341</v>
      </c>
    </row>
    <row r="6334" spans="1:9" x14ac:dyDescent="0.25">
      <c r="A6334" t="s">
        <v>5510</v>
      </c>
      <c r="B6334" t="s">
        <v>13</v>
      </c>
      <c r="C6334">
        <v>25.1</v>
      </c>
      <c r="D6334">
        <v>27</v>
      </c>
      <c r="E6334" t="s">
        <v>17</v>
      </c>
      <c r="F6334">
        <v>25.22</v>
      </c>
      <c r="G6334">
        <v>22.93</v>
      </c>
      <c r="H6334" t="s">
        <v>17</v>
      </c>
      <c r="I6334" t="str">
        <f>"061281001441"</f>
        <v>061281001441</v>
      </c>
    </row>
    <row r="6335" spans="1:9" x14ac:dyDescent="0.25">
      <c r="A6335" t="s">
        <v>5511</v>
      </c>
      <c r="B6335" t="s">
        <v>13</v>
      </c>
      <c r="C6335">
        <v>17.350000000000001</v>
      </c>
      <c r="D6335">
        <v>15.67</v>
      </c>
      <c r="E6335" t="s">
        <v>17</v>
      </c>
      <c r="F6335">
        <v>20.69</v>
      </c>
      <c r="G6335">
        <v>22.59</v>
      </c>
      <c r="H6335" t="s">
        <v>17</v>
      </c>
      <c r="I6335" t="str">
        <f>"064074010681"</f>
        <v>064074010681</v>
      </c>
    </row>
    <row r="6336" spans="1:9" x14ac:dyDescent="0.25">
      <c r="A6336" t="s">
        <v>5512</v>
      </c>
      <c r="B6336" t="s">
        <v>13</v>
      </c>
      <c r="C6336">
        <v>25</v>
      </c>
      <c r="D6336">
        <v>25.2</v>
      </c>
      <c r="E6336" t="s">
        <v>17</v>
      </c>
      <c r="F6336">
        <v>26.44</v>
      </c>
      <c r="G6336">
        <v>25.79</v>
      </c>
      <c r="H6336" t="s">
        <v>17</v>
      </c>
      <c r="I6336" t="str">
        <f>"063822006448"</f>
        <v>063822006448</v>
      </c>
    </row>
    <row r="6337" spans="1:9" x14ac:dyDescent="0.25">
      <c r="A6337" t="s">
        <v>5513</v>
      </c>
      <c r="B6337" t="s">
        <v>13</v>
      </c>
      <c r="C6337">
        <v>19</v>
      </c>
      <c r="D6337">
        <v>20</v>
      </c>
      <c r="E6337" t="s">
        <v>17</v>
      </c>
      <c r="F6337">
        <v>26.21</v>
      </c>
      <c r="G6337">
        <v>26.5</v>
      </c>
      <c r="H6337" t="s">
        <v>17</v>
      </c>
      <c r="I6337" t="str">
        <f>"061488001862"</f>
        <v>061488001862</v>
      </c>
    </row>
    <row r="6338" spans="1:9" x14ac:dyDescent="0.25">
      <c r="A6338" t="s">
        <v>5513</v>
      </c>
      <c r="B6338" t="s">
        <v>13</v>
      </c>
      <c r="C6338">
        <v>20</v>
      </c>
      <c r="D6338">
        <v>21</v>
      </c>
      <c r="E6338" t="s">
        <v>17</v>
      </c>
      <c r="F6338">
        <v>27.3</v>
      </c>
      <c r="G6338">
        <v>25.52</v>
      </c>
      <c r="H6338" t="s">
        <v>17</v>
      </c>
      <c r="I6338" t="str">
        <f>"060342000259"</f>
        <v>060342000259</v>
      </c>
    </row>
    <row r="6339" spans="1:9" x14ac:dyDescent="0.25">
      <c r="A6339" t="s">
        <v>5514</v>
      </c>
      <c r="B6339" t="s">
        <v>13</v>
      </c>
      <c r="C6339">
        <v>33.1</v>
      </c>
      <c r="D6339">
        <v>33.1</v>
      </c>
      <c r="E6339" t="s">
        <v>17</v>
      </c>
      <c r="F6339">
        <v>24.02</v>
      </c>
      <c r="G6339">
        <v>24.32</v>
      </c>
      <c r="H6339" t="s">
        <v>17</v>
      </c>
      <c r="I6339" t="str">
        <f>"060342000260"</f>
        <v>060342000260</v>
      </c>
    </row>
    <row r="6340" spans="1:9" x14ac:dyDescent="0.25">
      <c r="A6340" t="s">
        <v>5515</v>
      </c>
      <c r="B6340" t="s">
        <v>13</v>
      </c>
      <c r="C6340">
        <v>22</v>
      </c>
      <c r="D6340">
        <v>19</v>
      </c>
      <c r="E6340" t="s">
        <v>17</v>
      </c>
      <c r="F6340">
        <v>25.64</v>
      </c>
      <c r="G6340">
        <v>27.11</v>
      </c>
      <c r="H6340" t="s">
        <v>17</v>
      </c>
      <c r="I6340" t="str">
        <f>"062832004385"</f>
        <v>062832004385</v>
      </c>
    </row>
    <row r="6341" spans="1:9" x14ac:dyDescent="0.25">
      <c r="A6341" t="s">
        <v>5516</v>
      </c>
      <c r="B6341" t="s">
        <v>13</v>
      </c>
      <c r="C6341">
        <v>1</v>
      </c>
      <c r="D6341">
        <v>1.9</v>
      </c>
      <c r="E6341" t="s">
        <v>17</v>
      </c>
      <c r="F6341">
        <v>3</v>
      </c>
      <c r="G6341">
        <v>7.89</v>
      </c>
      <c r="H6341" t="s">
        <v>17</v>
      </c>
      <c r="I6341" t="str">
        <f>"069113707914"</f>
        <v>069113707914</v>
      </c>
    </row>
    <row r="6342" spans="1:9" x14ac:dyDescent="0.25">
      <c r="A6342" t="s">
        <v>5517</v>
      </c>
      <c r="B6342" t="s">
        <v>13</v>
      </c>
      <c r="C6342">
        <v>93.93</v>
      </c>
      <c r="D6342">
        <v>92.48</v>
      </c>
      <c r="E6342" t="s">
        <v>17</v>
      </c>
      <c r="F6342">
        <v>26.08</v>
      </c>
      <c r="G6342">
        <v>26.68</v>
      </c>
      <c r="H6342" t="s">
        <v>17</v>
      </c>
      <c r="I6342" t="str">
        <f>"062515003744"</f>
        <v>062515003744</v>
      </c>
    </row>
    <row r="6343" spans="1:9" x14ac:dyDescent="0.25">
      <c r="A6343" t="s">
        <v>5518</v>
      </c>
      <c r="B6343" t="s">
        <v>13</v>
      </c>
      <c r="C6343" t="s">
        <v>14</v>
      </c>
      <c r="D6343" t="s">
        <v>14</v>
      </c>
      <c r="E6343" t="s">
        <v>17</v>
      </c>
      <c r="F6343" t="s">
        <v>14</v>
      </c>
      <c r="G6343" t="s">
        <v>14</v>
      </c>
      <c r="H6343" t="s">
        <v>17</v>
      </c>
      <c r="I6343" t="str">
        <f>"062515012793"</f>
        <v>062515012793</v>
      </c>
    </row>
    <row r="6344" spans="1:9" x14ac:dyDescent="0.25">
      <c r="A6344" t="s">
        <v>5519</v>
      </c>
      <c r="B6344" t="s">
        <v>13</v>
      </c>
      <c r="C6344" t="s">
        <v>17</v>
      </c>
      <c r="D6344">
        <v>1</v>
      </c>
      <c r="E6344" t="s">
        <v>17</v>
      </c>
      <c r="F6344" t="s">
        <v>17</v>
      </c>
      <c r="G6344">
        <v>4</v>
      </c>
      <c r="H6344" t="s">
        <v>17</v>
      </c>
      <c r="I6344" t="str">
        <f>"069109307543"</f>
        <v>069109307543</v>
      </c>
    </row>
    <row r="6345" spans="1:9" x14ac:dyDescent="0.25">
      <c r="A6345" t="s">
        <v>5520</v>
      </c>
      <c r="B6345" t="s">
        <v>13</v>
      </c>
      <c r="C6345" t="s">
        <v>17</v>
      </c>
      <c r="D6345">
        <v>1</v>
      </c>
      <c r="E6345" t="s">
        <v>17</v>
      </c>
      <c r="F6345" t="s">
        <v>17</v>
      </c>
      <c r="G6345">
        <v>3</v>
      </c>
      <c r="H6345" t="s">
        <v>17</v>
      </c>
      <c r="I6345" t="str">
        <f>"069109308525"</f>
        <v>069109308525</v>
      </c>
    </row>
    <row r="6346" spans="1:9" x14ac:dyDescent="0.25">
      <c r="A6346" t="s">
        <v>5521</v>
      </c>
      <c r="B6346" t="s">
        <v>13</v>
      </c>
      <c r="C6346" t="str">
        <f>"0.50"</f>
        <v>0.50</v>
      </c>
      <c r="D6346">
        <v>2</v>
      </c>
      <c r="E6346" t="s">
        <v>17</v>
      </c>
      <c r="F6346">
        <v>54</v>
      </c>
      <c r="G6346">
        <v>8.5</v>
      </c>
      <c r="H6346" t="s">
        <v>17</v>
      </c>
      <c r="I6346" t="str">
        <f>"069109309063"</f>
        <v>069109309063</v>
      </c>
    </row>
    <row r="6347" spans="1:9" x14ac:dyDescent="0.25">
      <c r="A6347" t="s">
        <v>5522</v>
      </c>
      <c r="B6347" t="s">
        <v>13</v>
      </c>
      <c r="C6347" t="s">
        <v>17</v>
      </c>
      <c r="D6347" t="s">
        <v>17</v>
      </c>
      <c r="E6347" t="s">
        <v>17</v>
      </c>
      <c r="F6347" t="s">
        <v>17</v>
      </c>
      <c r="G6347" t="s">
        <v>17</v>
      </c>
      <c r="H6347" t="s">
        <v>17</v>
      </c>
      <c r="I6347" t="str">
        <f>"060008110966"</f>
        <v>060008110966</v>
      </c>
    </row>
    <row r="6348" spans="1:9" x14ac:dyDescent="0.25">
      <c r="A6348" t="s">
        <v>5523</v>
      </c>
      <c r="B6348" t="s">
        <v>13</v>
      </c>
      <c r="C6348">
        <v>9</v>
      </c>
      <c r="D6348">
        <v>10.5</v>
      </c>
      <c r="E6348" t="s">
        <v>17</v>
      </c>
      <c r="F6348">
        <v>2.44</v>
      </c>
      <c r="G6348">
        <v>2.48</v>
      </c>
      <c r="H6348" t="s">
        <v>17</v>
      </c>
      <c r="I6348" t="str">
        <f>"069109303758"</f>
        <v>069109303758</v>
      </c>
    </row>
    <row r="6349" spans="1:9" x14ac:dyDescent="0.25">
      <c r="A6349" t="s">
        <v>5524</v>
      </c>
      <c r="B6349" t="s">
        <v>13</v>
      </c>
      <c r="C6349">
        <v>13.58</v>
      </c>
      <c r="D6349">
        <v>14</v>
      </c>
      <c r="E6349" t="s">
        <v>17</v>
      </c>
      <c r="F6349">
        <v>17.16</v>
      </c>
      <c r="G6349">
        <v>18</v>
      </c>
      <c r="H6349" t="s">
        <v>17</v>
      </c>
      <c r="I6349" t="str">
        <f>"062519003764"</f>
        <v>062519003764</v>
      </c>
    </row>
    <row r="6350" spans="1:9" x14ac:dyDescent="0.25">
      <c r="A6350" t="s">
        <v>5525</v>
      </c>
      <c r="B6350" t="s">
        <v>13</v>
      </c>
      <c r="C6350">
        <v>8.7899999999999991</v>
      </c>
      <c r="D6350">
        <v>9.5</v>
      </c>
      <c r="E6350" t="s">
        <v>17</v>
      </c>
      <c r="F6350">
        <v>19.91</v>
      </c>
      <c r="G6350">
        <v>19.16</v>
      </c>
      <c r="H6350" t="s">
        <v>17</v>
      </c>
      <c r="I6350" t="str">
        <f>"062519003765"</f>
        <v>062519003765</v>
      </c>
    </row>
    <row r="6351" spans="1:9" x14ac:dyDescent="0.25">
      <c r="A6351" t="s">
        <v>5526</v>
      </c>
      <c r="B6351" t="s">
        <v>13</v>
      </c>
      <c r="C6351">
        <v>39.5</v>
      </c>
      <c r="D6351">
        <v>39.5</v>
      </c>
      <c r="E6351" t="s">
        <v>17</v>
      </c>
      <c r="F6351">
        <v>20.96</v>
      </c>
      <c r="G6351">
        <v>20.58</v>
      </c>
      <c r="H6351" t="s">
        <v>17</v>
      </c>
      <c r="I6351" t="str">
        <f>"062142002566"</f>
        <v>062142002566</v>
      </c>
    </row>
    <row r="6352" spans="1:9" x14ac:dyDescent="0.25">
      <c r="A6352" t="s">
        <v>5527</v>
      </c>
      <c r="B6352" t="s">
        <v>13</v>
      </c>
      <c r="C6352" t="s">
        <v>14</v>
      </c>
      <c r="D6352">
        <v>16</v>
      </c>
      <c r="E6352" t="s">
        <v>17</v>
      </c>
      <c r="F6352" t="s">
        <v>17</v>
      </c>
      <c r="G6352">
        <v>27.25</v>
      </c>
      <c r="H6352" t="s">
        <v>17</v>
      </c>
      <c r="I6352" t="str">
        <f>"061422001629"</f>
        <v>061422001629</v>
      </c>
    </row>
    <row r="6353" spans="1:9" x14ac:dyDescent="0.25">
      <c r="A6353" t="s">
        <v>5528</v>
      </c>
      <c r="B6353" t="s">
        <v>13</v>
      </c>
      <c r="C6353">
        <v>20</v>
      </c>
      <c r="D6353">
        <v>21</v>
      </c>
      <c r="E6353" t="s">
        <v>17</v>
      </c>
      <c r="F6353">
        <v>24.25</v>
      </c>
      <c r="G6353">
        <v>23.43</v>
      </c>
      <c r="H6353" t="s">
        <v>17</v>
      </c>
      <c r="I6353" t="str">
        <f>"062523003769"</f>
        <v>062523003769</v>
      </c>
    </row>
    <row r="6354" spans="1:9" x14ac:dyDescent="0.25">
      <c r="A6354" t="s">
        <v>5529</v>
      </c>
      <c r="B6354" t="s">
        <v>13</v>
      </c>
      <c r="C6354">
        <v>17</v>
      </c>
      <c r="D6354">
        <v>15</v>
      </c>
      <c r="E6354" t="s">
        <v>17</v>
      </c>
      <c r="F6354">
        <v>18</v>
      </c>
      <c r="G6354">
        <v>17.73</v>
      </c>
      <c r="H6354" t="s">
        <v>17</v>
      </c>
      <c r="I6354" t="str">
        <f>"060001409073"</f>
        <v>060001409073</v>
      </c>
    </row>
    <row r="6355" spans="1:9" x14ac:dyDescent="0.25">
      <c r="A6355" t="s">
        <v>5530</v>
      </c>
      <c r="B6355" t="s">
        <v>13</v>
      </c>
      <c r="C6355">
        <v>16.04</v>
      </c>
      <c r="D6355">
        <v>16.3</v>
      </c>
      <c r="E6355" t="s">
        <v>17</v>
      </c>
      <c r="F6355">
        <v>18.39</v>
      </c>
      <c r="G6355">
        <v>18.96</v>
      </c>
      <c r="H6355" t="s">
        <v>17</v>
      </c>
      <c r="I6355" t="str">
        <f>"062523003771"</f>
        <v>062523003771</v>
      </c>
    </row>
    <row r="6356" spans="1:9" x14ac:dyDescent="0.25">
      <c r="A6356" t="s">
        <v>5531</v>
      </c>
      <c r="B6356" t="s">
        <v>13</v>
      </c>
      <c r="C6356">
        <v>57.49</v>
      </c>
      <c r="D6356">
        <v>62.5</v>
      </c>
      <c r="E6356" t="s">
        <v>17</v>
      </c>
      <c r="F6356">
        <v>23.95</v>
      </c>
      <c r="G6356">
        <v>20.8</v>
      </c>
      <c r="H6356" t="s">
        <v>17</v>
      </c>
      <c r="I6356" t="str">
        <f>"062895011739"</f>
        <v>062895011739</v>
      </c>
    </row>
    <row r="6357" spans="1:9" x14ac:dyDescent="0.25">
      <c r="A6357" t="s">
        <v>5532</v>
      </c>
      <c r="B6357" t="s">
        <v>13</v>
      </c>
      <c r="C6357">
        <v>30</v>
      </c>
      <c r="D6357">
        <v>29</v>
      </c>
      <c r="E6357" t="s">
        <v>17</v>
      </c>
      <c r="F6357">
        <v>30.9</v>
      </c>
      <c r="G6357">
        <v>30.34</v>
      </c>
      <c r="H6357" t="s">
        <v>17</v>
      </c>
      <c r="I6357" t="str">
        <f>"064104009202"</f>
        <v>064104009202</v>
      </c>
    </row>
    <row r="6358" spans="1:9" x14ac:dyDescent="0.25">
      <c r="A6358" t="s">
        <v>5533</v>
      </c>
      <c r="B6358" t="s">
        <v>13</v>
      </c>
      <c r="C6358" t="str">
        <f>"0.88"</f>
        <v>0.88</v>
      </c>
      <c r="D6358">
        <v>1</v>
      </c>
      <c r="E6358" t="s">
        <v>17</v>
      </c>
      <c r="F6358">
        <v>21.59</v>
      </c>
      <c r="G6358">
        <v>15</v>
      </c>
      <c r="H6358" t="s">
        <v>17</v>
      </c>
      <c r="I6358" t="str">
        <f>"063311002535"</f>
        <v>063311002535</v>
      </c>
    </row>
    <row r="6359" spans="1:9" x14ac:dyDescent="0.25">
      <c r="A6359" t="s">
        <v>5534</v>
      </c>
      <c r="B6359" t="s">
        <v>13</v>
      </c>
      <c r="C6359">
        <v>4.55</v>
      </c>
      <c r="D6359">
        <v>5.24</v>
      </c>
      <c r="E6359" t="s">
        <v>17</v>
      </c>
      <c r="F6359">
        <v>21.54</v>
      </c>
      <c r="G6359">
        <v>22.14</v>
      </c>
      <c r="H6359" t="s">
        <v>17</v>
      </c>
      <c r="I6359" t="str">
        <f>"060687000628"</f>
        <v>060687000628</v>
      </c>
    </row>
    <row r="6360" spans="1:9" x14ac:dyDescent="0.25">
      <c r="A6360" t="s">
        <v>5535</v>
      </c>
      <c r="B6360" t="s">
        <v>13</v>
      </c>
      <c r="C6360">
        <v>28</v>
      </c>
      <c r="D6360">
        <v>28</v>
      </c>
      <c r="E6360" t="s">
        <v>17</v>
      </c>
      <c r="F6360">
        <v>27.61</v>
      </c>
      <c r="G6360">
        <v>27.96</v>
      </c>
      <c r="H6360" t="s">
        <v>17</v>
      </c>
      <c r="I6360" t="str">
        <f>"061455010777"</f>
        <v>061455010777</v>
      </c>
    </row>
    <row r="6361" spans="1:9" x14ac:dyDescent="0.25">
      <c r="A6361" t="s">
        <v>5536</v>
      </c>
      <c r="B6361" t="s">
        <v>13</v>
      </c>
      <c r="C6361">
        <v>73.83</v>
      </c>
      <c r="D6361">
        <v>75.400000000000006</v>
      </c>
      <c r="E6361" t="s">
        <v>17</v>
      </c>
      <c r="F6361">
        <v>25.26</v>
      </c>
      <c r="G6361">
        <v>25.31</v>
      </c>
      <c r="H6361" t="s">
        <v>17</v>
      </c>
      <c r="I6361" t="str">
        <f>"060006404879"</f>
        <v>060006404879</v>
      </c>
    </row>
    <row r="6362" spans="1:9" x14ac:dyDescent="0.25">
      <c r="A6362" t="s">
        <v>5537</v>
      </c>
      <c r="B6362" t="s">
        <v>13</v>
      </c>
      <c r="C6362">
        <v>4</v>
      </c>
      <c r="D6362">
        <v>5</v>
      </c>
      <c r="E6362" t="s">
        <v>17</v>
      </c>
      <c r="F6362">
        <v>16.5</v>
      </c>
      <c r="G6362">
        <v>15.2</v>
      </c>
      <c r="H6362" t="s">
        <v>17</v>
      </c>
      <c r="I6362" t="str">
        <f>"069103012496"</f>
        <v>069103012496</v>
      </c>
    </row>
    <row r="6363" spans="1:9" x14ac:dyDescent="0.25">
      <c r="A6363" t="s">
        <v>5538</v>
      </c>
      <c r="B6363" t="s">
        <v>13</v>
      </c>
      <c r="C6363">
        <v>17.61</v>
      </c>
      <c r="D6363">
        <v>19.100000000000001</v>
      </c>
      <c r="E6363" t="s">
        <v>17</v>
      </c>
      <c r="F6363">
        <v>21.41</v>
      </c>
      <c r="G6363">
        <v>16.75</v>
      </c>
      <c r="H6363" t="s">
        <v>17</v>
      </c>
      <c r="I6363" t="str">
        <f>"063480001393"</f>
        <v>063480001393</v>
      </c>
    </row>
    <row r="6364" spans="1:9" x14ac:dyDescent="0.25">
      <c r="A6364" t="s">
        <v>5539</v>
      </c>
      <c r="B6364" t="s">
        <v>13</v>
      </c>
      <c r="C6364">
        <v>4.25</v>
      </c>
      <c r="D6364">
        <v>4.3</v>
      </c>
      <c r="E6364" t="s">
        <v>17</v>
      </c>
      <c r="F6364">
        <v>28</v>
      </c>
      <c r="G6364">
        <v>24.19</v>
      </c>
      <c r="H6364" t="s">
        <v>17</v>
      </c>
      <c r="I6364" t="str">
        <f>"063204008636"</f>
        <v>063204008636</v>
      </c>
    </row>
    <row r="6365" spans="1:9" x14ac:dyDescent="0.25">
      <c r="A6365" t="s">
        <v>5540</v>
      </c>
      <c r="B6365" t="s">
        <v>13</v>
      </c>
      <c r="C6365">
        <v>3</v>
      </c>
      <c r="D6365">
        <v>3.01</v>
      </c>
      <c r="E6365" t="s">
        <v>17</v>
      </c>
      <c r="F6365">
        <v>24</v>
      </c>
      <c r="G6365">
        <v>24.25</v>
      </c>
      <c r="H6365" t="s">
        <v>17</v>
      </c>
      <c r="I6365" t="str">
        <f>"062271003190"</f>
        <v>062271003190</v>
      </c>
    </row>
    <row r="6366" spans="1:9" x14ac:dyDescent="0.25">
      <c r="A6366" t="s">
        <v>5541</v>
      </c>
      <c r="B6366" t="s">
        <v>13</v>
      </c>
      <c r="C6366">
        <v>4</v>
      </c>
      <c r="D6366">
        <v>4.5</v>
      </c>
      <c r="E6366" t="s">
        <v>17</v>
      </c>
      <c r="F6366">
        <v>5</v>
      </c>
      <c r="G6366">
        <v>3.78</v>
      </c>
      <c r="H6366" t="s">
        <v>17</v>
      </c>
      <c r="I6366" t="str">
        <f>"069105204685"</f>
        <v>069105204685</v>
      </c>
    </row>
    <row r="6367" spans="1:9" x14ac:dyDescent="0.25">
      <c r="A6367" t="s">
        <v>5542</v>
      </c>
      <c r="B6367" t="s">
        <v>13</v>
      </c>
      <c r="C6367" t="s">
        <v>17</v>
      </c>
      <c r="D6367" t="s">
        <v>17</v>
      </c>
      <c r="E6367" t="s">
        <v>17</v>
      </c>
      <c r="F6367" t="s">
        <v>17</v>
      </c>
      <c r="G6367" t="s">
        <v>17</v>
      </c>
      <c r="H6367" t="s">
        <v>17</v>
      </c>
      <c r="I6367" t="str">
        <f>"060015510968"</f>
        <v>060015510968</v>
      </c>
    </row>
    <row r="6368" spans="1:9" x14ac:dyDescent="0.25">
      <c r="A6368" t="s">
        <v>5543</v>
      </c>
      <c r="B6368" t="s">
        <v>13</v>
      </c>
      <c r="C6368">
        <v>26.5</v>
      </c>
      <c r="D6368">
        <v>27.06</v>
      </c>
      <c r="E6368" t="s">
        <v>17</v>
      </c>
      <c r="F6368">
        <v>23.02</v>
      </c>
      <c r="G6368">
        <v>25.28</v>
      </c>
      <c r="H6368" t="s">
        <v>17</v>
      </c>
      <c r="I6368" t="str">
        <f>"061839002259"</f>
        <v>061839002259</v>
      </c>
    </row>
    <row r="6369" spans="1:9" x14ac:dyDescent="0.25">
      <c r="A6369" t="s">
        <v>5544</v>
      </c>
      <c r="B6369" t="s">
        <v>13</v>
      </c>
      <c r="C6369">
        <v>11</v>
      </c>
      <c r="D6369">
        <v>11</v>
      </c>
      <c r="E6369" t="s">
        <v>17</v>
      </c>
      <c r="F6369">
        <v>18.91</v>
      </c>
      <c r="G6369">
        <v>17</v>
      </c>
      <c r="H6369" t="s">
        <v>17</v>
      </c>
      <c r="I6369" t="str">
        <f>"062529003774"</f>
        <v>062529003774</v>
      </c>
    </row>
    <row r="6370" spans="1:9" x14ac:dyDescent="0.25">
      <c r="A6370" t="s">
        <v>5544</v>
      </c>
      <c r="B6370" t="s">
        <v>13</v>
      </c>
      <c r="C6370">
        <v>27</v>
      </c>
      <c r="D6370">
        <v>30</v>
      </c>
      <c r="E6370" t="s">
        <v>17</v>
      </c>
      <c r="F6370">
        <v>24.48</v>
      </c>
      <c r="G6370">
        <v>22.47</v>
      </c>
      <c r="H6370" t="s">
        <v>17</v>
      </c>
      <c r="I6370" t="str">
        <f>"061647002081"</f>
        <v>061647002081</v>
      </c>
    </row>
    <row r="6371" spans="1:9" x14ac:dyDescent="0.25">
      <c r="A6371" t="s">
        <v>5544</v>
      </c>
      <c r="B6371" t="s">
        <v>13</v>
      </c>
      <c r="C6371">
        <v>20.2</v>
      </c>
      <c r="D6371">
        <v>20.55</v>
      </c>
      <c r="E6371" t="s">
        <v>17</v>
      </c>
      <c r="F6371">
        <v>27.18</v>
      </c>
      <c r="G6371">
        <v>26.13</v>
      </c>
      <c r="H6371" t="s">
        <v>17</v>
      </c>
      <c r="I6371" t="str">
        <f>"062532003779"</f>
        <v>062532003779</v>
      </c>
    </row>
    <row r="6372" spans="1:9" x14ac:dyDescent="0.25">
      <c r="A6372" t="s">
        <v>5544</v>
      </c>
      <c r="B6372" t="s">
        <v>13</v>
      </c>
      <c r="C6372">
        <v>17.5</v>
      </c>
      <c r="D6372">
        <v>18</v>
      </c>
      <c r="E6372" t="s">
        <v>17</v>
      </c>
      <c r="F6372">
        <v>27.66</v>
      </c>
      <c r="G6372">
        <v>26.11</v>
      </c>
      <c r="H6372" t="s">
        <v>17</v>
      </c>
      <c r="I6372" t="str">
        <f>"063531005999"</f>
        <v>063531005999</v>
      </c>
    </row>
    <row r="6373" spans="1:9" x14ac:dyDescent="0.25">
      <c r="A6373" t="s">
        <v>5544</v>
      </c>
      <c r="B6373" t="s">
        <v>13</v>
      </c>
      <c r="C6373" t="s">
        <v>14</v>
      </c>
      <c r="D6373" t="s">
        <v>14</v>
      </c>
      <c r="E6373" t="s">
        <v>17</v>
      </c>
      <c r="F6373" t="s">
        <v>14</v>
      </c>
      <c r="G6373" t="s">
        <v>14</v>
      </c>
      <c r="H6373" t="s">
        <v>17</v>
      </c>
      <c r="I6373" t="str">
        <f>"063536006025"</f>
        <v>063536006025</v>
      </c>
    </row>
    <row r="6374" spans="1:9" x14ac:dyDescent="0.25">
      <c r="A6374" t="s">
        <v>5544</v>
      </c>
      <c r="B6374" t="s">
        <v>13</v>
      </c>
      <c r="C6374">
        <v>23.5</v>
      </c>
      <c r="D6374">
        <v>22.6</v>
      </c>
      <c r="E6374" t="s">
        <v>17</v>
      </c>
      <c r="F6374">
        <v>21.62</v>
      </c>
      <c r="G6374">
        <v>22.65</v>
      </c>
      <c r="H6374" t="s">
        <v>17</v>
      </c>
      <c r="I6374" t="str">
        <f>"063441005651"</f>
        <v>063441005651</v>
      </c>
    </row>
    <row r="6375" spans="1:9" x14ac:dyDescent="0.25">
      <c r="A6375" t="s">
        <v>5544</v>
      </c>
      <c r="B6375" t="s">
        <v>13</v>
      </c>
      <c r="C6375">
        <v>13.75</v>
      </c>
      <c r="D6375">
        <v>23.58</v>
      </c>
      <c r="E6375" t="s">
        <v>17</v>
      </c>
      <c r="F6375">
        <v>34.619999999999997</v>
      </c>
      <c r="G6375">
        <v>19.59</v>
      </c>
      <c r="H6375" t="s">
        <v>17</v>
      </c>
      <c r="I6375" t="str">
        <f>"063801006425"</f>
        <v>063801006425</v>
      </c>
    </row>
    <row r="6376" spans="1:9" x14ac:dyDescent="0.25">
      <c r="A6376" t="s">
        <v>5544</v>
      </c>
      <c r="B6376" t="s">
        <v>13</v>
      </c>
      <c r="C6376">
        <v>24.27</v>
      </c>
      <c r="D6376">
        <v>24.27</v>
      </c>
      <c r="E6376" t="s">
        <v>17</v>
      </c>
      <c r="F6376">
        <v>28.27</v>
      </c>
      <c r="G6376">
        <v>26.58</v>
      </c>
      <c r="H6376" t="s">
        <v>17</v>
      </c>
      <c r="I6376" t="str">
        <f>"063315005152"</f>
        <v>063315005152</v>
      </c>
    </row>
    <row r="6377" spans="1:9" x14ac:dyDescent="0.25">
      <c r="A6377" t="s">
        <v>5544</v>
      </c>
      <c r="B6377" t="s">
        <v>13</v>
      </c>
      <c r="C6377">
        <v>16.2</v>
      </c>
      <c r="D6377">
        <v>17.899999999999999</v>
      </c>
      <c r="E6377" t="s">
        <v>17</v>
      </c>
      <c r="F6377">
        <v>22.1</v>
      </c>
      <c r="G6377">
        <v>21.34</v>
      </c>
      <c r="H6377" t="s">
        <v>17</v>
      </c>
      <c r="I6377" t="str">
        <f>"063468005838"</f>
        <v>063468005838</v>
      </c>
    </row>
    <row r="6378" spans="1:9" x14ac:dyDescent="0.25">
      <c r="A6378" t="s">
        <v>5544</v>
      </c>
      <c r="B6378" t="s">
        <v>13</v>
      </c>
      <c r="C6378">
        <v>20.6</v>
      </c>
      <c r="D6378">
        <v>21</v>
      </c>
      <c r="E6378" t="s">
        <v>14</v>
      </c>
      <c r="F6378">
        <v>24.47</v>
      </c>
      <c r="G6378">
        <v>24.14</v>
      </c>
      <c r="H6378" t="s">
        <v>14</v>
      </c>
      <c r="I6378" t="str">
        <f>"060141406025"</f>
        <v>060141406025</v>
      </c>
    </row>
    <row r="6379" spans="1:9" x14ac:dyDescent="0.25">
      <c r="A6379" t="s">
        <v>5545</v>
      </c>
      <c r="B6379" t="s">
        <v>13</v>
      </c>
      <c r="C6379">
        <v>6.99</v>
      </c>
      <c r="D6379">
        <v>8</v>
      </c>
      <c r="E6379" t="s">
        <v>17</v>
      </c>
      <c r="F6379">
        <v>20.170000000000002</v>
      </c>
      <c r="G6379">
        <v>21.38</v>
      </c>
      <c r="H6379" t="s">
        <v>17</v>
      </c>
      <c r="I6379" t="str">
        <f>"063888007886"</f>
        <v>063888007886</v>
      </c>
    </row>
    <row r="6380" spans="1:9" x14ac:dyDescent="0.25">
      <c r="A6380" t="s">
        <v>5546</v>
      </c>
      <c r="B6380" t="s">
        <v>13</v>
      </c>
      <c r="C6380">
        <v>27.6</v>
      </c>
      <c r="D6380">
        <v>34.909999999999997</v>
      </c>
      <c r="E6380" t="s">
        <v>17</v>
      </c>
      <c r="F6380">
        <v>24.64</v>
      </c>
      <c r="G6380">
        <v>23.6</v>
      </c>
      <c r="H6380" t="s">
        <v>17</v>
      </c>
      <c r="I6380" t="str">
        <f>"062250002746"</f>
        <v>062250002746</v>
      </c>
    </row>
    <row r="6381" spans="1:9" x14ac:dyDescent="0.25">
      <c r="A6381" t="s">
        <v>5547</v>
      </c>
      <c r="B6381" t="s">
        <v>13</v>
      </c>
      <c r="C6381">
        <v>43.5</v>
      </c>
      <c r="D6381">
        <v>41.5</v>
      </c>
      <c r="E6381" t="s">
        <v>17</v>
      </c>
      <c r="F6381">
        <v>21.89</v>
      </c>
      <c r="G6381">
        <v>23.04</v>
      </c>
      <c r="H6381" t="s">
        <v>17</v>
      </c>
      <c r="I6381" t="str">
        <f>"060720000672"</f>
        <v>060720000672</v>
      </c>
    </row>
    <row r="6382" spans="1:9" x14ac:dyDescent="0.25">
      <c r="A6382" t="s">
        <v>5548</v>
      </c>
      <c r="B6382" t="s">
        <v>13</v>
      </c>
      <c r="C6382">
        <v>69.819999999999993</v>
      </c>
      <c r="D6382">
        <v>72.650000000000006</v>
      </c>
      <c r="E6382" t="s">
        <v>17</v>
      </c>
      <c r="F6382">
        <v>24.25</v>
      </c>
      <c r="G6382">
        <v>23.55</v>
      </c>
      <c r="H6382" t="s">
        <v>17</v>
      </c>
      <c r="I6382" t="str">
        <f>"062532003780"</f>
        <v>062532003780</v>
      </c>
    </row>
    <row r="6383" spans="1:9" x14ac:dyDescent="0.25">
      <c r="A6383" t="s">
        <v>5549</v>
      </c>
      <c r="B6383" t="s">
        <v>13</v>
      </c>
      <c r="C6383">
        <v>13.67</v>
      </c>
      <c r="D6383">
        <v>13.1</v>
      </c>
      <c r="E6383" t="s">
        <v>17</v>
      </c>
      <c r="F6383">
        <v>23.34</v>
      </c>
      <c r="G6383">
        <v>24.43</v>
      </c>
      <c r="H6383" t="s">
        <v>17</v>
      </c>
      <c r="I6383" t="str">
        <f>"062271011928"</f>
        <v>062271011928</v>
      </c>
    </row>
    <row r="6384" spans="1:9" x14ac:dyDescent="0.25">
      <c r="A6384" t="s">
        <v>5550</v>
      </c>
      <c r="B6384" t="s">
        <v>13</v>
      </c>
      <c r="C6384">
        <v>19</v>
      </c>
      <c r="D6384">
        <v>19</v>
      </c>
      <c r="E6384" t="s">
        <v>17</v>
      </c>
      <c r="F6384">
        <v>23.68</v>
      </c>
      <c r="G6384">
        <v>23.32</v>
      </c>
      <c r="H6384" t="s">
        <v>17</v>
      </c>
      <c r="I6384" t="str">
        <f>"062535003784"</f>
        <v>062535003784</v>
      </c>
    </row>
    <row r="6385" spans="1:9" x14ac:dyDescent="0.25">
      <c r="A6385" t="s">
        <v>5551</v>
      </c>
      <c r="B6385" t="s">
        <v>13</v>
      </c>
      <c r="C6385">
        <v>23.5</v>
      </c>
      <c r="D6385">
        <v>22.69</v>
      </c>
      <c r="E6385" t="s">
        <v>17</v>
      </c>
      <c r="F6385">
        <v>21.7</v>
      </c>
      <c r="G6385">
        <v>22.39</v>
      </c>
      <c r="H6385" t="s">
        <v>17</v>
      </c>
      <c r="I6385" t="str">
        <f>"062628006932"</f>
        <v>062628006932</v>
      </c>
    </row>
    <row r="6386" spans="1:9" x14ac:dyDescent="0.25">
      <c r="A6386" t="s">
        <v>5552</v>
      </c>
      <c r="B6386" t="s">
        <v>13</v>
      </c>
      <c r="C6386">
        <v>95.43</v>
      </c>
      <c r="D6386">
        <v>98.7</v>
      </c>
      <c r="E6386" t="s">
        <v>17</v>
      </c>
      <c r="F6386">
        <v>25.47</v>
      </c>
      <c r="G6386">
        <v>25.46</v>
      </c>
      <c r="H6386" t="s">
        <v>17</v>
      </c>
      <c r="I6386" t="str">
        <f>"061443001699"</f>
        <v>061443001699</v>
      </c>
    </row>
    <row r="6387" spans="1:9" x14ac:dyDescent="0.25">
      <c r="A6387" t="s">
        <v>5553</v>
      </c>
      <c r="B6387" t="s">
        <v>13</v>
      </c>
      <c r="C6387">
        <v>55</v>
      </c>
      <c r="D6387">
        <v>55</v>
      </c>
      <c r="E6387" t="s">
        <v>17</v>
      </c>
      <c r="F6387">
        <v>20.149999999999999</v>
      </c>
      <c r="G6387">
        <v>20.239999999999998</v>
      </c>
      <c r="H6387" t="s">
        <v>17</v>
      </c>
      <c r="I6387" t="str">
        <f>"062271003194"</f>
        <v>062271003194</v>
      </c>
    </row>
    <row r="6388" spans="1:9" x14ac:dyDescent="0.25">
      <c r="A6388" t="s">
        <v>5554</v>
      </c>
      <c r="B6388" t="s">
        <v>13</v>
      </c>
      <c r="C6388">
        <v>1</v>
      </c>
      <c r="D6388">
        <v>1</v>
      </c>
      <c r="E6388" t="s">
        <v>17</v>
      </c>
      <c r="F6388">
        <v>1</v>
      </c>
      <c r="G6388" t="s">
        <v>17</v>
      </c>
      <c r="H6388" t="s">
        <v>17</v>
      </c>
      <c r="I6388" t="str">
        <f>"062538007835"</f>
        <v>062538007835</v>
      </c>
    </row>
    <row r="6389" spans="1:9" x14ac:dyDescent="0.25">
      <c r="A6389" t="s">
        <v>5555</v>
      </c>
      <c r="B6389" t="s">
        <v>13</v>
      </c>
      <c r="C6389">
        <v>10</v>
      </c>
      <c r="D6389">
        <v>11.28</v>
      </c>
      <c r="E6389" t="s">
        <v>17</v>
      </c>
      <c r="F6389">
        <v>16.600000000000001</v>
      </c>
      <c r="G6389">
        <v>14.54</v>
      </c>
      <c r="H6389" t="s">
        <v>17</v>
      </c>
      <c r="I6389" t="str">
        <f>"062538003785"</f>
        <v>062538003785</v>
      </c>
    </row>
    <row r="6390" spans="1:9" x14ac:dyDescent="0.25">
      <c r="A6390" t="s">
        <v>5555</v>
      </c>
      <c r="B6390" t="s">
        <v>13</v>
      </c>
      <c r="C6390">
        <v>16</v>
      </c>
      <c r="D6390">
        <v>19.3</v>
      </c>
      <c r="E6390" t="s">
        <v>17</v>
      </c>
      <c r="F6390">
        <v>23</v>
      </c>
      <c r="G6390">
        <v>19.64</v>
      </c>
      <c r="H6390" t="s">
        <v>17</v>
      </c>
      <c r="I6390" t="str">
        <f>"063543006045"</f>
        <v>063543006045</v>
      </c>
    </row>
    <row r="6391" spans="1:9" x14ac:dyDescent="0.25">
      <c r="A6391" t="s">
        <v>5556</v>
      </c>
      <c r="B6391" t="s">
        <v>13</v>
      </c>
      <c r="C6391">
        <v>27.9</v>
      </c>
      <c r="D6391">
        <v>26.4</v>
      </c>
      <c r="E6391" t="s">
        <v>17</v>
      </c>
      <c r="F6391">
        <v>19.64</v>
      </c>
      <c r="G6391">
        <v>20.68</v>
      </c>
      <c r="H6391" t="s">
        <v>17</v>
      </c>
      <c r="I6391" t="str">
        <f>"063513005951"</f>
        <v>063513005951</v>
      </c>
    </row>
    <row r="6392" spans="1:9" x14ac:dyDescent="0.25">
      <c r="A6392" t="s">
        <v>5557</v>
      </c>
      <c r="B6392" t="s">
        <v>13</v>
      </c>
      <c r="C6392">
        <v>14</v>
      </c>
      <c r="D6392">
        <v>17</v>
      </c>
      <c r="E6392" t="s">
        <v>17</v>
      </c>
      <c r="F6392">
        <v>28.86</v>
      </c>
      <c r="G6392">
        <v>24.71</v>
      </c>
      <c r="H6392" t="s">
        <v>17</v>
      </c>
      <c r="I6392" t="str">
        <f>"063255005045"</f>
        <v>063255005045</v>
      </c>
    </row>
    <row r="6393" spans="1:9" x14ac:dyDescent="0.25">
      <c r="A6393" t="s">
        <v>5558</v>
      </c>
      <c r="B6393" t="s">
        <v>13</v>
      </c>
      <c r="C6393">
        <v>17.62</v>
      </c>
      <c r="D6393">
        <v>16.100000000000001</v>
      </c>
      <c r="E6393" t="s">
        <v>17</v>
      </c>
      <c r="F6393">
        <v>24.01</v>
      </c>
      <c r="G6393">
        <v>26.77</v>
      </c>
      <c r="H6393" t="s">
        <v>17</v>
      </c>
      <c r="I6393" t="str">
        <f>"064098006758"</f>
        <v>064098006758</v>
      </c>
    </row>
    <row r="6394" spans="1:9" x14ac:dyDescent="0.25">
      <c r="A6394" t="s">
        <v>5559</v>
      </c>
      <c r="B6394" t="s">
        <v>13</v>
      </c>
      <c r="C6394">
        <v>39</v>
      </c>
      <c r="D6394">
        <v>38.020000000000003</v>
      </c>
      <c r="E6394" t="s">
        <v>17</v>
      </c>
      <c r="F6394">
        <v>21.9</v>
      </c>
      <c r="G6394">
        <v>22.96</v>
      </c>
      <c r="H6394" t="s">
        <v>17</v>
      </c>
      <c r="I6394" t="str">
        <f>"062271009394"</f>
        <v>062271009394</v>
      </c>
    </row>
    <row r="6395" spans="1:9" x14ac:dyDescent="0.25">
      <c r="A6395" t="s">
        <v>5560</v>
      </c>
      <c r="B6395" t="s">
        <v>13</v>
      </c>
      <c r="C6395">
        <v>22.5</v>
      </c>
      <c r="D6395">
        <v>23</v>
      </c>
      <c r="E6395" t="s">
        <v>17</v>
      </c>
      <c r="F6395">
        <v>24.27</v>
      </c>
      <c r="G6395">
        <v>23.87</v>
      </c>
      <c r="H6395" t="s">
        <v>17</v>
      </c>
      <c r="I6395" t="str">
        <f>"060402000364"</f>
        <v>060402000364</v>
      </c>
    </row>
    <row r="6396" spans="1:9" x14ac:dyDescent="0.25">
      <c r="A6396" t="s">
        <v>5561</v>
      </c>
      <c r="B6396" t="s">
        <v>13</v>
      </c>
      <c r="C6396">
        <v>19</v>
      </c>
      <c r="D6396">
        <v>18</v>
      </c>
      <c r="E6396" t="s">
        <v>17</v>
      </c>
      <c r="F6396">
        <v>26.37</v>
      </c>
      <c r="G6396">
        <v>25.06</v>
      </c>
      <c r="H6396" t="s">
        <v>17</v>
      </c>
      <c r="I6396" t="str">
        <f>"062805004302"</f>
        <v>062805004302</v>
      </c>
    </row>
    <row r="6397" spans="1:9" x14ac:dyDescent="0.25">
      <c r="A6397" t="s">
        <v>5562</v>
      </c>
      <c r="B6397" t="s">
        <v>13</v>
      </c>
      <c r="C6397">
        <v>117.63</v>
      </c>
      <c r="D6397">
        <v>117.61</v>
      </c>
      <c r="E6397" t="s">
        <v>17</v>
      </c>
      <c r="F6397">
        <v>26.69</v>
      </c>
      <c r="G6397">
        <v>27.74</v>
      </c>
      <c r="H6397" t="s">
        <v>17</v>
      </c>
      <c r="I6397" t="str">
        <f>"060816000793"</f>
        <v>060816000793</v>
      </c>
    </row>
    <row r="6398" spans="1:9" x14ac:dyDescent="0.25">
      <c r="A6398" t="s">
        <v>5563</v>
      </c>
      <c r="B6398" t="s">
        <v>13</v>
      </c>
      <c r="C6398">
        <v>20.45</v>
      </c>
      <c r="D6398">
        <v>20.23</v>
      </c>
      <c r="E6398" t="s">
        <v>17</v>
      </c>
      <c r="F6398">
        <v>25.23</v>
      </c>
      <c r="G6398">
        <v>24.96</v>
      </c>
      <c r="H6398" t="s">
        <v>17</v>
      </c>
      <c r="I6398" t="str">
        <f>"061029001143"</f>
        <v>061029001143</v>
      </c>
    </row>
    <row r="6399" spans="1:9" x14ac:dyDescent="0.25">
      <c r="A6399" t="s">
        <v>5564</v>
      </c>
      <c r="B6399" t="s">
        <v>13</v>
      </c>
      <c r="C6399">
        <v>21.6</v>
      </c>
      <c r="D6399">
        <v>21.8</v>
      </c>
      <c r="E6399" t="s">
        <v>17</v>
      </c>
      <c r="F6399">
        <v>27.22</v>
      </c>
      <c r="G6399">
        <v>26.47</v>
      </c>
      <c r="H6399" t="s">
        <v>17</v>
      </c>
      <c r="I6399" t="str">
        <f>"062637003957"</f>
        <v>062637003957</v>
      </c>
    </row>
    <row r="6400" spans="1:9" x14ac:dyDescent="0.25">
      <c r="A6400" t="s">
        <v>5565</v>
      </c>
      <c r="B6400" t="s">
        <v>13</v>
      </c>
      <c r="C6400">
        <v>4.62</v>
      </c>
      <c r="D6400">
        <v>5</v>
      </c>
      <c r="E6400" t="s">
        <v>17</v>
      </c>
      <c r="F6400">
        <v>19.7</v>
      </c>
      <c r="G6400">
        <v>15.6</v>
      </c>
      <c r="H6400" t="s">
        <v>17</v>
      </c>
      <c r="I6400" t="str">
        <f>"062541003786"</f>
        <v>062541003786</v>
      </c>
    </row>
    <row r="6401" spans="1:9" x14ac:dyDescent="0.25">
      <c r="A6401" t="s">
        <v>5566</v>
      </c>
      <c r="B6401" t="s">
        <v>13</v>
      </c>
      <c r="C6401">
        <v>22</v>
      </c>
      <c r="D6401">
        <v>22</v>
      </c>
      <c r="E6401" t="s">
        <v>17</v>
      </c>
      <c r="F6401">
        <v>25.36</v>
      </c>
      <c r="G6401">
        <v>24.41</v>
      </c>
      <c r="H6401" t="s">
        <v>17</v>
      </c>
      <c r="I6401" t="str">
        <f>"063753006347"</f>
        <v>063753006347</v>
      </c>
    </row>
    <row r="6402" spans="1:9" x14ac:dyDescent="0.25">
      <c r="A6402" t="s">
        <v>5567</v>
      </c>
      <c r="B6402" t="s">
        <v>13</v>
      </c>
      <c r="C6402">
        <v>10.9</v>
      </c>
      <c r="D6402">
        <v>8.61</v>
      </c>
      <c r="E6402" t="s">
        <v>17</v>
      </c>
      <c r="F6402">
        <v>14.77</v>
      </c>
      <c r="G6402">
        <v>12.89</v>
      </c>
      <c r="H6402" t="s">
        <v>17</v>
      </c>
      <c r="I6402" t="str">
        <f>"063684009639"</f>
        <v>063684009639</v>
      </c>
    </row>
    <row r="6403" spans="1:9" x14ac:dyDescent="0.25">
      <c r="A6403" t="s">
        <v>5567</v>
      </c>
      <c r="B6403" t="s">
        <v>13</v>
      </c>
      <c r="C6403">
        <v>16</v>
      </c>
      <c r="D6403">
        <v>15</v>
      </c>
      <c r="E6403" t="s">
        <v>14</v>
      </c>
      <c r="F6403">
        <v>24</v>
      </c>
      <c r="G6403">
        <v>25.27</v>
      </c>
      <c r="H6403" t="s">
        <v>14</v>
      </c>
      <c r="I6403" t="str">
        <f>"062553012851"</f>
        <v>062553012851</v>
      </c>
    </row>
    <row r="6404" spans="1:9" x14ac:dyDescent="0.25">
      <c r="A6404" t="s">
        <v>5568</v>
      </c>
      <c r="B6404" t="s">
        <v>13</v>
      </c>
      <c r="C6404">
        <v>33</v>
      </c>
      <c r="D6404">
        <v>40</v>
      </c>
      <c r="E6404" t="s">
        <v>17</v>
      </c>
      <c r="F6404">
        <v>27.45</v>
      </c>
      <c r="G6404">
        <v>22.33</v>
      </c>
      <c r="H6404" t="s">
        <v>17</v>
      </c>
      <c r="I6404" t="str">
        <f>"060002911239"</f>
        <v>060002911239</v>
      </c>
    </row>
    <row r="6405" spans="1:9" x14ac:dyDescent="0.25">
      <c r="A6405" t="s">
        <v>5568</v>
      </c>
      <c r="B6405" t="s">
        <v>13</v>
      </c>
      <c r="C6405">
        <v>24</v>
      </c>
      <c r="D6405">
        <v>27</v>
      </c>
      <c r="E6405" t="s">
        <v>17</v>
      </c>
      <c r="F6405">
        <v>28.13</v>
      </c>
      <c r="G6405">
        <v>24.63</v>
      </c>
      <c r="H6405" t="s">
        <v>17</v>
      </c>
      <c r="I6405" t="str">
        <f>"063531006000"</f>
        <v>063531006000</v>
      </c>
    </row>
    <row r="6406" spans="1:9" x14ac:dyDescent="0.25">
      <c r="A6406" t="s">
        <v>5568</v>
      </c>
      <c r="B6406" t="s">
        <v>13</v>
      </c>
      <c r="C6406">
        <v>24</v>
      </c>
      <c r="D6406">
        <v>22</v>
      </c>
      <c r="E6406" t="s">
        <v>17</v>
      </c>
      <c r="F6406">
        <v>30.38</v>
      </c>
      <c r="G6406">
        <v>28.82</v>
      </c>
      <c r="H6406" t="s">
        <v>17</v>
      </c>
      <c r="I6406" t="str">
        <f>"062619003918"</f>
        <v>062619003918</v>
      </c>
    </row>
    <row r="6407" spans="1:9" x14ac:dyDescent="0.25">
      <c r="A6407" t="s">
        <v>5568</v>
      </c>
      <c r="B6407" t="s">
        <v>13</v>
      </c>
      <c r="C6407">
        <v>27.5</v>
      </c>
      <c r="D6407">
        <v>26.5</v>
      </c>
      <c r="E6407" t="s">
        <v>17</v>
      </c>
      <c r="F6407">
        <v>20.84</v>
      </c>
      <c r="G6407">
        <v>22</v>
      </c>
      <c r="H6407" t="s">
        <v>17</v>
      </c>
      <c r="I6407" t="str">
        <f>"064200006882"</f>
        <v>064200006882</v>
      </c>
    </row>
    <row r="6408" spans="1:9" x14ac:dyDescent="0.25">
      <c r="A6408" t="s">
        <v>5568</v>
      </c>
      <c r="B6408" t="s">
        <v>13</v>
      </c>
      <c r="C6408">
        <v>28.86</v>
      </c>
      <c r="D6408">
        <v>23.36</v>
      </c>
      <c r="E6408" t="s">
        <v>17</v>
      </c>
      <c r="F6408">
        <v>28.86</v>
      </c>
      <c r="G6408">
        <v>33.78</v>
      </c>
      <c r="H6408" t="s">
        <v>17</v>
      </c>
      <c r="I6408" t="str">
        <f>"062088002510"</f>
        <v>062088002510</v>
      </c>
    </row>
    <row r="6409" spans="1:9" x14ac:dyDescent="0.25">
      <c r="A6409" t="s">
        <v>5568</v>
      </c>
      <c r="B6409" t="s">
        <v>13</v>
      </c>
      <c r="C6409">
        <v>24.5</v>
      </c>
      <c r="D6409">
        <v>24</v>
      </c>
      <c r="E6409" t="s">
        <v>17</v>
      </c>
      <c r="F6409">
        <v>25.67</v>
      </c>
      <c r="G6409">
        <v>25.25</v>
      </c>
      <c r="H6409" t="s">
        <v>17</v>
      </c>
      <c r="I6409" t="str">
        <f>"061524001940"</f>
        <v>061524001940</v>
      </c>
    </row>
    <row r="6410" spans="1:9" x14ac:dyDescent="0.25">
      <c r="A6410" t="s">
        <v>5568</v>
      </c>
      <c r="B6410" t="s">
        <v>13</v>
      </c>
      <c r="C6410">
        <v>26.2</v>
      </c>
      <c r="D6410">
        <v>22.8</v>
      </c>
      <c r="E6410" t="s">
        <v>17</v>
      </c>
      <c r="F6410">
        <v>24.12</v>
      </c>
      <c r="G6410">
        <v>29.12</v>
      </c>
      <c r="H6410" t="s">
        <v>17</v>
      </c>
      <c r="I6410" t="str">
        <f>"060994009772"</f>
        <v>060994009772</v>
      </c>
    </row>
    <row r="6411" spans="1:9" x14ac:dyDescent="0.25">
      <c r="A6411" t="s">
        <v>5568</v>
      </c>
      <c r="B6411" t="s">
        <v>13</v>
      </c>
      <c r="C6411">
        <v>14.5</v>
      </c>
      <c r="D6411">
        <v>15.4</v>
      </c>
      <c r="E6411" t="s">
        <v>17</v>
      </c>
      <c r="F6411">
        <v>24</v>
      </c>
      <c r="G6411">
        <v>22.53</v>
      </c>
      <c r="H6411" t="s">
        <v>17</v>
      </c>
      <c r="I6411" t="str">
        <f>"061749002189"</f>
        <v>061749002189</v>
      </c>
    </row>
    <row r="6412" spans="1:9" x14ac:dyDescent="0.25">
      <c r="A6412" t="s">
        <v>5568</v>
      </c>
      <c r="B6412" t="s">
        <v>13</v>
      </c>
      <c r="C6412">
        <v>17</v>
      </c>
      <c r="D6412">
        <v>20.95</v>
      </c>
      <c r="E6412" t="s">
        <v>17</v>
      </c>
      <c r="F6412">
        <v>30.18</v>
      </c>
      <c r="G6412">
        <v>25.35</v>
      </c>
      <c r="H6412" t="s">
        <v>17</v>
      </c>
      <c r="I6412" t="str">
        <f>"060006407467"</f>
        <v>060006407467</v>
      </c>
    </row>
    <row r="6413" spans="1:9" x14ac:dyDescent="0.25">
      <c r="A6413" t="s">
        <v>5568</v>
      </c>
      <c r="B6413" t="s">
        <v>13</v>
      </c>
      <c r="C6413">
        <v>30.1</v>
      </c>
      <c r="D6413">
        <v>30</v>
      </c>
      <c r="E6413" t="s">
        <v>17</v>
      </c>
      <c r="F6413">
        <v>24.29</v>
      </c>
      <c r="G6413">
        <v>24.57</v>
      </c>
      <c r="H6413" t="s">
        <v>17</v>
      </c>
      <c r="I6413" t="str">
        <f>"062847004408"</f>
        <v>062847004408</v>
      </c>
    </row>
    <row r="6414" spans="1:9" x14ac:dyDescent="0.25">
      <c r="A6414" t="s">
        <v>5568</v>
      </c>
      <c r="B6414" t="s">
        <v>13</v>
      </c>
      <c r="C6414">
        <v>28</v>
      </c>
      <c r="D6414">
        <v>28</v>
      </c>
      <c r="E6414" t="s">
        <v>17</v>
      </c>
      <c r="F6414">
        <v>24.36</v>
      </c>
      <c r="G6414">
        <v>23.32</v>
      </c>
      <c r="H6414" t="s">
        <v>17</v>
      </c>
      <c r="I6414" t="str">
        <f>"064119006820"</f>
        <v>064119006820</v>
      </c>
    </row>
    <row r="6415" spans="1:9" x14ac:dyDescent="0.25">
      <c r="A6415" t="s">
        <v>5569</v>
      </c>
      <c r="B6415" t="s">
        <v>13</v>
      </c>
      <c r="C6415">
        <v>75.37</v>
      </c>
      <c r="D6415">
        <v>78.77</v>
      </c>
      <c r="E6415" t="s">
        <v>17</v>
      </c>
      <c r="F6415">
        <v>23.11</v>
      </c>
      <c r="G6415">
        <v>22.79</v>
      </c>
      <c r="H6415" t="s">
        <v>17</v>
      </c>
      <c r="I6415" t="str">
        <f>"061623002024"</f>
        <v>061623002024</v>
      </c>
    </row>
    <row r="6416" spans="1:9" x14ac:dyDescent="0.25">
      <c r="A6416" t="s">
        <v>5569</v>
      </c>
      <c r="B6416" t="s">
        <v>13</v>
      </c>
      <c r="C6416">
        <v>95.39</v>
      </c>
      <c r="D6416">
        <v>88.4</v>
      </c>
      <c r="E6416" t="s">
        <v>17</v>
      </c>
      <c r="F6416">
        <v>23.38</v>
      </c>
      <c r="G6416">
        <v>24.41</v>
      </c>
      <c r="H6416" t="s">
        <v>17</v>
      </c>
      <c r="I6416" t="str">
        <f>"063513005952"</f>
        <v>063513005952</v>
      </c>
    </row>
    <row r="6417" spans="1:9" x14ac:dyDescent="0.25">
      <c r="A6417" t="s">
        <v>5569</v>
      </c>
      <c r="B6417" t="s">
        <v>13</v>
      </c>
      <c r="C6417">
        <v>3.6</v>
      </c>
      <c r="D6417">
        <v>3.7</v>
      </c>
      <c r="E6417" t="s">
        <v>17</v>
      </c>
      <c r="F6417">
        <v>21.39</v>
      </c>
      <c r="G6417">
        <v>16.760000000000002</v>
      </c>
      <c r="H6417" t="s">
        <v>17</v>
      </c>
      <c r="I6417" t="str">
        <f>"062724008919"</f>
        <v>062724008919</v>
      </c>
    </row>
    <row r="6418" spans="1:9" x14ac:dyDescent="0.25">
      <c r="A6418" t="s">
        <v>5570</v>
      </c>
      <c r="B6418" t="s">
        <v>13</v>
      </c>
      <c r="C6418">
        <v>11</v>
      </c>
      <c r="D6418">
        <v>12</v>
      </c>
      <c r="E6418" t="s">
        <v>17</v>
      </c>
      <c r="F6418">
        <v>31.91</v>
      </c>
      <c r="G6418">
        <v>31.33</v>
      </c>
      <c r="H6418" t="s">
        <v>17</v>
      </c>
      <c r="I6418" t="str">
        <f>"063756008990"</f>
        <v>063756008990</v>
      </c>
    </row>
    <row r="6419" spans="1:9" x14ac:dyDescent="0.25">
      <c r="A6419" t="s">
        <v>5570</v>
      </c>
      <c r="B6419" t="s">
        <v>13</v>
      </c>
      <c r="C6419">
        <v>37.33</v>
      </c>
      <c r="D6419">
        <v>35.5</v>
      </c>
      <c r="E6419" t="s">
        <v>17</v>
      </c>
      <c r="F6419">
        <v>24.03</v>
      </c>
      <c r="G6419">
        <v>25.07</v>
      </c>
      <c r="H6419" t="s">
        <v>17</v>
      </c>
      <c r="I6419" t="str">
        <f>"063099004804"</f>
        <v>063099004804</v>
      </c>
    </row>
    <row r="6420" spans="1:9" x14ac:dyDescent="0.25">
      <c r="A6420" t="s">
        <v>5570</v>
      </c>
      <c r="B6420" t="s">
        <v>13</v>
      </c>
      <c r="C6420">
        <v>39</v>
      </c>
      <c r="D6420">
        <v>39</v>
      </c>
      <c r="E6420" t="s">
        <v>17</v>
      </c>
      <c r="F6420">
        <v>20.79</v>
      </c>
      <c r="G6420">
        <v>22.38</v>
      </c>
      <c r="H6420" t="s">
        <v>17</v>
      </c>
      <c r="I6420" t="str">
        <f>"060004707384"</f>
        <v>060004707384</v>
      </c>
    </row>
    <row r="6421" spans="1:9" x14ac:dyDescent="0.25">
      <c r="A6421" t="s">
        <v>5570</v>
      </c>
      <c r="B6421" t="s">
        <v>13</v>
      </c>
      <c r="C6421">
        <v>36.1</v>
      </c>
      <c r="D6421">
        <v>35.770000000000003</v>
      </c>
      <c r="E6421" t="s">
        <v>17</v>
      </c>
      <c r="F6421">
        <v>25.71</v>
      </c>
      <c r="G6421">
        <v>25.38</v>
      </c>
      <c r="H6421" t="s">
        <v>17</v>
      </c>
      <c r="I6421" t="str">
        <f>"063444005691"</f>
        <v>063444005691</v>
      </c>
    </row>
    <row r="6422" spans="1:9" x14ac:dyDescent="0.25">
      <c r="A6422" t="s">
        <v>5571</v>
      </c>
      <c r="B6422" t="s">
        <v>13</v>
      </c>
      <c r="C6422">
        <v>21</v>
      </c>
      <c r="D6422">
        <v>23</v>
      </c>
      <c r="E6422" t="s">
        <v>17</v>
      </c>
      <c r="F6422">
        <v>24.1</v>
      </c>
      <c r="G6422">
        <v>24.3</v>
      </c>
      <c r="H6422" t="s">
        <v>17</v>
      </c>
      <c r="I6422" t="str">
        <f>"062271003195"</f>
        <v>062271003195</v>
      </c>
    </row>
    <row r="6423" spans="1:9" x14ac:dyDescent="0.25">
      <c r="A6423" t="s">
        <v>5572</v>
      </c>
      <c r="B6423" t="s">
        <v>13</v>
      </c>
      <c r="C6423">
        <v>11.53</v>
      </c>
      <c r="D6423">
        <v>8.19</v>
      </c>
      <c r="E6423" t="s">
        <v>17</v>
      </c>
      <c r="F6423">
        <v>9.11</v>
      </c>
      <c r="G6423">
        <v>13.92</v>
      </c>
      <c r="H6423" t="s">
        <v>17</v>
      </c>
      <c r="I6423" t="str">
        <f>"062547008726"</f>
        <v>062547008726</v>
      </c>
    </row>
    <row r="6424" spans="1:9" x14ac:dyDescent="0.25">
      <c r="A6424" t="s">
        <v>5573</v>
      </c>
      <c r="B6424" t="s">
        <v>13</v>
      </c>
      <c r="C6424">
        <v>12</v>
      </c>
      <c r="D6424">
        <v>11.5</v>
      </c>
      <c r="E6424" t="s">
        <v>17</v>
      </c>
      <c r="F6424">
        <v>31.33</v>
      </c>
      <c r="G6424">
        <v>31.22</v>
      </c>
      <c r="H6424" t="s">
        <v>17</v>
      </c>
      <c r="I6424" t="str">
        <f>"062547003802"</f>
        <v>062547003802</v>
      </c>
    </row>
    <row r="6425" spans="1:9" x14ac:dyDescent="0.25">
      <c r="A6425" t="s">
        <v>5574</v>
      </c>
      <c r="B6425" t="s">
        <v>13</v>
      </c>
      <c r="C6425">
        <v>118.04</v>
      </c>
      <c r="D6425">
        <v>122.8</v>
      </c>
      <c r="E6425" t="s">
        <v>17</v>
      </c>
      <c r="F6425">
        <v>27.03</v>
      </c>
      <c r="G6425">
        <v>26.76</v>
      </c>
      <c r="H6425" t="s">
        <v>17</v>
      </c>
      <c r="I6425" t="str">
        <f>"062547003803"</f>
        <v>062547003803</v>
      </c>
    </row>
    <row r="6426" spans="1:9" x14ac:dyDescent="0.25">
      <c r="A6426" t="s">
        <v>5575</v>
      </c>
      <c r="B6426" t="s">
        <v>13</v>
      </c>
      <c r="C6426">
        <v>42.75</v>
      </c>
      <c r="D6426">
        <v>43.91</v>
      </c>
      <c r="E6426" t="s">
        <v>17</v>
      </c>
      <c r="F6426">
        <v>29.03</v>
      </c>
      <c r="G6426">
        <v>28.47</v>
      </c>
      <c r="H6426" t="s">
        <v>17</v>
      </c>
      <c r="I6426" t="str">
        <f>"062547003804"</f>
        <v>062547003804</v>
      </c>
    </row>
    <row r="6427" spans="1:9" x14ac:dyDescent="0.25">
      <c r="A6427" t="s">
        <v>5576</v>
      </c>
      <c r="B6427" t="s">
        <v>13</v>
      </c>
      <c r="C6427">
        <v>21.33</v>
      </c>
      <c r="D6427">
        <v>24.5</v>
      </c>
      <c r="E6427" t="s">
        <v>17</v>
      </c>
      <c r="F6427">
        <v>33.659999999999997</v>
      </c>
      <c r="G6427">
        <v>28.9</v>
      </c>
      <c r="H6427" t="s">
        <v>17</v>
      </c>
      <c r="I6427" t="str">
        <f>"062547003805"</f>
        <v>062547003805</v>
      </c>
    </row>
    <row r="6428" spans="1:9" x14ac:dyDescent="0.25">
      <c r="A6428" t="s">
        <v>5577</v>
      </c>
      <c r="B6428" t="s">
        <v>13</v>
      </c>
      <c r="C6428">
        <v>7.4</v>
      </c>
      <c r="D6428">
        <v>7</v>
      </c>
      <c r="E6428" t="s">
        <v>17</v>
      </c>
      <c r="F6428">
        <v>18.78</v>
      </c>
      <c r="G6428">
        <v>17</v>
      </c>
      <c r="H6428" t="s">
        <v>17</v>
      </c>
      <c r="I6428" t="str">
        <f>"063171004906"</f>
        <v>063171004906</v>
      </c>
    </row>
    <row r="6429" spans="1:9" x14ac:dyDescent="0.25">
      <c r="A6429" t="s">
        <v>5578</v>
      </c>
      <c r="B6429" t="s">
        <v>13</v>
      </c>
      <c r="C6429">
        <v>27</v>
      </c>
      <c r="D6429">
        <v>34</v>
      </c>
      <c r="E6429" t="s">
        <v>17</v>
      </c>
      <c r="F6429">
        <v>17.440000000000001</v>
      </c>
      <c r="G6429">
        <v>12.91</v>
      </c>
      <c r="H6429" t="s">
        <v>17</v>
      </c>
      <c r="I6429" t="str">
        <f>"062550003815"</f>
        <v>062550003815</v>
      </c>
    </row>
    <row r="6430" spans="1:9" x14ac:dyDescent="0.25">
      <c r="A6430" t="s">
        <v>5579</v>
      </c>
      <c r="B6430" t="s">
        <v>13</v>
      </c>
      <c r="C6430">
        <v>16</v>
      </c>
      <c r="D6430">
        <v>17.600000000000001</v>
      </c>
      <c r="E6430" t="s">
        <v>17</v>
      </c>
      <c r="F6430">
        <v>26.13</v>
      </c>
      <c r="G6430">
        <v>25.91</v>
      </c>
      <c r="H6430" t="s">
        <v>17</v>
      </c>
      <c r="I6430" t="str">
        <f>"062970004615"</f>
        <v>062970004615</v>
      </c>
    </row>
    <row r="6431" spans="1:9" x14ac:dyDescent="0.25">
      <c r="A6431" t="s">
        <v>5580</v>
      </c>
      <c r="B6431" t="s">
        <v>13</v>
      </c>
      <c r="C6431">
        <v>32.1</v>
      </c>
      <c r="D6431">
        <v>31.5</v>
      </c>
      <c r="E6431" t="s">
        <v>17</v>
      </c>
      <c r="F6431">
        <v>19.03</v>
      </c>
      <c r="G6431">
        <v>19.3</v>
      </c>
      <c r="H6431" t="s">
        <v>17</v>
      </c>
      <c r="I6431" t="str">
        <f>"062847011318"</f>
        <v>062847011318</v>
      </c>
    </row>
    <row r="6432" spans="1:9" x14ac:dyDescent="0.25">
      <c r="A6432" t="s">
        <v>5581</v>
      </c>
      <c r="B6432" t="s">
        <v>13</v>
      </c>
      <c r="C6432">
        <v>43.01</v>
      </c>
      <c r="D6432">
        <v>40.61</v>
      </c>
      <c r="E6432" t="s">
        <v>17</v>
      </c>
      <c r="F6432">
        <v>22.02</v>
      </c>
      <c r="G6432">
        <v>22.48</v>
      </c>
      <c r="H6432" t="s">
        <v>17</v>
      </c>
      <c r="I6432" t="str">
        <f>"062805004303"</f>
        <v>062805004303</v>
      </c>
    </row>
    <row r="6433" spans="1:9" x14ac:dyDescent="0.25">
      <c r="A6433" t="s">
        <v>5582</v>
      </c>
      <c r="B6433" t="s">
        <v>13</v>
      </c>
      <c r="C6433">
        <v>11.5</v>
      </c>
      <c r="D6433">
        <v>10.5</v>
      </c>
      <c r="E6433" t="s">
        <v>17</v>
      </c>
      <c r="F6433">
        <v>21.39</v>
      </c>
      <c r="G6433">
        <v>21.71</v>
      </c>
      <c r="H6433" t="s">
        <v>17</v>
      </c>
      <c r="I6433" t="str">
        <f>"069102111695"</f>
        <v>069102111695</v>
      </c>
    </row>
    <row r="6434" spans="1:9" x14ac:dyDescent="0.25">
      <c r="A6434" t="s">
        <v>5583</v>
      </c>
      <c r="B6434" t="s">
        <v>13</v>
      </c>
      <c r="C6434">
        <v>3.5</v>
      </c>
      <c r="D6434">
        <v>3.01</v>
      </c>
      <c r="E6434" t="s">
        <v>17</v>
      </c>
      <c r="F6434">
        <v>22.86</v>
      </c>
      <c r="G6434">
        <v>29.24</v>
      </c>
      <c r="H6434" t="s">
        <v>17</v>
      </c>
      <c r="I6434" t="str">
        <f>"062271003197"</f>
        <v>062271003197</v>
      </c>
    </row>
    <row r="6435" spans="1:9" x14ac:dyDescent="0.25">
      <c r="A6435" t="s">
        <v>5584</v>
      </c>
      <c r="B6435" t="s">
        <v>13</v>
      </c>
      <c r="C6435">
        <v>18</v>
      </c>
      <c r="D6435">
        <v>18</v>
      </c>
      <c r="E6435" t="s">
        <v>17</v>
      </c>
      <c r="F6435">
        <v>22.78</v>
      </c>
      <c r="G6435">
        <v>22.44</v>
      </c>
      <c r="H6435" t="s">
        <v>17</v>
      </c>
      <c r="I6435" t="str">
        <f>"069102108529"</f>
        <v>069102108529</v>
      </c>
    </row>
    <row r="6436" spans="1:9" x14ac:dyDescent="0.25">
      <c r="A6436" t="s">
        <v>5585</v>
      </c>
      <c r="B6436" t="s">
        <v>13</v>
      </c>
      <c r="C6436">
        <v>62</v>
      </c>
      <c r="D6436">
        <v>68</v>
      </c>
      <c r="E6436" t="s">
        <v>17</v>
      </c>
      <c r="F6436">
        <v>5.23</v>
      </c>
      <c r="G6436">
        <v>4.99</v>
      </c>
      <c r="H6436" t="s">
        <v>17</v>
      </c>
      <c r="I6436" t="str">
        <f>"069102107551"</f>
        <v>069102107551</v>
      </c>
    </row>
    <row r="6437" spans="1:9" x14ac:dyDescent="0.25">
      <c r="A6437" t="s">
        <v>5586</v>
      </c>
      <c r="B6437" t="s">
        <v>13</v>
      </c>
      <c r="C6437">
        <v>34</v>
      </c>
      <c r="D6437">
        <v>37</v>
      </c>
      <c r="E6437" t="s">
        <v>17</v>
      </c>
      <c r="F6437">
        <v>19.71</v>
      </c>
      <c r="G6437">
        <v>19.84</v>
      </c>
      <c r="H6437" t="s">
        <v>17</v>
      </c>
      <c r="I6437" t="str">
        <f>"063417005370"</f>
        <v>063417005370</v>
      </c>
    </row>
    <row r="6438" spans="1:9" x14ac:dyDescent="0.25">
      <c r="A6438" t="s">
        <v>5587</v>
      </c>
      <c r="B6438" t="s">
        <v>13</v>
      </c>
      <c r="C6438">
        <v>16</v>
      </c>
      <c r="D6438">
        <v>16.77</v>
      </c>
      <c r="E6438" t="s">
        <v>17</v>
      </c>
      <c r="F6438">
        <v>28.81</v>
      </c>
      <c r="G6438">
        <v>29.52</v>
      </c>
      <c r="H6438" t="s">
        <v>17</v>
      </c>
      <c r="I6438" t="str">
        <f>"062133002551"</f>
        <v>062133002551</v>
      </c>
    </row>
    <row r="6439" spans="1:9" x14ac:dyDescent="0.25">
      <c r="A6439" t="s">
        <v>5588</v>
      </c>
      <c r="B6439" t="s">
        <v>13</v>
      </c>
      <c r="C6439">
        <v>63.04</v>
      </c>
      <c r="D6439">
        <v>59.99</v>
      </c>
      <c r="E6439" t="s">
        <v>17</v>
      </c>
      <c r="F6439">
        <v>19.18</v>
      </c>
      <c r="G6439">
        <v>20.89</v>
      </c>
      <c r="H6439" t="s">
        <v>17</v>
      </c>
      <c r="I6439" t="str">
        <f>"062553003839"</f>
        <v>062553003839</v>
      </c>
    </row>
    <row r="6440" spans="1:9" x14ac:dyDescent="0.25">
      <c r="A6440" t="s">
        <v>5589</v>
      </c>
      <c r="B6440" t="s">
        <v>13</v>
      </c>
      <c r="C6440">
        <v>10.199999999999999</v>
      </c>
      <c r="D6440">
        <v>10.199999999999999</v>
      </c>
      <c r="E6440" t="s">
        <v>17</v>
      </c>
      <c r="F6440">
        <v>17.649999999999999</v>
      </c>
      <c r="G6440">
        <v>16.760000000000002</v>
      </c>
      <c r="H6440" t="s">
        <v>17</v>
      </c>
      <c r="I6440" t="str">
        <f>"060645008120"</f>
        <v>060645008120</v>
      </c>
    </row>
    <row r="6441" spans="1:9" x14ac:dyDescent="0.25">
      <c r="A6441" t="s">
        <v>5590</v>
      </c>
      <c r="B6441" t="s">
        <v>13</v>
      </c>
      <c r="C6441">
        <v>35.840000000000003</v>
      </c>
      <c r="D6441">
        <v>36.840000000000003</v>
      </c>
      <c r="E6441" t="s">
        <v>17</v>
      </c>
      <c r="F6441">
        <v>27.04</v>
      </c>
      <c r="G6441">
        <v>24.65</v>
      </c>
      <c r="H6441" t="s">
        <v>17</v>
      </c>
      <c r="I6441" t="str">
        <f>"060015310941"</f>
        <v>060015310941</v>
      </c>
    </row>
    <row r="6442" spans="1:9" x14ac:dyDescent="0.25">
      <c r="A6442" t="s">
        <v>5591</v>
      </c>
      <c r="B6442" t="s">
        <v>13</v>
      </c>
      <c r="C6442">
        <v>27</v>
      </c>
      <c r="D6442">
        <v>26</v>
      </c>
      <c r="E6442" t="s">
        <v>17</v>
      </c>
      <c r="F6442">
        <v>21.93</v>
      </c>
      <c r="G6442">
        <v>22.35</v>
      </c>
      <c r="H6442" t="s">
        <v>17</v>
      </c>
      <c r="I6442" t="str">
        <f>"063750006334"</f>
        <v>063750006334</v>
      </c>
    </row>
    <row r="6443" spans="1:9" x14ac:dyDescent="0.25">
      <c r="A6443" t="s">
        <v>5592</v>
      </c>
      <c r="B6443" t="s">
        <v>13</v>
      </c>
      <c r="C6443">
        <v>22</v>
      </c>
      <c r="D6443">
        <v>21</v>
      </c>
      <c r="E6443" t="s">
        <v>17</v>
      </c>
      <c r="F6443">
        <v>25.5</v>
      </c>
      <c r="G6443">
        <v>24.52</v>
      </c>
      <c r="H6443" t="s">
        <v>17</v>
      </c>
      <c r="I6443" t="str">
        <f>"063393005326"</f>
        <v>063393005326</v>
      </c>
    </row>
    <row r="6444" spans="1:9" x14ac:dyDescent="0.25">
      <c r="A6444" t="s">
        <v>5593</v>
      </c>
      <c r="B6444" t="s">
        <v>13</v>
      </c>
      <c r="C6444">
        <v>1</v>
      </c>
      <c r="D6444">
        <v>1.25</v>
      </c>
      <c r="E6444" t="s">
        <v>17</v>
      </c>
      <c r="F6444">
        <v>7</v>
      </c>
      <c r="G6444">
        <v>9.6</v>
      </c>
      <c r="H6444" t="s">
        <v>17</v>
      </c>
      <c r="I6444" t="str">
        <f>"062553011941"</f>
        <v>062553011941</v>
      </c>
    </row>
    <row r="6445" spans="1:9" x14ac:dyDescent="0.25">
      <c r="A6445" t="s">
        <v>5594</v>
      </c>
      <c r="B6445" t="s">
        <v>13</v>
      </c>
      <c r="C6445">
        <v>1</v>
      </c>
      <c r="D6445">
        <v>1</v>
      </c>
      <c r="E6445" t="s">
        <v>17</v>
      </c>
      <c r="F6445">
        <v>11</v>
      </c>
      <c r="G6445">
        <v>8</v>
      </c>
      <c r="H6445" t="s">
        <v>17</v>
      </c>
      <c r="I6445" t="str">
        <f>"062553012178"</f>
        <v>062553012178</v>
      </c>
    </row>
    <row r="6446" spans="1:9" x14ac:dyDescent="0.25">
      <c r="A6446" t="s">
        <v>5595</v>
      </c>
      <c r="B6446" t="s">
        <v>13</v>
      </c>
      <c r="C6446">
        <v>39</v>
      </c>
      <c r="D6446">
        <v>35.5</v>
      </c>
      <c r="E6446" t="s">
        <v>17</v>
      </c>
      <c r="F6446">
        <v>28</v>
      </c>
      <c r="G6446">
        <v>28.34</v>
      </c>
      <c r="H6446" t="s">
        <v>17</v>
      </c>
      <c r="I6446" t="str">
        <f>"063153011757"</f>
        <v>063153011757</v>
      </c>
    </row>
    <row r="6447" spans="1:9" x14ac:dyDescent="0.25">
      <c r="A6447" t="s">
        <v>5596</v>
      </c>
      <c r="B6447" t="s">
        <v>13</v>
      </c>
      <c r="C6447">
        <v>16.25</v>
      </c>
      <c r="D6447">
        <v>17.75</v>
      </c>
      <c r="E6447" t="s">
        <v>17</v>
      </c>
      <c r="F6447">
        <v>26.65</v>
      </c>
      <c r="G6447">
        <v>24.39</v>
      </c>
      <c r="H6447" t="s">
        <v>17</v>
      </c>
      <c r="I6447" t="str">
        <f>"060330000252"</f>
        <v>060330000252</v>
      </c>
    </row>
    <row r="6448" spans="1:9" x14ac:dyDescent="0.25">
      <c r="A6448" t="s">
        <v>5597</v>
      </c>
      <c r="B6448" t="s">
        <v>13</v>
      </c>
      <c r="C6448">
        <v>99.51</v>
      </c>
      <c r="D6448">
        <v>98.75</v>
      </c>
      <c r="E6448" t="s">
        <v>17</v>
      </c>
      <c r="F6448">
        <v>21.78</v>
      </c>
      <c r="G6448">
        <v>22.11</v>
      </c>
      <c r="H6448" t="s">
        <v>17</v>
      </c>
      <c r="I6448" t="str">
        <f>"061233011061"</f>
        <v>061233011061</v>
      </c>
    </row>
    <row r="6449" spans="1:9" x14ac:dyDescent="0.25">
      <c r="A6449" t="s">
        <v>5598</v>
      </c>
      <c r="B6449" t="s">
        <v>13</v>
      </c>
      <c r="C6449">
        <v>17</v>
      </c>
      <c r="D6449">
        <v>18.25</v>
      </c>
      <c r="E6449" t="s">
        <v>17</v>
      </c>
      <c r="F6449">
        <v>27.12</v>
      </c>
      <c r="G6449">
        <v>26.3</v>
      </c>
      <c r="H6449" t="s">
        <v>17</v>
      </c>
      <c r="I6449" t="str">
        <f>"061494001899"</f>
        <v>061494001899</v>
      </c>
    </row>
    <row r="6450" spans="1:9" x14ac:dyDescent="0.25">
      <c r="A6450" t="s">
        <v>5599</v>
      </c>
      <c r="B6450" t="s">
        <v>13</v>
      </c>
      <c r="C6450">
        <v>22.8</v>
      </c>
      <c r="D6450">
        <v>22.1</v>
      </c>
      <c r="E6450" t="s">
        <v>17</v>
      </c>
      <c r="F6450">
        <v>24.04</v>
      </c>
      <c r="G6450">
        <v>23.89</v>
      </c>
      <c r="H6450" t="s">
        <v>17</v>
      </c>
      <c r="I6450" t="str">
        <f>"063386005308"</f>
        <v>063386005308</v>
      </c>
    </row>
    <row r="6451" spans="1:9" x14ac:dyDescent="0.25">
      <c r="A6451" t="s">
        <v>5599</v>
      </c>
      <c r="B6451" t="s">
        <v>13</v>
      </c>
      <c r="C6451">
        <v>27.3</v>
      </c>
      <c r="D6451">
        <v>25.3</v>
      </c>
      <c r="E6451" t="s">
        <v>17</v>
      </c>
      <c r="F6451">
        <v>23.63</v>
      </c>
      <c r="G6451">
        <v>22.92</v>
      </c>
      <c r="H6451" t="s">
        <v>17</v>
      </c>
      <c r="I6451" t="str">
        <f>"063513005953"</f>
        <v>063513005953</v>
      </c>
    </row>
    <row r="6452" spans="1:9" x14ac:dyDescent="0.25">
      <c r="A6452" t="s">
        <v>5600</v>
      </c>
      <c r="B6452" t="s">
        <v>13</v>
      </c>
      <c r="C6452">
        <v>23.9</v>
      </c>
      <c r="D6452">
        <v>22.41</v>
      </c>
      <c r="E6452" t="s">
        <v>17</v>
      </c>
      <c r="F6452">
        <v>26.86</v>
      </c>
      <c r="G6452">
        <v>28.29</v>
      </c>
      <c r="H6452" t="s">
        <v>17</v>
      </c>
      <c r="I6452" t="str">
        <f>"063801006426"</f>
        <v>063801006426</v>
      </c>
    </row>
    <row r="6453" spans="1:9" x14ac:dyDescent="0.25">
      <c r="A6453" t="s">
        <v>5601</v>
      </c>
      <c r="B6453" t="s">
        <v>13</v>
      </c>
      <c r="C6453">
        <v>17</v>
      </c>
      <c r="D6453">
        <v>20</v>
      </c>
      <c r="E6453" t="s">
        <v>17</v>
      </c>
      <c r="F6453">
        <v>21.82</v>
      </c>
      <c r="G6453">
        <v>20.149999999999999</v>
      </c>
      <c r="H6453" t="s">
        <v>17</v>
      </c>
      <c r="I6453" t="str">
        <f>"060861000868"</f>
        <v>060861000868</v>
      </c>
    </row>
    <row r="6454" spans="1:9" x14ac:dyDescent="0.25">
      <c r="A6454" t="s">
        <v>5602</v>
      </c>
      <c r="B6454" t="s">
        <v>13</v>
      </c>
      <c r="C6454">
        <v>5.22</v>
      </c>
      <c r="D6454">
        <v>4.66</v>
      </c>
      <c r="E6454" t="s">
        <v>17</v>
      </c>
      <c r="F6454">
        <v>14.18</v>
      </c>
      <c r="G6454">
        <v>14.81</v>
      </c>
      <c r="H6454" t="s">
        <v>17</v>
      </c>
      <c r="I6454" t="str">
        <f>"062704004078"</f>
        <v>062704004078</v>
      </c>
    </row>
    <row r="6455" spans="1:9" x14ac:dyDescent="0.25">
      <c r="A6455" t="s">
        <v>5603</v>
      </c>
      <c r="B6455" t="s">
        <v>13</v>
      </c>
      <c r="C6455">
        <v>3</v>
      </c>
      <c r="D6455">
        <v>3</v>
      </c>
      <c r="E6455" t="s">
        <v>17</v>
      </c>
      <c r="F6455">
        <v>10.67</v>
      </c>
      <c r="G6455">
        <v>10.67</v>
      </c>
      <c r="H6455" t="s">
        <v>17</v>
      </c>
      <c r="I6455" t="str">
        <f>"062565003845"</f>
        <v>062565003845</v>
      </c>
    </row>
    <row r="6456" spans="1:9" x14ac:dyDescent="0.25">
      <c r="A6456" t="s">
        <v>5604</v>
      </c>
      <c r="B6456" t="s">
        <v>13</v>
      </c>
      <c r="C6456">
        <v>78.849999999999994</v>
      </c>
      <c r="D6456">
        <v>79.5</v>
      </c>
      <c r="E6456" t="s">
        <v>17</v>
      </c>
      <c r="F6456">
        <v>22.78</v>
      </c>
      <c r="G6456">
        <v>21.91</v>
      </c>
      <c r="H6456" t="s">
        <v>17</v>
      </c>
      <c r="I6456" t="str">
        <f>"063583006127"</f>
        <v>063583006127</v>
      </c>
    </row>
    <row r="6457" spans="1:9" x14ac:dyDescent="0.25">
      <c r="A6457" t="s">
        <v>5605</v>
      </c>
      <c r="B6457" t="s">
        <v>13</v>
      </c>
      <c r="C6457">
        <v>33.200000000000003</v>
      </c>
      <c r="D6457">
        <v>33.799999999999997</v>
      </c>
      <c r="E6457" t="s">
        <v>17</v>
      </c>
      <c r="F6457">
        <v>24.22</v>
      </c>
      <c r="G6457">
        <v>22.75</v>
      </c>
      <c r="H6457" t="s">
        <v>17</v>
      </c>
      <c r="I6457" t="str">
        <f>"060681000622"</f>
        <v>060681000622</v>
      </c>
    </row>
    <row r="6458" spans="1:9" x14ac:dyDescent="0.25">
      <c r="A6458" t="s">
        <v>5605</v>
      </c>
      <c r="B6458" t="s">
        <v>13</v>
      </c>
      <c r="C6458">
        <v>28.21</v>
      </c>
      <c r="D6458">
        <v>27.25</v>
      </c>
      <c r="E6458" t="s">
        <v>17</v>
      </c>
      <c r="F6458">
        <v>16.09</v>
      </c>
      <c r="G6458">
        <v>16.04</v>
      </c>
      <c r="H6458" t="s">
        <v>17</v>
      </c>
      <c r="I6458" t="str">
        <f>"063432005525"</f>
        <v>063432005525</v>
      </c>
    </row>
    <row r="6459" spans="1:9" x14ac:dyDescent="0.25">
      <c r="A6459" t="s">
        <v>5605</v>
      </c>
      <c r="B6459" t="s">
        <v>13</v>
      </c>
      <c r="C6459">
        <v>35.299999999999997</v>
      </c>
      <c r="D6459">
        <v>36.659999999999997</v>
      </c>
      <c r="E6459" t="s">
        <v>17</v>
      </c>
      <c r="F6459">
        <v>24.7</v>
      </c>
      <c r="G6459">
        <v>23.57</v>
      </c>
      <c r="H6459" t="s">
        <v>17</v>
      </c>
      <c r="I6459" t="str">
        <f>"063864006487"</f>
        <v>063864006487</v>
      </c>
    </row>
    <row r="6460" spans="1:9" x14ac:dyDescent="0.25">
      <c r="A6460" t="s">
        <v>5606</v>
      </c>
      <c r="B6460" t="s">
        <v>13</v>
      </c>
      <c r="C6460">
        <v>68.27</v>
      </c>
      <c r="D6460">
        <v>68.5</v>
      </c>
      <c r="E6460" t="s">
        <v>17</v>
      </c>
      <c r="F6460">
        <v>26.78</v>
      </c>
      <c r="G6460">
        <v>24.53</v>
      </c>
      <c r="H6460" t="s">
        <v>17</v>
      </c>
      <c r="I6460" t="str">
        <f>"063864006488"</f>
        <v>063864006488</v>
      </c>
    </row>
    <row r="6461" spans="1:9" x14ac:dyDescent="0.25">
      <c r="A6461" t="s">
        <v>5607</v>
      </c>
      <c r="B6461" t="s">
        <v>13</v>
      </c>
      <c r="C6461">
        <v>23.5</v>
      </c>
      <c r="D6461">
        <v>23.9</v>
      </c>
      <c r="E6461" t="s">
        <v>17</v>
      </c>
      <c r="F6461">
        <v>19.399999999999999</v>
      </c>
      <c r="G6461">
        <v>18.579999999999998</v>
      </c>
      <c r="H6461" t="s">
        <v>17</v>
      </c>
      <c r="I6461" t="str">
        <f>"061884001330"</f>
        <v>061884001330</v>
      </c>
    </row>
    <row r="6462" spans="1:9" x14ac:dyDescent="0.25">
      <c r="A6462" t="s">
        <v>5608</v>
      </c>
      <c r="B6462" t="s">
        <v>13</v>
      </c>
      <c r="C6462">
        <v>11.5</v>
      </c>
      <c r="D6462">
        <v>12.5</v>
      </c>
      <c r="E6462" t="s">
        <v>17</v>
      </c>
      <c r="F6462">
        <v>27.65</v>
      </c>
      <c r="G6462">
        <v>25.2</v>
      </c>
      <c r="H6462" t="s">
        <v>17</v>
      </c>
      <c r="I6462" t="str">
        <f>"063132004853"</f>
        <v>063132004853</v>
      </c>
    </row>
    <row r="6463" spans="1:9" x14ac:dyDescent="0.25">
      <c r="A6463" t="s">
        <v>5609</v>
      </c>
      <c r="B6463" t="s">
        <v>13</v>
      </c>
      <c r="C6463" t="s">
        <v>14</v>
      </c>
      <c r="D6463">
        <v>5.3</v>
      </c>
      <c r="E6463" t="s">
        <v>17</v>
      </c>
      <c r="F6463" t="s">
        <v>17</v>
      </c>
      <c r="G6463">
        <v>16.420000000000002</v>
      </c>
      <c r="H6463" t="s">
        <v>17</v>
      </c>
      <c r="I6463" t="str">
        <f>"062586003886"</f>
        <v>062586003886</v>
      </c>
    </row>
    <row r="6464" spans="1:9" x14ac:dyDescent="0.25">
      <c r="A6464" t="s">
        <v>5610</v>
      </c>
      <c r="B6464" t="s">
        <v>13</v>
      </c>
      <c r="C6464">
        <v>3.5</v>
      </c>
      <c r="D6464">
        <v>3.5</v>
      </c>
      <c r="E6464" t="s">
        <v>17</v>
      </c>
      <c r="F6464">
        <v>27.14</v>
      </c>
      <c r="G6464">
        <v>28</v>
      </c>
      <c r="H6464" t="s">
        <v>17</v>
      </c>
      <c r="I6464" t="str">
        <f>"063273005087"</f>
        <v>063273005087</v>
      </c>
    </row>
    <row r="6465" spans="1:9" x14ac:dyDescent="0.25">
      <c r="A6465" t="s">
        <v>5611</v>
      </c>
      <c r="B6465" t="s">
        <v>13</v>
      </c>
      <c r="C6465">
        <v>43.92</v>
      </c>
      <c r="D6465">
        <v>47.04</v>
      </c>
      <c r="E6465" t="s">
        <v>17</v>
      </c>
      <c r="F6465">
        <v>26.21</v>
      </c>
      <c r="G6465">
        <v>24.26</v>
      </c>
      <c r="H6465" t="s">
        <v>17</v>
      </c>
      <c r="I6465" t="str">
        <f>"063207004944"</f>
        <v>063207004944</v>
      </c>
    </row>
    <row r="6466" spans="1:9" x14ac:dyDescent="0.25">
      <c r="A6466" t="s">
        <v>5612</v>
      </c>
      <c r="B6466" t="s">
        <v>13</v>
      </c>
      <c r="C6466">
        <v>79.930000000000007</v>
      </c>
      <c r="D6466">
        <v>86.26</v>
      </c>
      <c r="E6466" t="s">
        <v>17</v>
      </c>
      <c r="F6466">
        <v>26.75</v>
      </c>
      <c r="G6466">
        <v>25.43</v>
      </c>
      <c r="H6466" t="s">
        <v>17</v>
      </c>
      <c r="I6466" t="str">
        <f>"062569007784"</f>
        <v>062569007784</v>
      </c>
    </row>
    <row r="6467" spans="1:9" x14ac:dyDescent="0.25">
      <c r="A6467" t="s">
        <v>5613</v>
      </c>
      <c r="B6467" t="s">
        <v>13</v>
      </c>
      <c r="C6467">
        <v>32.51</v>
      </c>
      <c r="D6467">
        <v>32.799999999999997</v>
      </c>
      <c r="E6467" t="s">
        <v>17</v>
      </c>
      <c r="F6467">
        <v>21.41</v>
      </c>
      <c r="G6467">
        <v>22.62</v>
      </c>
      <c r="H6467" t="s">
        <v>17</v>
      </c>
      <c r="I6467" t="str">
        <f>"062223002659"</f>
        <v>062223002659</v>
      </c>
    </row>
    <row r="6468" spans="1:9" x14ac:dyDescent="0.25">
      <c r="A6468" t="s">
        <v>5614</v>
      </c>
      <c r="B6468" t="s">
        <v>13</v>
      </c>
      <c r="C6468">
        <v>38.159999999999997</v>
      </c>
      <c r="D6468">
        <v>40.15</v>
      </c>
      <c r="E6468" t="s">
        <v>17</v>
      </c>
      <c r="F6468">
        <v>25.24</v>
      </c>
      <c r="G6468">
        <v>24.31</v>
      </c>
      <c r="H6468" t="s">
        <v>17</v>
      </c>
      <c r="I6468" t="str">
        <f>"062577003855"</f>
        <v>062577003855</v>
      </c>
    </row>
    <row r="6469" spans="1:9" x14ac:dyDescent="0.25">
      <c r="A6469" t="s">
        <v>5615</v>
      </c>
      <c r="B6469" t="s">
        <v>13</v>
      </c>
      <c r="C6469">
        <v>17.5</v>
      </c>
      <c r="D6469">
        <v>18</v>
      </c>
      <c r="E6469" t="s">
        <v>17</v>
      </c>
      <c r="F6469">
        <v>30.51</v>
      </c>
      <c r="G6469">
        <v>30.5</v>
      </c>
      <c r="H6469" t="s">
        <v>17</v>
      </c>
      <c r="I6469" t="str">
        <f>"062403000178"</f>
        <v>062403000178</v>
      </c>
    </row>
    <row r="6470" spans="1:9" x14ac:dyDescent="0.25">
      <c r="A6470" t="s">
        <v>5616</v>
      </c>
      <c r="B6470" t="s">
        <v>13</v>
      </c>
      <c r="C6470">
        <v>25.8</v>
      </c>
      <c r="D6470">
        <v>23.5</v>
      </c>
      <c r="E6470" t="s">
        <v>17</v>
      </c>
      <c r="F6470">
        <v>21.71</v>
      </c>
      <c r="G6470">
        <v>23.11</v>
      </c>
      <c r="H6470" t="s">
        <v>17</v>
      </c>
      <c r="I6470" t="str">
        <f>"062847004409"</f>
        <v>062847004409</v>
      </c>
    </row>
    <row r="6471" spans="1:9" x14ac:dyDescent="0.25">
      <c r="A6471" t="s">
        <v>5616</v>
      </c>
      <c r="B6471" t="s">
        <v>13</v>
      </c>
      <c r="C6471">
        <v>24.01</v>
      </c>
      <c r="D6471">
        <v>25.05</v>
      </c>
      <c r="E6471" t="s">
        <v>17</v>
      </c>
      <c r="F6471">
        <v>25.7</v>
      </c>
      <c r="G6471">
        <v>24.19</v>
      </c>
      <c r="H6471" t="s">
        <v>17</v>
      </c>
      <c r="I6471" t="str">
        <f>"062580003867"</f>
        <v>062580003867</v>
      </c>
    </row>
    <row r="6472" spans="1:9" x14ac:dyDescent="0.25">
      <c r="A6472" t="s">
        <v>5617</v>
      </c>
      <c r="B6472" t="s">
        <v>13</v>
      </c>
      <c r="C6472">
        <v>1</v>
      </c>
      <c r="D6472">
        <v>1</v>
      </c>
      <c r="E6472" t="s">
        <v>17</v>
      </c>
      <c r="F6472">
        <v>12</v>
      </c>
      <c r="G6472">
        <v>11</v>
      </c>
      <c r="H6472" t="s">
        <v>17</v>
      </c>
      <c r="I6472" t="str">
        <f>"060483000470"</f>
        <v>060483000470</v>
      </c>
    </row>
    <row r="6473" spans="1:9" x14ac:dyDescent="0.25">
      <c r="A6473" t="s">
        <v>5618</v>
      </c>
      <c r="B6473" t="s">
        <v>13</v>
      </c>
      <c r="C6473">
        <v>5</v>
      </c>
      <c r="D6473">
        <v>6</v>
      </c>
      <c r="E6473" t="s">
        <v>17</v>
      </c>
      <c r="F6473">
        <v>12.8</v>
      </c>
      <c r="G6473">
        <v>16</v>
      </c>
      <c r="H6473" t="s">
        <v>17</v>
      </c>
      <c r="I6473" t="str">
        <f>"062580003589"</f>
        <v>062580003589</v>
      </c>
    </row>
    <row r="6474" spans="1:9" x14ac:dyDescent="0.25">
      <c r="A6474" t="s">
        <v>5619</v>
      </c>
      <c r="B6474" t="s">
        <v>13</v>
      </c>
      <c r="C6474">
        <v>90.76</v>
      </c>
      <c r="D6474">
        <v>96.35</v>
      </c>
      <c r="E6474" t="s">
        <v>17</v>
      </c>
      <c r="F6474">
        <v>26.47</v>
      </c>
      <c r="G6474">
        <v>25.43</v>
      </c>
      <c r="H6474" t="s">
        <v>17</v>
      </c>
      <c r="I6474" t="str">
        <f>"062580003869"</f>
        <v>062580003869</v>
      </c>
    </row>
    <row r="6475" spans="1:9" x14ac:dyDescent="0.25">
      <c r="A6475" t="s">
        <v>5620</v>
      </c>
      <c r="B6475" t="s">
        <v>13</v>
      </c>
      <c r="C6475">
        <v>4</v>
      </c>
      <c r="D6475">
        <v>4</v>
      </c>
      <c r="E6475" t="s">
        <v>17</v>
      </c>
      <c r="F6475">
        <v>24.75</v>
      </c>
      <c r="G6475">
        <v>25</v>
      </c>
      <c r="H6475" t="s">
        <v>17</v>
      </c>
      <c r="I6475" t="str">
        <f>"060133209783"</f>
        <v>060133209783</v>
      </c>
    </row>
    <row r="6476" spans="1:9" x14ac:dyDescent="0.25">
      <c r="A6476" t="s">
        <v>5621</v>
      </c>
      <c r="B6476" t="s">
        <v>13</v>
      </c>
      <c r="C6476">
        <v>17.54</v>
      </c>
      <c r="D6476">
        <v>16</v>
      </c>
      <c r="E6476" t="s">
        <v>17</v>
      </c>
      <c r="F6476">
        <v>27.88</v>
      </c>
      <c r="G6476">
        <v>29.38</v>
      </c>
      <c r="H6476" t="s">
        <v>17</v>
      </c>
      <c r="I6476" t="str">
        <f>"063237004995"</f>
        <v>063237004995</v>
      </c>
    </row>
    <row r="6477" spans="1:9" x14ac:dyDescent="0.25">
      <c r="A6477" t="s">
        <v>5622</v>
      </c>
      <c r="B6477" t="s">
        <v>13</v>
      </c>
      <c r="C6477">
        <v>1</v>
      </c>
      <c r="D6477">
        <v>1</v>
      </c>
      <c r="E6477" t="s">
        <v>17</v>
      </c>
      <c r="F6477">
        <v>14</v>
      </c>
      <c r="G6477">
        <v>9</v>
      </c>
      <c r="H6477" t="s">
        <v>17</v>
      </c>
      <c r="I6477" t="str">
        <f>"069102711056"</f>
        <v>069102711056</v>
      </c>
    </row>
    <row r="6478" spans="1:9" x14ac:dyDescent="0.25">
      <c r="A6478" t="s">
        <v>5623</v>
      </c>
      <c r="B6478" t="s">
        <v>13</v>
      </c>
      <c r="C6478">
        <v>28</v>
      </c>
      <c r="D6478">
        <v>26</v>
      </c>
      <c r="E6478" t="s">
        <v>17</v>
      </c>
      <c r="F6478">
        <v>30.5</v>
      </c>
      <c r="G6478">
        <v>30.96</v>
      </c>
      <c r="H6478" t="s">
        <v>17</v>
      </c>
      <c r="I6478" t="str">
        <f>"060171010603"</f>
        <v>060171010603</v>
      </c>
    </row>
    <row r="6479" spans="1:9" x14ac:dyDescent="0.25">
      <c r="A6479" t="s">
        <v>5624</v>
      </c>
      <c r="B6479" t="s">
        <v>13</v>
      </c>
      <c r="C6479">
        <v>29.6</v>
      </c>
      <c r="D6479">
        <v>26</v>
      </c>
      <c r="E6479" t="s">
        <v>17</v>
      </c>
      <c r="F6479">
        <v>25.37</v>
      </c>
      <c r="G6479">
        <v>28.04</v>
      </c>
      <c r="H6479" t="s">
        <v>17</v>
      </c>
      <c r="I6479" t="str">
        <f>"063153010006"</f>
        <v>063153010006</v>
      </c>
    </row>
    <row r="6480" spans="1:9" x14ac:dyDescent="0.25">
      <c r="A6480" t="s">
        <v>5625</v>
      </c>
      <c r="B6480" t="s">
        <v>13</v>
      </c>
      <c r="C6480">
        <v>32.5</v>
      </c>
      <c r="D6480">
        <v>30.5</v>
      </c>
      <c r="E6480" t="s">
        <v>17</v>
      </c>
      <c r="F6480">
        <v>20.98</v>
      </c>
      <c r="G6480">
        <v>23.38</v>
      </c>
      <c r="H6480" t="s">
        <v>17</v>
      </c>
      <c r="I6480" t="str">
        <f>"061089008493"</f>
        <v>061089008493</v>
      </c>
    </row>
    <row r="6481" spans="1:9" x14ac:dyDescent="0.25">
      <c r="A6481" t="s">
        <v>5626</v>
      </c>
      <c r="B6481" t="s">
        <v>13</v>
      </c>
      <c r="C6481">
        <v>20.5</v>
      </c>
      <c r="D6481">
        <v>20.5</v>
      </c>
      <c r="E6481" t="s">
        <v>17</v>
      </c>
      <c r="F6481">
        <v>25.02</v>
      </c>
      <c r="G6481">
        <v>24.78</v>
      </c>
      <c r="H6481" t="s">
        <v>17</v>
      </c>
      <c r="I6481" t="str">
        <f>"061488001864"</f>
        <v>061488001864</v>
      </c>
    </row>
    <row r="6482" spans="1:9" x14ac:dyDescent="0.25">
      <c r="A6482" t="s">
        <v>5626</v>
      </c>
      <c r="B6482" t="s">
        <v>13</v>
      </c>
      <c r="C6482">
        <v>29</v>
      </c>
      <c r="D6482">
        <v>31</v>
      </c>
      <c r="E6482" t="s">
        <v>17</v>
      </c>
      <c r="F6482">
        <v>24.52</v>
      </c>
      <c r="G6482">
        <v>23.06</v>
      </c>
      <c r="H6482" t="s">
        <v>17</v>
      </c>
      <c r="I6482" t="str">
        <f>"062271003198"</f>
        <v>062271003198</v>
      </c>
    </row>
    <row r="6483" spans="1:9" x14ac:dyDescent="0.25">
      <c r="A6483" t="s">
        <v>5627</v>
      </c>
      <c r="B6483" t="s">
        <v>13</v>
      </c>
      <c r="C6483">
        <v>42.01</v>
      </c>
      <c r="D6483">
        <v>40.869999999999997</v>
      </c>
      <c r="E6483" t="s">
        <v>17</v>
      </c>
      <c r="F6483">
        <v>26.37</v>
      </c>
      <c r="G6483">
        <v>27.18</v>
      </c>
      <c r="H6483" t="s">
        <v>17</v>
      </c>
      <c r="I6483" t="str">
        <f>"061839002260"</f>
        <v>061839002260</v>
      </c>
    </row>
    <row r="6484" spans="1:9" x14ac:dyDescent="0.25">
      <c r="A6484" t="s">
        <v>5628</v>
      </c>
      <c r="B6484" t="s">
        <v>13</v>
      </c>
      <c r="C6484">
        <v>9.5</v>
      </c>
      <c r="D6484">
        <v>10.08</v>
      </c>
      <c r="E6484" t="s">
        <v>17</v>
      </c>
      <c r="F6484">
        <v>21.37</v>
      </c>
      <c r="G6484">
        <v>23.31</v>
      </c>
      <c r="H6484" t="s">
        <v>17</v>
      </c>
      <c r="I6484" t="str">
        <f>"062586003887"</f>
        <v>062586003887</v>
      </c>
    </row>
    <row r="6485" spans="1:9" x14ac:dyDescent="0.25">
      <c r="A6485" t="s">
        <v>5629</v>
      </c>
      <c r="B6485" t="s">
        <v>13</v>
      </c>
      <c r="C6485">
        <v>17</v>
      </c>
      <c r="D6485">
        <v>18</v>
      </c>
      <c r="E6485" t="s">
        <v>17</v>
      </c>
      <c r="F6485">
        <v>26.35</v>
      </c>
      <c r="G6485">
        <v>24.94</v>
      </c>
      <c r="H6485" t="s">
        <v>17</v>
      </c>
      <c r="I6485" t="str">
        <f>"063045009993"</f>
        <v>063045009993</v>
      </c>
    </row>
    <row r="6486" spans="1:9" x14ac:dyDescent="0.25">
      <c r="A6486" t="s">
        <v>5630</v>
      </c>
      <c r="B6486" t="s">
        <v>13</v>
      </c>
      <c r="C6486">
        <v>36</v>
      </c>
      <c r="D6486">
        <v>38</v>
      </c>
      <c r="E6486" t="s">
        <v>17</v>
      </c>
      <c r="F6486">
        <v>22.69</v>
      </c>
      <c r="G6486">
        <v>22.89</v>
      </c>
      <c r="H6486" t="s">
        <v>17</v>
      </c>
      <c r="I6486" t="str">
        <f>"060480000461"</f>
        <v>060480000461</v>
      </c>
    </row>
    <row r="6487" spans="1:9" x14ac:dyDescent="0.25">
      <c r="A6487" t="s">
        <v>5631</v>
      </c>
      <c r="B6487" t="s">
        <v>13</v>
      </c>
      <c r="C6487">
        <v>16</v>
      </c>
      <c r="D6487">
        <v>14</v>
      </c>
      <c r="E6487" t="s">
        <v>17</v>
      </c>
      <c r="F6487">
        <v>23.19</v>
      </c>
      <c r="G6487">
        <v>23.79</v>
      </c>
      <c r="H6487" t="s">
        <v>17</v>
      </c>
      <c r="I6487" t="str">
        <f>"061455012619"</f>
        <v>061455012619</v>
      </c>
    </row>
    <row r="6488" spans="1:9" x14ac:dyDescent="0.25">
      <c r="A6488" t="s">
        <v>5632</v>
      </c>
      <c r="B6488" t="s">
        <v>13</v>
      </c>
      <c r="C6488">
        <v>14</v>
      </c>
      <c r="D6488">
        <v>13.5</v>
      </c>
      <c r="E6488" t="s">
        <v>17</v>
      </c>
      <c r="F6488">
        <v>23</v>
      </c>
      <c r="G6488">
        <v>22.96</v>
      </c>
      <c r="H6488" t="s">
        <v>17</v>
      </c>
      <c r="I6488" t="str">
        <f>"062430003652"</f>
        <v>062430003652</v>
      </c>
    </row>
    <row r="6489" spans="1:9" x14ac:dyDescent="0.25">
      <c r="A6489" t="s">
        <v>5633</v>
      </c>
      <c r="B6489" t="s">
        <v>13</v>
      </c>
      <c r="C6489">
        <v>20</v>
      </c>
      <c r="D6489">
        <v>20</v>
      </c>
      <c r="E6489" t="s">
        <v>17</v>
      </c>
      <c r="F6489">
        <v>21.3</v>
      </c>
      <c r="G6489">
        <v>21.35</v>
      </c>
      <c r="H6489" t="s">
        <v>17</v>
      </c>
      <c r="I6489" t="str">
        <f>"062271003306"</f>
        <v>062271003306</v>
      </c>
    </row>
    <row r="6490" spans="1:9" x14ac:dyDescent="0.25">
      <c r="A6490" t="s">
        <v>5634</v>
      </c>
      <c r="B6490" t="s">
        <v>13</v>
      </c>
      <c r="C6490">
        <v>41.6</v>
      </c>
      <c r="D6490">
        <v>40.6</v>
      </c>
      <c r="E6490" t="s">
        <v>17</v>
      </c>
      <c r="F6490">
        <v>20.48</v>
      </c>
      <c r="G6490">
        <v>20.81</v>
      </c>
      <c r="H6490" t="s">
        <v>17</v>
      </c>
      <c r="I6490" t="str">
        <f>"063480005875"</f>
        <v>063480005875</v>
      </c>
    </row>
    <row r="6491" spans="1:9" x14ac:dyDescent="0.25">
      <c r="A6491" t="s">
        <v>5635</v>
      </c>
      <c r="B6491" t="s">
        <v>13</v>
      </c>
      <c r="C6491">
        <v>16.25</v>
      </c>
      <c r="D6491">
        <v>17</v>
      </c>
      <c r="E6491" t="s">
        <v>17</v>
      </c>
      <c r="F6491">
        <v>30.28</v>
      </c>
      <c r="G6491">
        <v>29.94</v>
      </c>
      <c r="H6491" t="s">
        <v>17</v>
      </c>
      <c r="I6491" t="str">
        <f>"063066004766"</f>
        <v>063066004766</v>
      </c>
    </row>
    <row r="6492" spans="1:9" x14ac:dyDescent="0.25">
      <c r="A6492" t="s">
        <v>5636</v>
      </c>
      <c r="B6492" t="s">
        <v>13</v>
      </c>
      <c r="C6492">
        <v>90.22</v>
      </c>
      <c r="D6492">
        <v>93.36</v>
      </c>
      <c r="E6492" t="s">
        <v>17</v>
      </c>
      <c r="F6492">
        <v>21.71</v>
      </c>
      <c r="G6492">
        <v>21.95</v>
      </c>
      <c r="H6492" t="s">
        <v>17</v>
      </c>
      <c r="I6492" t="str">
        <f>"063432005526"</f>
        <v>063432005526</v>
      </c>
    </row>
    <row r="6493" spans="1:9" x14ac:dyDescent="0.25">
      <c r="A6493" t="s">
        <v>5637</v>
      </c>
      <c r="B6493" t="s">
        <v>13</v>
      </c>
      <c r="C6493">
        <v>9.98</v>
      </c>
      <c r="D6493">
        <v>18.45</v>
      </c>
      <c r="E6493" t="s">
        <v>17</v>
      </c>
      <c r="F6493">
        <v>15.73</v>
      </c>
      <c r="G6493">
        <v>22.76</v>
      </c>
      <c r="H6493" t="s">
        <v>17</v>
      </c>
      <c r="I6493" t="str">
        <f>"062778012445"</f>
        <v>062778012445</v>
      </c>
    </row>
    <row r="6494" spans="1:9" x14ac:dyDescent="0.25">
      <c r="A6494" t="s">
        <v>5638</v>
      </c>
      <c r="B6494" t="s">
        <v>13</v>
      </c>
      <c r="C6494">
        <v>15.5</v>
      </c>
      <c r="D6494">
        <v>16.600000000000001</v>
      </c>
      <c r="E6494" t="s">
        <v>17</v>
      </c>
      <c r="F6494">
        <v>22.65</v>
      </c>
      <c r="G6494">
        <v>20.18</v>
      </c>
      <c r="H6494" t="s">
        <v>17</v>
      </c>
      <c r="I6494" t="str">
        <f>"063441005615"</f>
        <v>063441005615</v>
      </c>
    </row>
    <row r="6495" spans="1:9" x14ac:dyDescent="0.25">
      <c r="A6495" t="s">
        <v>5639</v>
      </c>
      <c r="B6495" t="s">
        <v>13</v>
      </c>
      <c r="C6495">
        <v>32.200000000000003</v>
      </c>
      <c r="D6495">
        <v>32.799999999999997</v>
      </c>
      <c r="E6495" t="s">
        <v>17</v>
      </c>
      <c r="F6495">
        <v>29.5</v>
      </c>
      <c r="G6495">
        <v>27.99</v>
      </c>
      <c r="H6495" t="s">
        <v>17</v>
      </c>
      <c r="I6495" t="str">
        <f>"062361011959"</f>
        <v>062361011959</v>
      </c>
    </row>
    <row r="6496" spans="1:9" x14ac:dyDescent="0.25">
      <c r="A6496" t="s">
        <v>5640</v>
      </c>
      <c r="B6496" t="s">
        <v>13</v>
      </c>
      <c r="C6496">
        <v>22.02</v>
      </c>
      <c r="D6496">
        <v>25.85</v>
      </c>
      <c r="E6496" t="s">
        <v>17</v>
      </c>
      <c r="F6496">
        <v>29.65</v>
      </c>
      <c r="G6496">
        <v>26.19</v>
      </c>
      <c r="H6496" t="s">
        <v>17</v>
      </c>
      <c r="I6496" t="str">
        <f>"060744000695"</f>
        <v>060744000695</v>
      </c>
    </row>
    <row r="6497" spans="1:9" x14ac:dyDescent="0.25">
      <c r="A6497" t="s">
        <v>5641</v>
      </c>
      <c r="B6497" t="s">
        <v>13</v>
      </c>
      <c r="C6497">
        <v>22.1</v>
      </c>
      <c r="D6497">
        <v>22.2</v>
      </c>
      <c r="E6497" t="s">
        <v>17</v>
      </c>
      <c r="F6497">
        <v>25.75</v>
      </c>
      <c r="G6497">
        <v>26.08</v>
      </c>
      <c r="H6497" t="s">
        <v>17</v>
      </c>
      <c r="I6497" t="str">
        <f>"064098009456"</f>
        <v>064098009456</v>
      </c>
    </row>
    <row r="6498" spans="1:9" x14ac:dyDescent="0.25">
      <c r="A6498" t="s">
        <v>5642</v>
      </c>
      <c r="B6498" t="s">
        <v>13</v>
      </c>
      <c r="C6498">
        <v>62.68</v>
      </c>
      <c r="D6498">
        <v>71.48</v>
      </c>
      <c r="E6498" t="s">
        <v>17</v>
      </c>
      <c r="F6498">
        <v>23.85</v>
      </c>
      <c r="G6498">
        <v>21.77</v>
      </c>
      <c r="H6498" t="s">
        <v>17</v>
      </c>
      <c r="I6498" t="str">
        <f>"061623002025"</f>
        <v>061623002025</v>
      </c>
    </row>
    <row r="6499" spans="1:9" x14ac:dyDescent="0.25">
      <c r="A6499" t="s">
        <v>5643</v>
      </c>
      <c r="B6499" t="s">
        <v>13</v>
      </c>
      <c r="C6499">
        <v>70.61</v>
      </c>
      <c r="D6499">
        <v>73.040000000000006</v>
      </c>
      <c r="E6499" t="s">
        <v>17</v>
      </c>
      <c r="F6499">
        <v>22.04</v>
      </c>
      <c r="G6499">
        <v>21.92</v>
      </c>
      <c r="H6499" t="s">
        <v>17</v>
      </c>
      <c r="I6499" t="str">
        <f>"061182001304"</f>
        <v>061182001304</v>
      </c>
    </row>
    <row r="6500" spans="1:9" x14ac:dyDescent="0.25">
      <c r="A6500" t="s">
        <v>5644</v>
      </c>
      <c r="B6500" t="s">
        <v>13</v>
      </c>
      <c r="C6500">
        <v>17.739999999999998</v>
      </c>
      <c r="D6500">
        <v>17.25</v>
      </c>
      <c r="E6500" t="s">
        <v>17</v>
      </c>
      <c r="F6500">
        <v>11.1</v>
      </c>
      <c r="G6500">
        <v>21.1</v>
      </c>
      <c r="H6500" t="s">
        <v>17</v>
      </c>
      <c r="I6500" t="str">
        <f>"063398005334"</f>
        <v>063398005334</v>
      </c>
    </row>
    <row r="6501" spans="1:9" x14ac:dyDescent="0.25">
      <c r="A6501" t="s">
        <v>5645</v>
      </c>
      <c r="B6501" t="s">
        <v>13</v>
      </c>
      <c r="C6501">
        <v>18.5</v>
      </c>
      <c r="D6501">
        <v>20</v>
      </c>
      <c r="E6501" t="s">
        <v>17</v>
      </c>
      <c r="F6501">
        <v>28.65</v>
      </c>
      <c r="G6501">
        <v>25.6</v>
      </c>
      <c r="H6501" t="s">
        <v>17</v>
      </c>
      <c r="I6501" t="str">
        <f>"061524001941"</f>
        <v>061524001941</v>
      </c>
    </row>
    <row r="6502" spans="1:9" x14ac:dyDescent="0.25">
      <c r="A6502" t="s">
        <v>5646</v>
      </c>
      <c r="B6502" t="s">
        <v>13</v>
      </c>
      <c r="C6502">
        <v>6.83</v>
      </c>
      <c r="D6502">
        <v>6.76</v>
      </c>
      <c r="E6502" t="s">
        <v>17</v>
      </c>
      <c r="F6502">
        <v>23.72</v>
      </c>
      <c r="G6502">
        <v>20.86</v>
      </c>
      <c r="H6502" t="s">
        <v>17</v>
      </c>
      <c r="I6502" t="str">
        <f>"063048002973"</f>
        <v>063048002973</v>
      </c>
    </row>
    <row r="6503" spans="1:9" x14ac:dyDescent="0.25">
      <c r="A6503" t="s">
        <v>5647</v>
      </c>
      <c r="B6503" t="s">
        <v>13</v>
      </c>
      <c r="C6503">
        <v>7.82</v>
      </c>
      <c r="D6503">
        <v>8.02</v>
      </c>
      <c r="E6503" t="s">
        <v>17</v>
      </c>
      <c r="F6503">
        <v>16.88</v>
      </c>
      <c r="G6503">
        <v>15.34</v>
      </c>
      <c r="H6503" t="s">
        <v>17</v>
      </c>
      <c r="I6503" t="str">
        <f>"062607009166"</f>
        <v>062607009166</v>
      </c>
    </row>
    <row r="6504" spans="1:9" x14ac:dyDescent="0.25">
      <c r="A6504" t="s">
        <v>5647</v>
      </c>
      <c r="B6504" t="s">
        <v>13</v>
      </c>
      <c r="C6504">
        <v>2</v>
      </c>
      <c r="D6504">
        <v>2</v>
      </c>
      <c r="E6504" t="s">
        <v>17</v>
      </c>
      <c r="F6504">
        <v>12.5</v>
      </c>
      <c r="G6504">
        <v>10.5</v>
      </c>
      <c r="H6504" t="s">
        <v>17</v>
      </c>
      <c r="I6504" t="str">
        <f>"061077001196"</f>
        <v>061077001196</v>
      </c>
    </row>
    <row r="6505" spans="1:9" x14ac:dyDescent="0.25">
      <c r="A6505" t="s">
        <v>5648</v>
      </c>
      <c r="B6505" t="s">
        <v>13</v>
      </c>
      <c r="C6505">
        <v>26</v>
      </c>
      <c r="D6505">
        <v>25.4</v>
      </c>
      <c r="E6505" t="s">
        <v>17</v>
      </c>
      <c r="F6505">
        <v>16</v>
      </c>
      <c r="G6505">
        <v>17.09</v>
      </c>
      <c r="H6505" t="s">
        <v>17</v>
      </c>
      <c r="I6505" t="str">
        <f>"062610003906"</f>
        <v>062610003906</v>
      </c>
    </row>
    <row r="6506" spans="1:9" x14ac:dyDescent="0.25">
      <c r="A6506" t="s">
        <v>5649</v>
      </c>
      <c r="B6506" t="s">
        <v>13</v>
      </c>
      <c r="C6506" t="s">
        <v>17</v>
      </c>
      <c r="D6506" t="s">
        <v>14</v>
      </c>
      <c r="E6506" t="s">
        <v>14</v>
      </c>
      <c r="F6506" t="s">
        <v>17</v>
      </c>
      <c r="G6506" t="s">
        <v>14</v>
      </c>
      <c r="H6506" t="s">
        <v>14</v>
      </c>
      <c r="I6506" t="str">
        <f>"062610013510"</f>
        <v>062610013510</v>
      </c>
    </row>
    <row r="6507" spans="1:9" x14ac:dyDescent="0.25">
      <c r="A6507" t="s">
        <v>5650</v>
      </c>
      <c r="B6507" t="s">
        <v>13</v>
      </c>
      <c r="C6507">
        <v>5.24</v>
      </c>
      <c r="D6507">
        <v>8.01</v>
      </c>
      <c r="E6507" t="s">
        <v>17</v>
      </c>
      <c r="F6507">
        <v>44.27</v>
      </c>
      <c r="G6507">
        <v>45.69</v>
      </c>
      <c r="H6507" t="s">
        <v>17</v>
      </c>
      <c r="I6507" t="str">
        <f>"063444011034"</f>
        <v>063444011034</v>
      </c>
    </row>
    <row r="6508" spans="1:9" x14ac:dyDescent="0.25">
      <c r="A6508" t="s">
        <v>5651</v>
      </c>
      <c r="B6508" t="s">
        <v>13</v>
      </c>
      <c r="C6508">
        <v>2</v>
      </c>
      <c r="D6508" t="str">
        <f>"0.97"</f>
        <v>0.97</v>
      </c>
      <c r="E6508" t="s">
        <v>17</v>
      </c>
      <c r="F6508">
        <v>2</v>
      </c>
      <c r="G6508">
        <v>1.03</v>
      </c>
      <c r="H6508" t="s">
        <v>17</v>
      </c>
      <c r="I6508" t="str">
        <f>"063828010706"</f>
        <v>063828010706</v>
      </c>
    </row>
    <row r="6509" spans="1:9" x14ac:dyDescent="0.25">
      <c r="A6509" t="s">
        <v>5651</v>
      </c>
      <c r="B6509" t="s">
        <v>13</v>
      </c>
      <c r="C6509">
        <v>8.9</v>
      </c>
      <c r="D6509">
        <v>7.8</v>
      </c>
      <c r="E6509" t="s">
        <v>17</v>
      </c>
      <c r="F6509">
        <v>16.07</v>
      </c>
      <c r="G6509">
        <v>18.46</v>
      </c>
      <c r="H6509" t="s">
        <v>17</v>
      </c>
      <c r="I6509" t="str">
        <f>"063261005073"</f>
        <v>063261005073</v>
      </c>
    </row>
    <row r="6510" spans="1:9" x14ac:dyDescent="0.25">
      <c r="A6510" t="s">
        <v>5652</v>
      </c>
      <c r="B6510" t="s">
        <v>13</v>
      </c>
      <c r="C6510">
        <v>10</v>
      </c>
      <c r="D6510">
        <v>9.1999999999999993</v>
      </c>
      <c r="E6510" t="s">
        <v>17</v>
      </c>
      <c r="F6510">
        <v>24.7</v>
      </c>
      <c r="G6510">
        <v>24.78</v>
      </c>
      <c r="H6510" t="s">
        <v>17</v>
      </c>
      <c r="I6510" t="str">
        <f>"060016010251"</f>
        <v>060016010251</v>
      </c>
    </row>
    <row r="6511" spans="1:9" x14ac:dyDescent="0.25">
      <c r="A6511" t="s">
        <v>5653</v>
      </c>
      <c r="B6511" t="s">
        <v>13</v>
      </c>
      <c r="C6511">
        <v>2</v>
      </c>
      <c r="D6511">
        <v>2</v>
      </c>
      <c r="E6511" t="s">
        <v>17</v>
      </c>
      <c r="F6511">
        <v>15.5</v>
      </c>
      <c r="G6511">
        <v>21.5</v>
      </c>
      <c r="H6511" t="s">
        <v>17</v>
      </c>
      <c r="I6511" t="str">
        <f>"062613003910"</f>
        <v>062613003910</v>
      </c>
    </row>
    <row r="6512" spans="1:9" x14ac:dyDescent="0.25">
      <c r="A6512" t="s">
        <v>5654</v>
      </c>
      <c r="B6512" t="s">
        <v>13</v>
      </c>
      <c r="C6512">
        <v>7.8</v>
      </c>
      <c r="D6512">
        <v>7.8</v>
      </c>
      <c r="E6512" t="s">
        <v>17</v>
      </c>
      <c r="F6512">
        <v>11.92</v>
      </c>
      <c r="G6512">
        <v>13.33</v>
      </c>
      <c r="H6512" t="s">
        <v>17</v>
      </c>
      <c r="I6512" t="str">
        <f>"061495001631"</f>
        <v>061495001631</v>
      </c>
    </row>
    <row r="6513" spans="1:9" x14ac:dyDescent="0.25">
      <c r="A6513" t="s">
        <v>5655</v>
      </c>
      <c r="B6513" t="s">
        <v>13</v>
      </c>
      <c r="C6513" t="s">
        <v>14</v>
      </c>
      <c r="D6513" t="s">
        <v>14</v>
      </c>
      <c r="E6513" t="s">
        <v>17</v>
      </c>
      <c r="F6513" t="s">
        <v>14</v>
      </c>
      <c r="G6513" t="s">
        <v>14</v>
      </c>
      <c r="H6513" t="s">
        <v>17</v>
      </c>
      <c r="I6513" t="str">
        <f>"062610005260"</f>
        <v>062610005260</v>
      </c>
    </row>
    <row r="6514" spans="1:9" x14ac:dyDescent="0.25">
      <c r="A6514" t="s">
        <v>5656</v>
      </c>
      <c r="B6514" t="s">
        <v>13</v>
      </c>
      <c r="C6514">
        <v>21.9</v>
      </c>
      <c r="D6514">
        <v>21.1</v>
      </c>
      <c r="E6514" t="s">
        <v>17</v>
      </c>
      <c r="F6514">
        <v>23.93</v>
      </c>
      <c r="G6514">
        <v>24.45</v>
      </c>
      <c r="H6514" t="s">
        <v>17</v>
      </c>
      <c r="I6514" t="str">
        <f>"062569009158"</f>
        <v>062569009158</v>
      </c>
    </row>
    <row r="6515" spans="1:9" x14ac:dyDescent="0.25">
      <c r="A6515" t="s">
        <v>5657</v>
      </c>
      <c r="B6515" t="s">
        <v>13</v>
      </c>
      <c r="C6515">
        <v>17.52</v>
      </c>
      <c r="D6515">
        <v>16.28</v>
      </c>
      <c r="E6515" t="s">
        <v>17</v>
      </c>
      <c r="F6515">
        <v>25</v>
      </c>
      <c r="G6515">
        <v>24.94</v>
      </c>
      <c r="H6515" t="s">
        <v>17</v>
      </c>
      <c r="I6515" t="str">
        <f>"069100308686"</f>
        <v>069100308686</v>
      </c>
    </row>
    <row r="6516" spans="1:9" x14ac:dyDescent="0.25">
      <c r="A6516" t="s">
        <v>5658</v>
      </c>
      <c r="B6516" t="s">
        <v>13</v>
      </c>
      <c r="C6516">
        <v>3</v>
      </c>
      <c r="D6516">
        <v>3</v>
      </c>
      <c r="E6516" t="s">
        <v>17</v>
      </c>
      <c r="F6516">
        <v>4</v>
      </c>
      <c r="G6516">
        <v>3</v>
      </c>
      <c r="H6516" t="s">
        <v>17</v>
      </c>
      <c r="I6516" t="str">
        <f>"060011610544"</f>
        <v>060011610544</v>
      </c>
    </row>
    <row r="6517" spans="1:9" x14ac:dyDescent="0.25">
      <c r="A6517" t="s">
        <v>5659</v>
      </c>
      <c r="B6517" t="s">
        <v>13</v>
      </c>
      <c r="C6517">
        <v>4.42</v>
      </c>
      <c r="D6517">
        <v>4.3</v>
      </c>
      <c r="E6517" t="s">
        <v>17</v>
      </c>
      <c r="F6517">
        <v>16.059999999999999</v>
      </c>
      <c r="G6517">
        <v>15.12</v>
      </c>
      <c r="H6517" t="s">
        <v>17</v>
      </c>
      <c r="I6517" t="str">
        <f>"062532008725"</f>
        <v>062532008725</v>
      </c>
    </row>
    <row r="6518" spans="1:9" x14ac:dyDescent="0.25">
      <c r="A6518" t="s">
        <v>5660</v>
      </c>
      <c r="B6518" t="s">
        <v>13</v>
      </c>
      <c r="C6518">
        <v>24.97</v>
      </c>
      <c r="D6518">
        <v>26.61</v>
      </c>
      <c r="E6518" t="s">
        <v>17</v>
      </c>
      <c r="F6518">
        <v>20.34</v>
      </c>
      <c r="G6518">
        <v>18.68</v>
      </c>
      <c r="H6518" t="s">
        <v>17</v>
      </c>
      <c r="I6518" t="str">
        <f>"062610012553"</f>
        <v>062610012553</v>
      </c>
    </row>
    <row r="6519" spans="1:9" x14ac:dyDescent="0.25">
      <c r="A6519" t="s">
        <v>5661</v>
      </c>
      <c r="B6519" t="s">
        <v>13</v>
      </c>
      <c r="C6519">
        <v>17</v>
      </c>
      <c r="D6519">
        <v>20</v>
      </c>
      <c r="E6519" t="s">
        <v>17</v>
      </c>
      <c r="F6519">
        <v>15.76</v>
      </c>
      <c r="G6519">
        <v>13.65</v>
      </c>
      <c r="H6519" t="s">
        <v>17</v>
      </c>
      <c r="I6519" t="str">
        <f>"069103012115"</f>
        <v>069103012115</v>
      </c>
    </row>
    <row r="6520" spans="1:9" x14ac:dyDescent="0.25">
      <c r="A6520" t="s">
        <v>5662</v>
      </c>
      <c r="B6520" t="s">
        <v>13</v>
      </c>
      <c r="C6520">
        <v>14.5</v>
      </c>
      <c r="D6520">
        <v>22.5</v>
      </c>
      <c r="E6520" t="s">
        <v>17</v>
      </c>
      <c r="F6520">
        <v>26</v>
      </c>
      <c r="G6520">
        <v>24.8</v>
      </c>
      <c r="H6520" t="s">
        <v>17</v>
      </c>
      <c r="I6520" t="str">
        <f>"062778009962"</f>
        <v>062778009962</v>
      </c>
    </row>
    <row r="6521" spans="1:9" x14ac:dyDescent="0.25">
      <c r="A6521" t="s">
        <v>5663</v>
      </c>
      <c r="B6521" t="s">
        <v>13</v>
      </c>
      <c r="C6521">
        <v>1.2</v>
      </c>
      <c r="D6521">
        <v>1</v>
      </c>
      <c r="E6521" t="s">
        <v>17</v>
      </c>
      <c r="F6521">
        <v>1.67</v>
      </c>
      <c r="G6521">
        <v>1</v>
      </c>
      <c r="H6521" t="s">
        <v>17</v>
      </c>
      <c r="I6521" t="str">
        <f>"060001808418"</f>
        <v>060001808418</v>
      </c>
    </row>
    <row r="6522" spans="1:9" x14ac:dyDescent="0.25">
      <c r="A6522" t="s">
        <v>5664</v>
      </c>
      <c r="B6522" t="s">
        <v>13</v>
      </c>
      <c r="C6522">
        <v>27.56</v>
      </c>
      <c r="D6522">
        <v>32.75</v>
      </c>
      <c r="E6522" t="s">
        <v>17</v>
      </c>
      <c r="F6522">
        <v>10.78</v>
      </c>
      <c r="G6522">
        <v>11.48</v>
      </c>
      <c r="H6522" t="s">
        <v>17</v>
      </c>
      <c r="I6522" t="str">
        <f>"061970009385"</f>
        <v>061970009385</v>
      </c>
    </row>
    <row r="6523" spans="1:9" x14ac:dyDescent="0.25">
      <c r="A6523" t="s">
        <v>5665</v>
      </c>
      <c r="B6523" t="s">
        <v>13</v>
      </c>
      <c r="C6523">
        <v>26</v>
      </c>
      <c r="D6523">
        <v>28</v>
      </c>
      <c r="E6523" t="s">
        <v>17</v>
      </c>
      <c r="F6523">
        <v>28.5</v>
      </c>
      <c r="G6523">
        <v>25.93</v>
      </c>
      <c r="H6523" t="s">
        <v>17</v>
      </c>
      <c r="I6523" t="str">
        <f>"060903008125"</f>
        <v>060903008125</v>
      </c>
    </row>
    <row r="6524" spans="1:9" x14ac:dyDescent="0.25">
      <c r="A6524" t="s">
        <v>5665</v>
      </c>
      <c r="B6524" t="s">
        <v>13</v>
      </c>
      <c r="C6524">
        <v>19</v>
      </c>
      <c r="D6524">
        <v>19</v>
      </c>
      <c r="E6524" t="s">
        <v>17</v>
      </c>
      <c r="F6524">
        <v>23.37</v>
      </c>
      <c r="G6524">
        <v>23.79</v>
      </c>
      <c r="H6524" t="s">
        <v>17</v>
      </c>
      <c r="I6524" t="str">
        <f>"060360000279"</f>
        <v>060360000279</v>
      </c>
    </row>
    <row r="6525" spans="1:9" x14ac:dyDescent="0.25">
      <c r="A6525" t="s">
        <v>5665</v>
      </c>
      <c r="B6525" t="s">
        <v>13</v>
      </c>
      <c r="C6525">
        <v>19.54</v>
      </c>
      <c r="D6525">
        <v>20.350000000000001</v>
      </c>
      <c r="E6525" t="s">
        <v>17</v>
      </c>
      <c r="F6525">
        <v>24.41</v>
      </c>
      <c r="G6525">
        <v>23.05</v>
      </c>
      <c r="H6525" t="s">
        <v>17</v>
      </c>
      <c r="I6525" t="str">
        <f>"060876000891"</f>
        <v>060876000891</v>
      </c>
    </row>
    <row r="6526" spans="1:9" x14ac:dyDescent="0.25">
      <c r="A6526" t="s">
        <v>5665</v>
      </c>
      <c r="B6526" t="s">
        <v>13</v>
      </c>
      <c r="C6526">
        <v>16</v>
      </c>
      <c r="D6526">
        <v>17</v>
      </c>
      <c r="E6526" t="s">
        <v>17</v>
      </c>
      <c r="F6526">
        <v>24</v>
      </c>
      <c r="G6526">
        <v>25</v>
      </c>
      <c r="H6526" t="s">
        <v>17</v>
      </c>
      <c r="I6526" t="str">
        <f>"062271003199"</f>
        <v>062271003199</v>
      </c>
    </row>
    <row r="6527" spans="1:9" x14ac:dyDescent="0.25">
      <c r="A6527" t="s">
        <v>5665</v>
      </c>
      <c r="B6527" t="s">
        <v>13</v>
      </c>
      <c r="C6527">
        <v>12</v>
      </c>
      <c r="D6527">
        <v>13</v>
      </c>
      <c r="E6527" t="s">
        <v>17</v>
      </c>
      <c r="F6527">
        <v>17.25</v>
      </c>
      <c r="G6527">
        <v>17.23</v>
      </c>
      <c r="H6527" t="s">
        <v>17</v>
      </c>
      <c r="I6527" t="str">
        <f>"063684006262"</f>
        <v>063684006262</v>
      </c>
    </row>
    <row r="6528" spans="1:9" x14ac:dyDescent="0.25">
      <c r="A6528" t="s">
        <v>5665</v>
      </c>
      <c r="B6528" t="s">
        <v>13</v>
      </c>
      <c r="C6528">
        <v>27.2</v>
      </c>
      <c r="D6528">
        <v>27.19</v>
      </c>
      <c r="E6528" t="s">
        <v>17</v>
      </c>
      <c r="F6528">
        <v>27.28</v>
      </c>
      <c r="G6528">
        <v>27.36</v>
      </c>
      <c r="H6528" t="s">
        <v>17</v>
      </c>
      <c r="I6528" t="str">
        <f>"063315005153"</f>
        <v>063315005153</v>
      </c>
    </row>
    <row r="6529" spans="1:9" x14ac:dyDescent="0.25">
      <c r="A6529" t="s">
        <v>5665</v>
      </c>
      <c r="B6529" t="s">
        <v>13</v>
      </c>
      <c r="C6529">
        <v>18</v>
      </c>
      <c r="D6529">
        <v>17</v>
      </c>
      <c r="E6529" t="s">
        <v>17</v>
      </c>
      <c r="F6529">
        <v>28.56</v>
      </c>
      <c r="G6529">
        <v>30.06</v>
      </c>
      <c r="H6529" t="s">
        <v>17</v>
      </c>
      <c r="I6529" t="str">
        <f>"062622003921"</f>
        <v>062622003921</v>
      </c>
    </row>
    <row r="6530" spans="1:9" x14ac:dyDescent="0.25">
      <c r="A6530" t="s">
        <v>5665</v>
      </c>
      <c r="B6530" t="s">
        <v>13</v>
      </c>
      <c r="C6530">
        <v>21</v>
      </c>
      <c r="D6530">
        <v>22</v>
      </c>
      <c r="E6530" t="s">
        <v>17</v>
      </c>
      <c r="F6530">
        <v>29.67</v>
      </c>
      <c r="G6530">
        <v>29</v>
      </c>
      <c r="H6530" t="s">
        <v>17</v>
      </c>
      <c r="I6530" t="str">
        <f>"064116006800"</f>
        <v>064116006800</v>
      </c>
    </row>
    <row r="6531" spans="1:9" x14ac:dyDescent="0.25">
      <c r="A6531" t="s">
        <v>5665</v>
      </c>
      <c r="B6531" t="s">
        <v>13</v>
      </c>
      <c r="C6531">
        <v>16</v>
      </c>
      <c r="D6531">
        <v>17</v>
      </c>
      <c r="E6531" t="s">
        <v>17</v>
      </c>
      <c r="F6531">
        <v>21.69</v>
      </c>
      <c r="G6531">
        <v>19.82</v>
      </c>
      <c r="H6531" t="s">
        <v>17</v>
      </c>
      <c r="I6531" t="str">
        <f>"061551001975"</f>
        <v>061551001975</v>
      </c>
    </row>
    <row r="6532" spans="1:9" x14ac:dyDescent="0.25">
      <c r="A6532" t="s">
        <v>5665</v>
      </c>
      <c r="B6532" t="s">
        <v>13</v>
      </c>
      <c r="C6532">
        <v>16.95</v>
      </c>
      <c r="D6532">
        <v>17</v>
      </c>
      <c r="E6532" t="s">
        <v>17</v>
      </c>
      <c r="F6532">
        <v>23.95</v>
      </c>
      <c r="G6532">
        <v>23.94</v>
      </c>
      <c r="H6532" t="s">
        <v>17</v>
      </c>
      <c r="I6532" t="str">
        <f>"062637003958"</f>
        <v>062637003958</v>
      </c>
    </row>
    <row r="6533" spans="1:9" x14ac:dyDescent="0.25">
      <c r="A6533" t="s">
        <v>5666</v>
      </c>
      <c r="B6533" t="s">
        <v>13</v>
      </c>
      <c r="C6533">
        <v>88.55</v>
      </c>
      <c r="D6533">
        <v>88.75</v>
      </c>
      <c r="E6533" t="s">
        <v>17</v>
      </c>
      <c r="F6533">
        <v>20.9</v>
      </c>
      <c r="G6533">
        <v>20.81</v>
      </c>
      <c r="H6533" t="s">
        <v>17</v>
      </c>
      <c r="I6533" t="str">
        <f>"062631003930"</f>
        <v>062631003930</v>
      </c>
    </row>
    <row r="6534" spans="1:9" x14ac:dyDescent="0.25">
      <c r="A6534" t="s">
        <v>5666</v>
      </c>
      <c r="B6534" t="s">
        <v>13</v>
      </c>
      <c r="C6534">
        <v>1</v>
      </c>
      <c r="D6534">
        <v>1</v>
      </c>
      <c r="E6534" t="s">
        <v>17</v>
      </c>
      <c r="F6534">
        <v>21</v>
      </c>
      <c r="G6534">
        <v>14</v>
      </c>
      <c r="H6534" t="s">
        <v>17</v>
      </c>
      <c r="I6534" t="str">
        <f>"060001503907"</f>
        <v>060001503907</v>
      </c>
    </row>
    <row r="6535" spans="1:9" x14ac:dyDescent="0.25">
      <c r="A6535" t="s">
        <v>5666</v>
      </c>
      <c r="B6535" t="s">
        <v>13</v>
      </c>
      <c r="C6535">
        <v>10.8</v>
      </c>
      <c r="D6535">
        <v>10.72</v>
      </c>
      <c r="E6535" t="s">
        <v>17</v>
      </c>
      <c r="F6535">
        <v>24.81</v>
      </c>
      <c r="G6535">
        <v>26.68</v>
      </c>
      <c r="H6535" t="s">
        <v>17</v>
      </c>
      <c r="I6535" t="str">
        <f>"063444005692"</f>
        <v>063444005692</v>
      </c>
    </row>
    <row r="6536" spans="1:9" x14ac:dyDescent="0.25">
      <c r="A6536" t="s">
        <v>5666</v>
      </c>
      <c r="B6536" t="s">
        <v>13</v>
      </c>
      <c r="C6536">
        <v>1.77</v>
      </c>
      <c r="D6536">
        <v>1.28</v>
      </c>
      <c r="E6536" t="s">
        <v>17</v>
      </c>
      <c r="F6536">
        <v>16.95</v>
      </c>
      <c r="G6536">
        <v>24.22</v>
      </c>
      <c r="H6536" t="s">
        <v>17</v>
      </c>
      <c r="I6536" t="str">
        <f>"061207011234"</f>
        <v>061207011234</v>
      </c>
    </row>
    <row r="6537" spans="1:9" x14ac:dyDescent="0.25">
      <c r="A6537" t="s">
        <v>5666</v>
      </c>
      <c r="B6537" t="s">
        <v>13</v>
      </c>
      <c r="C6537">
        <v>79.52</v>
      </c>
      <c r="D6537">
        <v>79.7</v>
      </c>
      <c r="E6537" t="s">
        <v>17</v>
      </c>
      <c r="F6537">
        <v>20.94</v>
      </c>
      <c r="G6537">
        <v>22.2</v>
      </c>
      <c r="H6537" t="s">
        <v>17</v>
      </c>
      <c r="I6537" t="str">
        <f>"061212001365"</f>
        <v>061212001365</v>
      </c>
    </row>
    <row r="6538" spans="1:9" x14ac:dyDescent="0.25">
      <c r="A6538" t="s">
        <v>5667</v>
      </c>
      <c r="B6538" t="s">
        <v>13</v>
      </c>
      <c r="C6538">
        <v>1.25</v>
      </c>
      <c r="D6538">
        <v>1.25</v>
      </c>
      <c r="E6538" t="s">
        <v>17</v>
      </c>
      <c r="F6538">
        <v>39.200000000000003</v>
      </c>
      <c r="G6538">
        <v>29.6</v>
      </c>
      <c r="H6538" t="s">
        <v>17</v>
      </c>
      <c r="I6538" t="str">
        <f>"062523008904"</f>
        <v>062523008904</v>
      </c>
    </row>
    <row r="6539" spans="1:9" x14ac:dyDescent="0.25">
      <c r="A6539" t="s">
        <v>5667</v>
      </c>
      <c r="B6539" t="s">
        <v>13</v>
      </c>
      <c r="C6539" t="str">
        <f>"0.83"</f>
        <v>0.83</v>
      </c>
      <c r="D6539" t="str">
        <f>"0.83"</f>
        <v>0.83</v>
      </c>
      <c r="E6539" t="s">
        <v>17</v>
      </c>
      <c r="F6539">
        <v>14.46</v>
      </c>
      <c r="G6539">
        <v>14.46</v>
      </c>
      <c r="H6539" t="s">
        <v>17</v>
      </c>
      <c r="I6539" t="str">
        <f>"060016002229"</f>
        <v>060016002229</v>
      </c>
    </row>
    <row r="6540" spans="1:9" x14ac:dyDescent="0.25">
      <c r="A6540" t="s">
        <v>5667</v>
      </c>
      <c r="B6540" t="s">
        <v>13</v>
      </c>
      <c r="C6540">
        <v>1</v>
      </c>
      <c r="D6540">
        <v>1</v>
      </c>
      <c r="E6540" t="s">
        <v>17</v>
      </c>
      <c r="F6540">
        <v>18</v>
      </c>
      <c r="G6540">
        <v>15</v>
      </c>
      <c r="H6540" t="s">
        <v>17</v>
      </c>
      <c r="I6540" t="str">
        <f>"061347008137"</f>
        <v>061347008137</v>
      </c>
    </row>
    <row r="6541" spans="1:9" x14ac:dyDescent="0.25">
      <c r="A6541" t="s">
        <v>5668</v>
      </c>
      <c r="B6541" t="s">
        <v>13</v>
      </c>
      <c r="C6541">
        <v>1</v>
      </c>
      <c r="D6541">
        <v>2</v>
      </c>
      <c r="E6541" t="s">
        <v>17</v>
      </c>
      <c r="F6541">
        <v>37</v>
      </c>
      <c r="G6541">
        <v>31</v>
      </c>
      <c r="H6541" t="s">
        <v>17</v>
      </c>
      <c r="I6541" t="str">
        <f>"060210007300"</f>
        <v>060210007300</v>
      </c>
    </row>
    <row r="6542" spans="1:9" x14ac:dyDescent="0.25">
      <c r="A6542" t="s">
        <v>5669</v>
      </c>
      <c r="B6542" t="s">
        <v>13</v>
      </c>
      <c r="C6542">
        <v>72.5</v>
      </c>
      <c r="D6542">
        <v>75.84</v>
      </c>
      <c r="E6542" t="s">
        <v>17</v>
      </c>
      <c r="F6542">
        <v>17.670000000000002</v>
      </c>
      <c r="G6542">
        <v>17.11</v>
      </c>
      <c r="H6542" t="s">
        <v>17</v>
      </c>
      <c r="I6542" t="str">
        <f>"062580009405"</f>
        <v>062580009405</v>
      </c>
    </row>
    <row r="6543" spans="1:9" x14ac:dyDescent="0.25">
      <c r="A6543" t="s">
        <v>5669</v>
      </c>
      <c r="B6543" t="s">
        <v>13</v>
      </c>
      <c r="C6543">
        <v>17.079999999999998</v>
      </c>
      <c r="D6543">
        <v>19.5</v>
      </c>
      <c r="E6543" t="s">
        <v>17</v>
      </c>
      <c r="F6543">
        <v>23.54</v>
      </c>
      <c r="G6543">
        <v>22.26</v>
      </c>
      <c r="H6543" t="s">
        <v>17</v>
      </c>
      <c r="I6543" t="str">
        <f>"060945008635"</f>
        <v>060945008635</v>
      </c>
    </row>
    <row r="6544" spans="1:9" x14ac:dyDescent="0.25">
      <c r="A6544" t="s">
        <v>5669</v>
      </c>
      <c r="B6544" t="s">
        <v>13</v>
      </c>
      <c r="C6544">
        <v>35.71</v>
      </c>
      <c r="D6544">
        <v>34.54</v>
      </c>
      <c r="E6544" t="s">
        <v>17</v>
      </c>
      <c r="F6544">
        <v>28.84</v>
      </c>
      <c r="G6544">
        <v>27.65</v>
      </c>
      <c r="H6544" t="s">
        <v>17</v>
      </c>
      <c r="I6544" t="str">
        <f>"060429000387"</f>
        <v>060429000387</v>
      </c>
    </row>
    <row r="6545" spans="1:9" x14ac:dyDescent="0.25">
      <c r="A6545" t="s">
        <v>5669</v>
      </c>
      <c r="B6545" t="s">
        <v>13</v>
      </c>
      <c r="C6545">
        <v>8.26</v>
      </c>
      <c r="D6545">
        <v>8.58</v>
      </c>
      <c r="E6545" t="s">
        <v>17</v>
      </c>
      <c r="F6545">
        <v>25.06</v>
      </c>
      <c r="G6545">
        <v>24.71</v>
      </c>
      <c r="H6545" t="s">
        <v>17</v>
      </c>
      <c r="I6545" t="str">
        <f>"060825000809"</f>
        <v>060825000809</v>
      </c>
    </row>
    <row r="6546" spans="1:9" x14ac:dyDescent="0.25">
      <c r="A6546" t="s">
        <v>5669</v>
      </c>
      <c r="B6546" t="s">
        <v>13</v>
      </c>
      <c r="C6546">
        <v>23.05</v>
      </c>
      <c r="D6546">
        <v>22</v>
      </c>
      <c r="E6546" t="s">
        <v>17</v>
      </c>
      <c r="F6546">
        <v>23.34</v>
      </c>
      <c r="G6546">
        <v>23.91</v>
      </c>
      <c r="H6546" t="s">
        <v>17</v>
      </c>
      <c r="I6546" t="str">
        <f>"062085002503"</f>
        <v>062085002503</v>
      </c>
    </row>
    <row r="6547" spans="1:9" x14ac:dyDescent="0.25">
      <c r="A6547" t="s">
        <v>5670</v>
      </c>
      <c r="B6547" t="s">
        <v>13</v>
      </c>
      <c r="C6547">
        <v>7</v>
      </c>
      <c r="D6547">
        <v>7</v>
      </c>
      <c r="E6547" t="s">
        <v>17</v>
      </c>
      <c r="F6547">
        <v>23</v>
      </c>
      <c r="G6547">
        <v>22.86</v>
      </c>
      <c r="H6547" t="s">
        <v>17</v>
      </c>
      <c r="I6547" t="str">
        <f>"064104008587"</f>
        <v>064104008587</v>
      </c>
    </row>
    <row r="6548" spans="1:9" x14ac:dyDescent="0.25">
      <c r="A6548" t="s">
        <v>5671</v>
      </c>
      <c r="B6548" t="s">
        <v>13</v>
      </c>
      <c r="C6548">
        <v>19</v>
      </c>
      <c r="D6548">
        <v>25.2</v>
      </c>
      <c r="E6548" t="s">
        <v>17</v>
      </c>
      <c r="F6548">
        <v>30.16</v>
      </c>
      <c r="G6548">
        <v>24.13</v>
      </c>
      <c r="H6548" t="s">
        <v>17</v>
      </c>
      <c r="I6548" t="str">
        <f>"061380011538"</f>
        <v>061380011538</v>
      </c>
    </row>
    <row r="6549" spans="1:9" x14ac:dyDescent="0.25">
      <c r="A6549" t="s">
        <v>5672</v>
      </c>
      <c r="B6549" t="s">
        <v>13</v>
      </c>
      <c r="C6549">
        <v>2</v>
      </c>
      <c r="D6549">
        <v>2</v>
      </c>
      <c r="E6549" t="s">
        <v>17</v>
      </c>
      <c r="F6549">
        <v>4</v>
      </c>
      <c r="G6549">
        <v>6.5</v>
      </c>
      <c r="H6549" t="s">
        <v>17</v>
      </c>
      <c r="I6549" t="str">
        <f>"062334012739"</f>
        <v>062334012739</v>
      </c>
    </row>
    <row r="6550" spans="1:9" x14ac:dyDescent="0.25">
      <c r="A6550" t="s">
        <v>5673</v>
      </c>
      <c r="B6550" t="s">
        <v>13</v>
      </c>
      <c r="C6550">
        <v>36</v>
      </c>
      <c r="D6550">
        <v>35.15</v>
      </c>
      <c r="E6550" t="s">
        <v>17</v>
      </c>
      <c r="F6550">
        <v>27.06</v>
      </c>
      <c r="G6550">
        <v>26.37</v>
      </c>
      <c r="H6550" t="s">
        <v>17</v>
      </c>
      <c r="I6550" t="str">
        <f>"060907008563"</f>
        <v>060907008563</v>
      </c>
    </row>
    <row r="6551" spans="1:9" x14ac:dyDescent="0.25">
      <c r="A6551" t="s">
        <v>5674</v>
      </c>
      <c r="B6551" t="s">
        <v>13</v>
      </c>
      <c r="C6551">
        <v>17.010000000000002</v>
      </c>
      <c r="D6551">
        <v>16.34</v>
      </c>
      <c r="E6551" t="s">
        <v>17</v>
      </c>
      <c r="F6551">
        <v>21.93</v>
      </c>
      <c r="G6551">
        <v>23.75</v>
      </c>
      <c r="H6551" t="s">
        <v>17</v>
      </c>
      <c r="I6551" t="str">
        <f>"061932009382"</f>
        <v>061932009382</v>
      </c>
    </row>
    <row r="6552" spans="1:9" x14ac:dyDescent="0.25">
      <c r="A6552" t="s">
        <v>5675</v>
      </c>
      <c r="B6552" t="s">
        <v>13</v>
      </c>
      <c r="C6552">
        <v>35</v>
      </c>
      <c r="D6552">
        <v>41.5</v>
      </c>
      <c r="E6552" t="s">
        <v>17</v>
      </c>
      <c r="F6552">
        <v>27.46</v>
      </c>
      <c r="G6552">
        <v>23.69</v>
      </c>
      <c r="H6552" t="s">
        <v>17</v>
      </c>
      <c r="I6552" t="str">
        <f>"063597003259"</f>
        <v>063597003259</v>
      </c>
    </row>
    <row r="6553" spans="1:9" x14ac:dyDescent="0.25">
      <c r="A6553" t="s">
        <v>5676</v>
      </c>
      <c r="B6553" t="s">
        <v>13</v>
      </c>
      <c r="C6553">
        <v>6.6</v>
      </c>
      <c r="D6553">
        <v>5.5</v>
      </c>
      <c r="E6553" t="s">
        <v>17</v>
      </c>
      <c r="F6553">
        <v>17.579999999999998</v>
      </c>
      <c r="G6553">
        <v>24.36</v>
      </c>
      <c r="H6553" t="s">
        <v>17</v>
      </c>
      <c r="I6553" t="str">
        <f>"062634003932"</f>
        <v>062634003932</v>
      </c>
    </row>
    <row r="6554" spans="1:9" x14ac:dyDescent="0.25">
      <c r="A6554" t="s">
        <v>5677</v>
      </c>
      <c r="B6554" t="s">
        <v>13</v>
      </c>
      <c r="C6554">
        <v>1</v>
      </c>
      <c r="D6554">
        <v>1</v>
      </c>
      <c r="E6554" t="s">
        <v>17</v>
      </c>
      <c r="F6554">
        <v>9</v>
      </c>
      <c r="G6554">
        <v>8</v>
      </c>
      <c r="H6554" t="s">
        <v>17</v>
      </c>
      <c r="I6554" t="str">
        <f>"061347001537"</f>
        <v>061347001537</v>
      </c>
    </row>
    <row r="6555" spans="1:9" x14ac:dyDescent="0.25">
      <c r="A6555" t="s">
        <v>5678</v>
      </c>
      <c r="B6555" t="s">
        <v>13</v>
      </c>
      <c r="C6555">
        <v>63.82</v>
      </c>
      <c r="D6555">
        <v>64.12</v>
      </c>
      <c r="E6555" t="s">
        <v>17</v>
      </c>
      <c r="F6555">
        <v>31.26</v>
      </c>
      <c r="G6555">
        <v>30.77</v>
      </c>
      <c r="H6555" t="s">
        <v>17</v>
      </c>
      <c r="I6555" t="str">
        <f>"063153004890"</f>
        <v>063153004890</v>
      </c>
    </row>
    <row r="6556" spans="1:9" x14ac:dyDescent="0.25">
      <c r="A6556" t="s">
        <v>5679</v>
      </c>
      <c r="B6556" t="s">
        <v>13</v>
      </c>
      <c r="C6556">
        <v>29.44</v>
      </c>
      <c r="D6556">
        <v>30.29</v>
      </c>
      <c r="E6556" t="s">
        <v>17</v>
      </c>
      <c r="F6556">
        <v>26.9</v>
      </c>
      <c r="G6556">
        <v>26.48</v>
      </c>
      <c r="H6556" t="s">
        <v>17</v>
      </c>
      <c r="I6556" t="str">
        <f>"062637003959"</f>
        <v>062637003959</v>
      </c>
    </row>
    <row r="6557" spans="1:9" x14ac:dyDescent="0.25">
      <c r="A6557" t="s">
        <v>5680</v>
      </c>
      <c r="B6557" t="s">
        <v>13</v>
      </c>
      <c r="C6557">
        <v>91</v>
      </c>
      <c r="D6557">
        <v>89.3</v>
      </c>
      <c r="E6557" t="s">
        <v>17</v>
      </c>
      <c r="F6557">
        <v>15.08</v>
      </c>
      <c r="G6557">
        <v>16.579999999999998</v>
      </c>
      <c r="H6557" t="s">
        <v>17</v>
      </c>
      <c r="I6557" t="str">
        <f>"062637003960"</f>
        <v>062637003960</v>
      </c>
    </row>
    <row r="6558" spans="1:9" x14ac:dyDescent="0.25">
      <c r="A6558" t="s">
        <v>5681</v>
      </c>
      <c r="B6558" t="s">
        <v>13</v>
      </c>
      <c r="C6558">
        <v>78.819999999999993</v>
      </c>
      <c r="D6558">
        <v>79.48</v>
      </c>
      <c r="E6558" t="s">
        <v>17</v>
      </c>
      <c r="F6558">
        <v>23.32</v>
      </c>
      <c r="G6558">
        <v>23.83</v>
      </c>
      <c r="H6558" t="s">
        <v>17</v>
      </c>
      <c r="I6558" t="str">
        <f>"061674002124"</f>
        <v>061674002124</v>
      </c>
    </row>
    <row r="6559" spans="1:9" x14ac:dyDescent="0.25">
      <c r="A6559" t="s">
        <v>5682</v>
      </c>
      <c r="B6559" t="s">
        <v>13</v>
      </c>
      <c r="C6559">
        <v>13.2</v>
      </c>
      <c r="D6559">
        <v>11.4</v>
      </c>
      <c r="E6559" t="s">
        <v>17</v>
      </c>
      <c r="F6559">
        <v>22.95</v>
      </c>
      <c r="G6559">
        <v>14.12</v>
      </c>
      <c r="H6559" t="s">
        <v>17</v>
      </c>
      <c r="I6559" t="str">
        <f>"063432009437"</f>
        <v>063432009437</v>
      </c>
    </row>
    <row r="6560" spans="1:9" x14ac:dyDescent="0.25">
      <c r="A6560" t="s">
        <v>5683</v>
      </c>
      <c r="B6560" t="s">
        <v>13</v>
      </c>
      <c r="C6560">
        <v>8</v>
      </c>
      <c r="D6560">
        <v>8.3000000000000007</v>
      </c>
      <c r="E6560" t="s">
        <v>17</v>
      </c>
      <c r="F6560">
        <v>30.88</v>
      </c>
      <c r="G6560">
        <v>30.72</v>
      </c>
      <c r="H6560" t="s">
        <v>17</v>
      </c>
      <c r="I6560" t="str">
        <f>"062664004021"</f>
        <v>062664004021</v>
      </c>
    </row>
    <row r="6561" spans="1:9" x14ac:dyDescent="0.25">
      <c r="A6561" t="s">
        <v>5684</v>
      </c>
      <c r="B6561" t="s">
        <v>13</v>
      </c>
      <c r="C6561">
        <v>38.33</v>
      </c>
      <c r="D6561">
        <v>44.02</v>
      </c>
      <c r="E6561" t="s">
        <v>17</v>
      </c>
      <c r="F6561">
        <v>29.53</v>
      </c>
      <c r="G6561">
        <v>26.56</v>
      </c>
      <c r="H6561" t="s">
        <v>17</v>
      </c>
      <c r="I6561" t="str">
        <f>"062271003200"</f>
        <v>062271003200</v>
      </c>
    </row>
    <row r="6562" spans="1:9" x14ac:dyDescent="0.25">
      <c r="A6562" t="s">
        <v>5685</v>
      </c>
      <c r="B6562" t="s">
        <v>13</v>
      </c>
      <c r="C6562">
        <v>4.68</v>
      </c>
      <c r="D6562">
        <v>4.62</v>
      </c>
      <c r="E6562" t="s">
        <v>17</v>
      </c>
      <c r="F6562">
        <v>21.79</v>
      </c>
      <c r="G6562">
        <v>26.41</v>
      </c>
      <c r="H6562" t="s">
        <v>17</v>
      </c>
      <c r="I6562" t="str">
        <f>"060001112763"</f>
        <v>060001112763</v>
      </c>
    </row>
    <row r="6563" spans="1:9" x14ac:dyDescent="0.25">
      <c r="A6563" t="s">
        <v>5686</v>
      </c>
      <c r="B6563" t="s">
        <v>13</v>
      </c>
      <c r="C6563" t="s">
        <v>17</v>
      </c>
      <c r="D6563" t="s">
        <v>17</v>
      </c>
      <c r="E6563" t="s">
        <v>17</v>
      </c>
      <c r="F6563" t="s">
        <v>17</v>
      </c>
      <c r="G6563" t="s">
        <v>17</v>
      </c>
      <c r="H6563" t="s">
        <v>17</v>
      </c>
      <c r="I6563" t="str">
        <f>"063763010335"</f>
        <v>063763010335</v>
      </c>
    </row>
    <row r="6564" spans="1:9" x14ac:dyDescent="0.25">
      <c r="A6564" t="s">
        <v>5687</v>
      </c>
      <c r="B6564" t="s">
        <v>13</v>
      </c>
      <c r="C6564">
        <v>3.5</v>
      </c>
      <c r="D6564">
        <v>3</v>
      </c>
      <c r="E6564" t="s">
        <v>17</v>
      </c>
      <c r="F6564">
        <v>30.29</v>
      </c>
      <c r="G6564">
        <v>33</v>
      </c>
      <c r="H6564" t="s">
        <v>17</v>
      </c>
      <c r="I6564" t="str">
        <f>"062271003201"</f>
        <v>062271003201</v>
      </c>
    </row>
    <row r="6565" spans="1:9" x14ac:dyDescent="0.25">
      <c r="A6565" t="s">
        <v>5688</v>
      </c>
      <c r="B6565" t="s">
        <v>13</v>
      </c>
      <c r="C6565">
        <v>13.8</v>
      </c>
      <c r="D6565">
        <v>11.65</v>
      </c>
      <c r="E6565" t="s">
        <v>17</v>
      </c>
      <c r="F6565">
        <v>20.36</v>
      </c>
      <c r="G6565">
        <v>24.72</v>
      </c>
      <c r="H6565" t="s">
        <v>17</v>
      </c>
      <c r="I6565" t="str">
        <f>"061518001915"</f>
        <v>061518001915</v>
      </c>
    </row>
    <row r="6566" spans="1:9" x14ac:dyDescent="0.25">
      <c r="A6566" t="s">
        <v>5689</v>
      </c>
      <c r="B6566" t="s">
        <v>13</v>
      </c>
      <c r="C6566">
        <v>11</v>
      </c>
      <c r="D6566">
        <v>12</v>
      </c>
      <c r="E6566" t="s">
        <v>17</v>
      </c>
      <c r="F6566">
        <v>15.09</v>
      </c>
      <c r="G6566">
        <v>10.08</v>
      </c>
      <c r="H6566" t="s">
        <v>17</v>
      </c>
      <c r="I6566" t="str">
        <f>"069100512486"</f>
        <v>069100512486</v>
      </c>
    </row>
    <row r="6567" spans="1:9" x14ac:dyDescent="0.25">
      <c r="A6567" t="s">
        <v>5690</v>
      </c>
      <c r="B6567" t="s">
        <v>13</v>
      </c>
      <c r="C6567">
        <v>5.2</v>
      </c>
      <c r="D6567">
        <v>5.2</v>
      </c>
      <c r="E6567" t="s">
        <v>17</v>
      </c>
      <c r="F6567">
        <v>14.62</v>
      </c>
      <c r="G6567">
        <v>13.46</v>
      </c>
      <c r="H6567" t="s">
        <v>17</v>
      </c>
      <c r="I6567" t="str">
        <f>"061152001286"</f>
        <v>061152001286</v>
      </c>
    </row>
    <row r="6568" spans="1:9" x14ac:dyDescent="0.25">
      <c r="A6568" t="s">
        <v>5691</v>
      </c>
      <c r="B6568" t="s">
        <v>13</v>
      </c>
      <c r="C6568">
        <v>14</v>
      </c>
      <c r="D6568">
        <v>15</v>
      </c>
      <c r="E6568" t="s">
        <v>17</v>
      </c>
      <c r="F6568">
        <v>27.21</v>
      </c>
      <c r="G6568">
        <v>28.67</v>
      </c>
      <c r="H6568" t="s">
        <v>17</v>
      </c>
      <c r="I6568" t="str">
        <f>"062640003989"</f>
        <v>062640003989</v>
      </c>
    </row>
    <row r="6569" spans="1:9" x14ac:dyDescent="0.25">
      <c r="A6569" t="s">
        <v>5692</v>
      </c>
      <c r="B6569" t="s">
        <v>13</v>
      </c>
      <c r="C6569">
        <v>19.8</v>
      </c>
      <c r="D6569">
        <v>20</v>
      </c>
      <c r="E6569" t="s">
        <v>17</v>
      </c>
      <c r="F6569">
        <v>23.13</v>
      </c>
      <c r="G6569">
        <v>25.2</v>
      </c>
      <c r="H6569" t="s">
        <v>17</v>
      </c>
      <c r="I6569" t="str">
        <f>"062955008931"</f>
        <v>062955008931</v>
      </c>
    </row>
    <row r="6570" spans="1:9" x14ac:dyDescent="0.25">
      <c r="A6570" t="s">
        <v>5693</v>
      </c>
      <c r="B6570" t="s">
        <v>13</v>
      </c>
      <c r="C6570">
        <v>8.6</v>
      </c>
      <c r="D6570">
        <v>9.5</v>
      </c>
      <c r="E6570" t="s">
        <v>17</v>
      </c>
      <c r="F6570">
        <v>25</v>
      </c>
      <c r="G6570">
        <v>24.42</v>
      </c>
      <c r="H6570" t="s">
        <v>17</v>
      </c>
      <c r="I6570" t="str">
        <f>"062604003898"</f>
        <v>062604003898</v>
      </c>
    </row>
    <row r="6571" spans="1:9" x14ac:dyDescent="0.25">
      <c r="A6571" t="s">
        <v>5694</v>
      </c>
      <c r="B6571" t="s">
        <v>13</v>
      </c>
      <c r="C6571">
        <v>15.96</v>
      </c>
      <c r="D6571">
        <v>16.84</v>
      </c>
      <c r="E6571" t="s">
        <v>17</v>
      </c>
      <c r="F6571">
        <v>18.73</v>
      </c>
      <c r="G6571">
        <v>19</v>
      </c>
      <c r="H6571" t="s">
        <v>17</v>
      </c>
      <c r="I6571" t="str">
        <f>"063694006279"</f>
        <v>063694006279</v>
      </c>
    </row>
    <row r="6572" spans="1:9" x14ac:dyDescent="0.25">
      <c r="A6572" t="s">
        <v>5695</v>
      </c>
      <c r="B6572" t="s">
        <v>13</v>
      </c>
      <c r="C6572">
        <v>4.05</v>
      </c>
      <c r="D6572">
        <v>4.1500000000000004</v>
      </c>
      <c r="E6572" t="s">
        <v>17</v>
      </c>
      <c r="F6572">
        <v>22.96</v>
      </c>
      <c r="G6572">
        <v>23.13</v>
      </c>
      <c r="H6572" t="s">
        <v>17</v>
      </c>
      <c r="I6572" t="str">
        <f>"062064002479"</f>
        <v>062064002479</v>
      </c>
    </row>
    <row r="6573" spans="1:9" x14ac:dyDescent="0.25">
      <c r="A6573" t="s">
        <v>5696</v>
      </c>
      <c r="B6573" t="s">
        <v>13</v>
      </c>
      <c r="C6573">
        <v>32</v>
      </c>
      <c r="D6573">
        <v>33</v>
      </c>
      <c r="E6573" t="s">
        <v>17</v>
      </c>
      <c r="F6573">
        <v>20.190000000000001</v>
      </c>
      <c r="G6573">
        <v>19.73</v>
      </c>
      <c r="H6573" t="s">
        <v>17</v>
      </c>
      <c r="I6573" t="str">
        <f>"063417005371"</f>
        <v>063417005371</v>
      </c>
    </row>
    <row r="6574" spans="1:9" x14ac:dyDescent="0.25">
      <c r="A6574" t="s">
        <v>5696</v>
      </c>
      <c r="B6574" t="s">
        <v>13</v>
      </c>
      <c r="C6574">
        <v>20</v>
      </c>
      <c r="D6574">
        <v>19.329999999999998</v>
      </c>
      <c r="E6574" t="s">
        <v>17</v>
      </c>
      <c r="F6574">
        <v>27.95</v>
      </c>
      <c r="G6574">
        <v>27.68</v>
      </c>
      <c r="H6574" t="s">
        <v>17</v>
      </c>
      <c r="I6574" t="str">
        <f>"062133002552"</f>
        <v>062133002552</v>
      </c>
    </row>
    <row r="6575" spans="1:9" x14ac:dyDescent="0.25">
      <c r="A6575" t="s">
        <v>5696</v>
      </c>
      <c r="B6575" t="s">
        <v>13</v>
      </c>
      <c r="C6575">
        <v>46.86</v>
      </c>
      <c r="D6575">
        <v>48.36</v>
      </c>
      <c r="E6575" t="s">
        <v>17</v>
      </c>
      <c r="F6575">
        <v>17.670000000000002</v>
      </c>
      <c r="G6575">
        <v>17.54</v>
      </c>
      <c r="H6575" t="s">
        <v>17</v>
      </c>
      <c r="I6575" t="str">
        <f>"060363000309"</f>
        <v>060363000309</v>
      </c>
    </row>
    <row r="6576" spans="1:9" x14ac:dyDescent="0.25">
      <c r="A6576" t="s">
        <v>5697</v>
      </c>
      <c r="B6576" t="s">
        <v>13</v>
      </c>
      <c r="C6576">
        <v>15</v>
      </c>
      <c r="D6576">
        <v>14</v>
      </c>
      <c r="E6576" t="s">
        <v>17</v>
      </c>
      <c r="F6576">
        <v>24.27</v>
      </c>
      <c r="G6576">
        <v>24.71</v>
      </c>
      <c r="H6576" t="s">
        <v>17</v>
      </c>
      <c r="I6576" t="str">
        <f>"062271003203"</f>
        <v>062271003203</v>
      </c>
    </row>
    <row r="6577" spans="1:9" x14ac:dyDescent="0.25">
      <c r="A6577" t="s">
        <v>5698</v>
      </c>
      <c r="B6577" t="s">
        <v>13</v>
      </c>
      <c r="C6577">
        <v>67.099999999999994</v>
      </c>
      <c r="D6577">
        <v>66.13</v>
      </c>
      <c r="E6577" t="s">
        <v>17</v>
      </c>
      <c r="F6577">
        <v>23.59</v>
      </c>
      <c r="G6577">
        <v>24.54</v>
      </c>
      <c r="H6577" t="s">
        <v>17</v>
      </c>
      <c r="I6577" t="str">
        <f>"064116006801"</f>
        <v>064116006801</v>
      </c>
    </row>
    <row r="6578" spans="1:9" x14ac:dyDescent="0.25">
      <c r="A6578" t="s">
        <v>5699</v>
      </c>
      <c r="B6578" t="s">
        <v>13</v>
      </c>
      <c r="C6578">
        <v>16.489999999999998</v>
      </c>
      <c r="D6578">
        <v>20.98</v>
      </c>
      <c r="E6578" t="s">
        <v>17</v>
      </c>
      <c r="F6578">
        <v>29.71</v>
      </c>
      <c r="G6578">
        <v>24.17</v>
      </c>
      <c r="H6578" t="s">
        <v>17</v>
      </c>
      <c r="I6578" t="str">
        <f>"063171009617"</f>
        <v>063171009617</v>
      </c>
    </row>
    <row r="6579" spans="1:9" x14ac:dyDescent="0.25">
      <c r="A6579" t="s">
        <v>5700</v>
      </c>
      <c r="B6579" t="s">
        <v>13</v>
      </c>
      <c r="C6579">
        <v>45</v>
      </c>
      <c r="D6579">
        <v>43</v>
      </c>
      <c r="E6579" t="s">
        <v>17</v>
      </c>
      <c r="F6579">
        <v>23.42</v>
      </c>
      <c r="G6579">
        <v>24.98</v>
      </c>
      <c r="H6579" t="s">
        <v>17</v>
      </c>
      <c r="I6579" t="str">
        <f>"060861000869"</f>
        <v>060861000869</v>
      </c>
    </row>
    <row r="6580" spans="1:9" x14ac:dyDescent="0.25">
      <c r="A6580" t="s">
        <v>5701</v>
      </c>
      <c r="B6580" t="s">
        <v>13</v>
      </c>
      <c r="C6580">
        <v>25</v>
      </c>
      <c r="D6580">
        <v>29.3</v>
      </c>
      <c r="E6580" t="s">
        <v>17</v>
      </c>
      <c r="F6580">
        <v>25.92</v>
      </c>
      <c r="G6580">
        <v>22.66</v>
      </c>
      <c r="H6580" t="s">
        <v>17</v>
      </c>
      <c r="I6580" t="str">
        <f>"060285009703"</f>
        <v>060285009703</v>
      </c>
    </row>
    <row r="6581" spans="1:9" x14ac:dyDescent="0.25">
      <c r="A6581" t="s">
        <v>5701</v>
      </c>
      <c r="B6581" t="s">
        <v>13</v>
      </c>
      <c r="C6581">
        <v>18</v>
      </c>
      <c r="D6581">
        <v>16.71</v>
      </c>
      <c r="E6581" t="s">
        <v>17</v>
      </c>
      <c r="F6581">
        <v>14.28</v>
      </c>
      <c r="G6581">
        <v>14.18</v>
      </c>
      <c r="H6581" t="s">
        <v>17</v>
      </c>
      <c r="I6581" t="str">
        <f>"063441005633"</f>
        <v>063441005633</v>
      </c>
    </row>
    <row r="6582" spans="1:9" x14ac:dyDescent="0.25">
      <c r="A6582" t="s">
        <v>5702</v>
      </c>
      <c r="B6582" t="s">
        <v>13</v>
      </c>
      <c r="C6582">
        <v>63.94</v>
      </c>
      <c r="D6582">
        <v>58.42</v>
      </c>
      <c r="E6582" t="s">
        <v>17</v>
      </c>
      <c r="F6582">
        <v>21.77</v>
      </c>
      <c r="G6582">
        <v>23.9</v>
      </c>
      <c r="H6582" t="s">
        <v>17</v>
      </c>
      <c r="I6582" t="str">
        <f>"069102308230"</f>
        <v>069102308230</v>
      </c>
    </row>
    <row r="6583" spans="1:9" x14ac:dyDescent="0.25">
      <c r="A6583" t="s">
        <v>5703</v>
      </c>
      <c r="B6583" t="s">
        <v>13</v>
      </c>
      <c r="C6583">
        <v>29</v>
      </c>
      <c r="D6583">
        <v>25</v>
      </c>
      <c r="E6583" t="s">
        <v>17</v>
      </c>
      <c r="F6583">
        <v>19.309999999999999</v>
      </c>
      <c r="G6583">
        <v>21.4</v>
      </c>
      <c r="H6583" t="s">
        <v>17</v>
      </c>
      <c r="I6583" t="str">
        <f>"061455001755"</f>
        <v>061455001755</v>
      </c>
    </row>
    <row r="6584" spans="1:9" x14ac:dyDescent="0.25">
      <c r="A6584" t="s">
        <v>5704</v>
      </c>
      <c r="B6584" t="s">
        <v>13</v>
      </c>
      <c r="C6584">
        <v>37.409999999999997</v>
      </c>
      <c r="D6584">
        <v>35.200000000000003</v>
      </c>
      <c r="E6584" t="s">
        <v>17</v>
      </c>
      <c r="F6584">
        <v>28.31</v>
      </c>
      <c r="G6584">
        <v>28.95</v>
      </c>
      <c r="H6584" t="s">
        <v>17</v>
      </c>
      <c r="I6584" t="str">
        <f>"062250002747"</f>
        <v>062250002747</v>
      </c>
    </row>
    <row r="6585" spans="1:9" x14ac:dyDescent="0.25">
      <c r="A6585" t="s">
        <v>5705</v>
      </c>
      <c r="B6585" t="s">
        <v>13</v>
      </c>
      <c r="C6585">
        <v>42.61</v>
      </c>
      <c r="D6585">
        <v>44.1</v>
      </c>
      <c r="E6585" t="s">
        <v>17</v>
      </c>
      <c r="F6585">
        <v>24.2</v>
      </c>
      <c r="G6585">
        <v>24.72</v>
      </c>
      <c r="H6585" t="s">
        <v>17</v>
      </c>
      <c r="I6585" t="str">
        <f>"063432005527"</f>
        <v>063432005527</v>
      </c>
    </row>
    <row r="6586" spans="1:9" x14ac:dyDescent="0.25">
      <c r="A6586" t="s">
        <v>5706</v>
      </c>
      <c r="B6586" t="s">
        <v>13</v>
      </c>
      <c r="C6586">
        <v>24.07</v>
      </c>
      <c r="D6586">
        <v>23</v>
      </c>
      <c r="E6586" t="s">
        <v>17</v>
      </c>
      <c r="F6586">
        <v>24.01</v>
      </c>
      <c r="G6586">
        <v>24.22</v>
      </c>
      <c r="H6586" t="s">
        <v>17</v>
      </c>
      <c r="I6586" t="str">
        <f>"061185001318"</f>
        <v>061185001318</v>
      </c>
    </row>
    <row r="6587" spans="1:9" x14ac:dyDescent="0.25">
      <c r="A6587" t="s">
        <v>5706</v>
      </c>
      <c r="B6587" t="s">
        <v>13</v>
      </c>
      <c r="C6587">
        <v>5</v>
      </c>
      <c r="D6587">
        <v>4</v>
      </c>
      <c r="E6587" t="s">
        <v>17</v>
      </c>
      <c r="F6587">
        <v>18.2</v>
      </c>
      <c r="G6587">
        <v>22.75</v>
      </c>
      <c r="H6587" t="s">
        <v>17</v>
      </c>
      <c r="I6587" t="str">
        <f>"062643003992"</f>
        <v>062643003992</v>
      </c>
    </row>
    <row r="6588" spans="1:9" x14ac:dyDescent="0.25">
      <c r="A6588" t="s">
        <v>5707</v>
      </c>
      <c r="B6588" t="s">
        <v>13</v>
      </c>
      <c r="C6588">
        <v>28.5</v>
      </c>
      <c r="D6588">
        <v>28.5</v>
      </c>
      <c r="E6588" t="s">
        <v>17</v>
      </c>
      <c r="F6588">
        <v>22.7</v>
      </c>
      <c r="G6588">
        <v>21.19</v>
      </c>
      <c r="H6588" t="s">
        <v>17</v>
      </c>
      <c r="I6588" t="str">
        <f>"063987006616"</f>
        <v>063987006616</v>
      </c>
    </row>
    <row r="6589" spans="1:9" x14ac:dyDescent="0.25">
      <c r="A6589" t="s">
        <v>5708</v>
      </c>
      <c r="B6589" t="s">
        <v>13</v>
      </c>
      <c r="C6589">
        <v>18.5</v>
      </c>
      <c r="D6589">
        <v>18</v>
      </c>
      <c r="E6589" t="s">
        <v>17</v>
      </c>
      <c r="F6589">
        <v>21.35</v>
      </c>
      <c r="G6589">
        <v>21.06</v>
      </c>
      <c r="H6589" t="s">
        <v>17</v>
      </c>
      <c r="I6589" t="str">
        <f>"062271008721"</f>
        <v>062271008721</v>
      </c>
    </row>
    <row r="6590" spans="1:9" x14ac:dyDescent="0.25">
      <c r="A6590" t="s">
        <v>5709</v>
      </c>
      <c r="B6590" t="s">
        <v>13</v>
      </c>
      <c r="C6590">
        <v>21</v>
      </c>
      <c r="D6590">
        <v>22</v>
      </c>
      <c r="E6590" t="s">
        <v>17</v>
      </c>
      <c r="F6590">
        <v>23.24</v>
      </c>
      <c r="G6590">
        <v>23.36</v>
      </c>
      <c r="H6590" t="s">
        <v>17</v>
      </c>
      <c r="I6590" t="str">
        <f>"062271003206"</f>
        <v>062271003206</v>
      </c>
    </row>
    <row r="6591" spans="1:9" x14ac:dyDescent="0.25">
      <c r="A6591" t="s">
        <v>5710</v>
      </c>
      <c r="B6591" t="s">
        <v>13</v>
      </c>
      <c r="C6591">
        <v>36.17</v>
      </c>
      <c r="D6591">
        <v>33.17</v>
      </c>
      <c r="E6591" t="s">
        <v>17</v>
      </c>
      <c r="F6591">
        <v>18.690000000000001</v>
      </c>
      <c r="G6591">
        <v>19.989999999999998</v>
      </c>
      <c r="H6591" t="s">
        <v>17</v>
      </c>
      <c r="I6591" t="str">
        <f>"060363000310"</f>
        <v>060363000310</v>
      </c>
    </row>
    <row r="6592" spans="1:9" x14ac:dyDescent="0.25">
      <c r="A6592" t="s">
        <v>5711</v>
      </c>
      <c r="B6592" t="s">
        <v>13</v>
      </c>
      <c r="C6592">
        <v>6</v>
      </c>
      <c r="D6592">
        <v>6.5</v>
      </c>
      <c r="E6592" t="s">
        <v>17</v>
      </c>
      <c r="F6592">
        <v>11</v>
      </c>
      <c r="G6592">
        <v>7.69</v>
      </c>
      <c r="H6592" t="s">
        <v>17</v>
      </c>
      <c r="I6592" t="str">
        <f>"069107812653"</f>
        <v>069107812653</v>
      </c>
    </row>
    <row r="6593" spans="1:9" x14ac:dyDescent="0.25">
      <c r="A6593" t="s">
        <v>5712</v>
      </c>
      <c r="B6593" t="s">
        <v>13</v>
      </c>
      <c r="C6593">
        <v>5.72</v>
      </c>
      <c r="D6593">
        <v>5.5</v>
      </c>
      <c r="E6593" t="s">
        <v>17</v>
      </c>
      <c r="F6593">
        <v>24.65</v>
      </c>
      <c r="G6593">
        <v>24.91</v>
      </c>
      <c r="H6593" t="s">
        <v>17</v>
      </c>
      <c r="I6593" t="str">
        <f>"062646003993"</f>
        <v>062646003993</v>
      </c>
    </row>
    <row r="6594" spans="1:9" x14ac:dyDescent="0.25">
      <c r="A6594" t="s">
        <v>5713</v>
      </c>
      <c r="B6594" t="s">
        <v>13</v>
      </c>
      <c r="C6594">
        <v>24.5</v>
      </c>
      <c r="D6594">
        <v>24</v>
      </c>
      <c r="E6594" t="s">
        <v>17</v>
      </c>
      <c r="F6594">
        <v>22.82</v>
      </c>
      <c r="G6594">
        <v>23.08</v>
      </c>
      <c r="H6594" t="s">
        <v>17</v>
      </c>
      <c r="I6594" t="str">
        <f>"062271003207"</f>
        <v>062271003207</v>
      </c>
    </row>
    <row r="6595" spans="1:9" x14ac:dyDescent="0.25">
      <c r="A6595" t="s">
        <v>5714</v>
      </c>
      <c r="B6595" t="s">
        <v>13</v>
      </c>
      <c r="C6595">
        <v>23</v>
      </c>
      <c r="D6595">
        <v>20</v>
      </c>
      <c r="E6595" t="s">
        <v>17</v>
      </c>
      <c r="F6595">
        <v>27.39</v>
      </c>
      <c r="G6595">
        <v>27.1</v>
      </c>
      <c r="H6595" t="s">
        <v>17</v>
      </c>
      <c r="I6595" t="str">
        <f>"064271006977"</f>
        <v>064271006977</v>
      </c>
    </row>
    <row r="6596" spans="1:9" x14ac:dyDescent="0.25">
      <c r="A6596" t="s">
        <v>5714</v>
      </c>
      <c r="B6596" t="s">
        <v>13</v>
      </c>
      <c r="C6596">
        <v>24.2</v>
      </c>
      <c r="D6596">
        <v>24.25</v>
      </c>
      <c r="E6596" t="s">
        <v>17</v>
      </c>
      <c r="F6596">
        <v>30.7</v>
      </c>
      <c r="G6596">
        <v>30.02</v>
      </c>
      <c r="H6596" t="s">
        <v>17</v>
      </c>
      <c r="I6596" t="str">
        <f>"062025002438"</f>
        <v>062025002438</v>
      </c>
    </row>
    <row r="6597" spans="1:9" x14ac:dyDescent="0.25">
      <c r="A6597" t="s">
        <v>5715</v>
      </c>
      <c r="B6597" t="s">
        <v>13</v>
      </c>
      <c r="C6597">
        <v>22.45</v>
      </c>
      <c r="D6597">
        <v>22.23</v>
      </c>
      <c r="E6597" t="s">
        <v>17</v>
      </c>
      <c r="F6597">
        <v>25.21</v>
      </c>
      <c r="G6597">
        <v>25.28</v>
      </c>
      <c r="H6597" t="s">
        <v>17</v>
      </c>
      <c r="I6597" t="str">
        <f>"061029005406"</f>
        <v>061029005406</v>
      </c>
    </row>
    <row r="6598" spans="1:9" x14ac:dyDescent="0.25">
      <c r="A6598" t="s">
        <v>5716</v>
      </c>
      <c r="B6598" t="s">
        <v>13</v>
      </c>
      <c r="C6598">
        <v>20</v>
      </c>
      <c r="D6598">
        <v>21.5</v>
      </c>
      <c r="E6598" t="s">
        <v>17</v>
      </c>
      <c r="F6598">
        <v>23.6</v>
      </c>
      <c r="G6598">
        <v>22.23</v>
      </c>
      <c r="H6598" t="s">
        <v>17</v>
      </c>
      <c r="I6598" t="str">
        <f>"063255005046"</f>
        <v>063255005046</v>
      </c>
    </row>
    <row r="6599" spans="1:9" x14ac:dyDescent="0.25">
      <c r="A6599" t="s">
        <v>5717</v>
      </c>
      <c r="B6599" t="s">
        <v>13</v>
      </c>
      <c r="C6599">
        <v>21.23</v>
      </c>
      <c r="D6599">
        <v>21.27</v>
      </c>
      <c r="E6599" t="s">
        <v>17</v>
      </c>
      <c r="F6599">
        <v>25.91</v>
      </c>
      <c r="G6599">
        <v>23.98</v>
      </c>
      <c r="H6599" t="s">
        <v>17</v>
      </c>
      <c r="I6599" t="str">
        <f>"061185001319"</f>
        <v>061185001319</v>
      </c>
    </row>
    <row r="6600" spans="1:9" x14ac:dyDescent="0.25">
      <c r="A6600" t="s">
        <v>5718</v>
      </c>
      <c r="B6600" t="s">
        <v>13</v>
      </c>
      <c r="C6600">
        <v>17.600000000000001</v>
      </c>
      <c r="D6600">
        <v>18</v>
      </c>
      <c r="E6600" t="s">
        <v>17</v>
      </c>
      <c r="F6600">
        <v>22.33</v>
      </c>
      <c r="G6600">
        <v>22.56</v>
      </c>
      <c r="H6600" t="s">
        <v>17</v>
      </c>
      <c r="I6600" t="str">
        <f>"060001909276"</f>
        <v>060001909276</v>
      </c>
    </row>
    <row r="6601" spans="1:9" x14ac:dyDescent="0.25">
      <c r="A6601" t="s">
        <v>5719</v>
      </c>
      <c r="B6601" t="s">
        <v>13</v>
      </c>
      <c r="C6601">
        <v>27</v>
      </c>
      <c r="D6601">
        <v>26</v>
      </c>
      <c r="E6601" t="s">
        <v>17</v>
      </c>
      <c r="F6601">
        <v>29.22</v>
      </c>
      <c r="G6601">
        <v>29.46</v>
      </c>
      <c r="H6601" t="s">
        <v>17</v>
      </c>
      <c r="I6601" t="str">
        <f>"062025002439"</f>
        <v>062025002439</v>
      </c>
    </row>
    <row r="6602" spans="1:9" x14ac:dyDescent="0.25">
      <c r="A6602" t="s">
        <v>5720</v>
      </c>
      <c r="B6602" t="s">
        <v>13</v>
      </c>
      <c r="C6602">
        <v>28.8</v>
      </c>
      <c r="D6602">
        <v>29.1</v>
      </c>
      <c r="E6602" t="s">
        <v>17</v>
      </c>
      <c r="F6602">
        <v>20.69</v>
      </c>
      <c r="G6602">
        <v>20.52</v>
      </c>
      <c r="H6602" t="s">
        <v>17</v>
      </c>
      <c r="I6602" t="str">
        <f>"063680006238"</f>
        <v>063680006238</v>
      </c>
    </row>
    <row r="6603" spans="1:9" x14ac:dyDescent="0.25">
      <c r="A6603" t="s">
        <v>5721</v>
      </c>
      <c r="B6603" t="s">
        <v>13</v>
      </c>
      <c r="C6603">
        <v>30</v>
      </c>
      <c r="D6603">
        <v>39</v>
      </c>
      <c r="E6603" t="s">
        <v>17</v>
      </c>
      <c r="F6603">
        <v>30.3</v>
      </c>
      <c r="G6603">
        <v>24.46</v>
      </c>
      <c r="H6603" t="s">
        <v>17</v>
      </c>
      <c r="I6603" t="str">
        <f>"060002909507"</f>
        <v>060002909507</v>
      </c>
    </row>
    <row r="6604" spans="1:9" x14ac:dyDescent="0.25">
      <c r="A6604" t="s">
        <v>5722</v>
      </c>
      <c r="B6604" t="s">
        <v>13</v>
      </c>
      <c r="C6604">
        <v>85.55</v>
      </c>
      <c r="D6604">
        <v>83.55</v>
      </c>
      <c r="E6604" t="s">
        <v>17</v>
      </c>
      <c r="F6604">
        <v>26.29</v>
      </c>
      <c r="G6604">
        <v>25.82</v>
      </c>
      <c r="H6604" t="s">
        <v>17</v>
      </c>
      <c r="I6604" t="str">
        <f>"060002912289"</f>
        <v>060002912289</v>
      </c>
    </row>
    <row r="6605" spans="1:9" x14ac:dyDescent="0.25">
      <c r="A6605" t="s">
        <v>5723</v>
      </c>
      <c r="B6605" t="s">
        <v>13</v>
      </c>
      <c r="C6605">
        <v>86.82</v>
      </c>
      <c r="D6605">
        <v>89.81</v>
      </c>
      <c r="E6605" t="s">
        <v>17</v>
      </c>
      <c r="F6605">
        <v>26.65</v>
      </c>
      <c r="G6605">
        <v>25.9</v>
      </c>
      <c r="H6605" t="s">
        <v>17</v>
      </c>
      <c r="I6605" t="str">
        <f>"060002909685"</f>
        <v>060002909685</v>
      </c>
    </row>
    <row r="6606" spans="1:9" x14ac:dyDescent="0.25">
      <c r="A6606" t="s">
        <v>5724</v>
      </c>
      <c r="B6606" t="s">
        <v>13</v>
      </c>
      <c r="C6606">
        <v>18.37</v>
      </c>
      <c r="D6606">
        <v>20.399999999999999</v>
      </c>
      <c r="E6606" t="s">
        <v>17</v>
      </c>
      <c r="F6606">
        <v>21.34</v>
      </c>
      <c r="G6606">
        <v>21.23</v>
      </c>
      <c r="H6606" t="s">
        <v>17</v>
      </c>
      <c r="I6606" t="str">
        <f>"064125006829"</f>
        <v>064125006829</v>
      </c>
    </row>
    <row r="6607" spans="1:9" x14ac:dyDescent="0.25">
      <c r="A6607" t="s">
        <v>5725</v>
      </c>
      <c r="B6607" t="s">
        <v>13</v>
      </c>
      <c r="C6607">
        <v>31</v>
      </c>
      <c r="D6607">
        <v>29</v>
      </c>
      <c r="E6607" t="s">
        <v>17</v>
      </c>
      <c r="F6607">
        <v>21.39</v>
      </c>
      <c r="G6607">
        <v>21.34</v>
      </c>
      <c r="H6607" t="s">
        <v>17</v>
      </c>
      <c r="I6607" t="str">
        <f>"063357005180"</f>
        <v>063357005180</v>
      </c>
    </row>
    <row r="6608" spans="1:9" x14ac:dyDescent="0.25">
      <c r="A6608" t="s">
        <v>5726</v>
      </c>
      <c r="B6608" t="s">
        <v>13</v>
      </c>
      <c r="C6608">
        <v>28</v>
      </c>
      <c r="D6608">
        <v>28</v>
      </c>
      <c r="E6608" t="s">
        <v>17</v>
      </c>
      <c r="F6608">
        <v>28.25</v>
      </c>
      <c r="G6608">
        <v>27.89</v>
      </c>
      <c r="H6608" t="s">
        <v>17</v>
      </c>
      <c r="I6608" t="str">
        <f>"063417005373"</f>
        <v>063417005373</v>
      </c>
    </row>
    <row r="6609" spans="1:9" x14ac:dyDescent="0.25">
      <c r="A6609" t="s">
        <v>5727</v>
      </c>
      <c r="B6609" t="s">
        <v>13</v>
      </c>
      <c r="C6609">
        <v>8.5</v>
      </c>
      <c r="D6609">
        <v>8.66</v>
      </c>
      <c r="E6609" t="s">
        <v>17</v>
      </c>
      <c r="F6609">
        <v>27.76</v>
      </c>
      <c r="G6609">
        <v>23.21</v>
      </c>
      <c r="H6609" t="s">
        <v>17</v>
      </c>
      <c r="I6609" t="str">
        <f>"063432007689"</f>
        <v>063432007689</v>
      </c>
    </row>
    <row r="6610" spans="1:9" x14ac:dyDescent="0.25">
      <c r="A6610" t="s">
        <v>5728</v>
      </c>
      <c r="B6610" t="s">
        <v>13</v>
      </c>
      <c r="C6610" t="s">
        <v>17</v>
      </c>
      <c r="D6610" t="s">
        <v>17</v>
      </c>
      <c r="E6610" t="s">
        <v>17</v>
      </c>
      <c r="F6610" t="s">
        <v>17</v>
      </c>
      <c r="G6610" t="s">
        <v>17</v>
      </c>
      <c r="H6610" t="s">
        <v>17</v>
      </c>
      <c r="I6610" t="str">
        <f>"062628012773"</f>
        <v>062628012773</v>
      </c>
    </row>
    <row r="6611" spans="1:9" x14ac:dyDescent="0.25">
      <c r="A6611" t="s">
        <v>5729</v>
      </c>
      <c r="B6611" t="s">
        <v>13</v>
      </c>
      <c r="C6611">
        <v>22.3</v>
      </c>
      <c r="D6611">
        <v>22.14</v>
      </c>
      <c r="E6611" t="s">
        <v>17</v>
      </c>
      <c r="F6611">
        <v>28.34</v>
      </c>
      <c r="G6611">
        <v>27.91</v>
      </c>
      <c r="H6611" t="s">
        <v>17</v>
      </c>
      <c r="I6611" t="str">
        <f>"063237004996"</f>
        <v>063237004996</v>
      </c>
    </row>
    <row r="6612" spans="1:9" x14ac:dyDescent="0.25">
      <c r="A6612" t="s">
        <v>5730</v>
      </c>
      <c r="B6612" t="s">
        <v>13</v>
      </c>
      <c r="C6612">
        <v>28</v>
      </c>
      <c r="D6612">
        <v>26</v>
      </c>
      <c r="E6612" t="s">
        <v>17</v>
      </c>
      <c r="F6612">
        <v>29.61</v>
      </c>
      <c r="G6612">
        <v>32.04</v>
      </c>
      <c r="H6612" t="s">
        <v>17</v>
      </c>
      <c r="I6612" t="str">
        <f>"064015008758"</f>
        <v>064015008758</v>
      </c>
    </row>
    <row r="6613" spans="1:9" x14ac:dyDescent="0.25">
      <c r="A6613" t="s">
        <v>5731</v>
      </c>
      <c r="B6613" t="s">
        <v>13</v>
      </c>
      <c r="C6613">
        <v>38.299999999999997</v>
      </c>
      <c r="D6613">
        <v>37.61</v>
      </c>
      <c r="E6613" t="s">
        <v>17</v>
      </c>
      <c r="F6613">
        <v>22.72</v>
      </c>
      <c r="G6613">
        <v>21.96</v>
      </c>
      <c r="H6613" t="s">
        <v>17</v>
      </c>
      <c r="I6613" t="str">
        <f>"060363000312"</f>
        <v>060363000312</v>
      </c>
    </row>
    <row r="6614" spans="1:9" x14ac:dyDescent="0.25">
      <c r="A6614" t="s">
        <v>5732</v>
      </c>
      <c r="B6614" t="s">
        <v>13</v>
      </c>
      <c r="C6614">
        <v>25</v>
      </c>
      <c r="D6614">
        <v>26.05</v>
      </c>
      <c r="E6614" t="s">
        <v>17</v>
      </c>
      <c r="F6614">
        <v>26.84</v>
      </c>
      <c r="G6614">
        <v>27.41</v>
      </c>
      <c r="H6614" t="s">
        <v>17</v>
      </c>
      <c r="I6614" t="str">
        <f>"060243000136"</f>
        <v>060243000136</v>
      </c>
    </row>
    <row r="6615" spans="1:9" x14ac:dyDescent="0.25">
      <c r="A6615" t="s">
        <v>5733</v>
      </c>
      <c r="B6615" t="s">
        <v>13</v>
      </c>
      <c r="C6615">
        <v>28.5</v>
      </c>
      <c r="D6615">
        <v>30.5</v>
      </c>
      <c r="E6615" t="s">
        <v>17</v>
      </c>
      <c r="F6615">
        <v>25.68</v>
      </c>
      <c r="G6615">
        <v>24.56</v>
      </c>
      <c r="H6615" t="s">
        <v>17</v>
      </c>
      <c r="I6615" t="str">
        <f>"060579008487"</f>
        <v>060579008487</v>
      </c>
    </row>
    <row r="6616" spans="1:9" x14ac:dyDescent="0.25">
      <c r="A6616" t="s">
        <v>5734</v>
      </c>
      <c r="B6616" t="s">
        <v>13</v>
      </c>
      <c r="C6616">
        <v>17.5</v>
      </c>
      <c r="D6616">
        <v>18</v>
      </c>
      <c r="E6616" t="s">
        <v>17</v>
      </c>
      <c r="F6616">
        <v>26.69</v>
      </c>
      <c r="G6616">
        <v>26.89</v>
      </c>
      <c r="H6616" t="s">
        <v>17</v>
      </c>
      <c r="I6616" t="str">
        <f>"062085002504"</f>
        <v>062085002504</v>
      </c>
    </row>
    <row r="6617" spans="1:9" x14ac:dyDescent="0.25">
      <c r="A6617" t="s">
        <v>5735</v>
      </c>
      <c r="B6617" t="s">
        <v>13</v>
      </c>
      <c r="C6617" t="s">
        <v>14</v>
      </c>
      <c r="D6617" t="s">
        <v>17</v>
      </c>
      <c r="E6617" t="s">
        <v>17</v>
      </c>
      <c r="F6617" t="s">
        <v>14</v>
      </c>
      <c r="G6617" t="s">
        <v>17</v>
      </c>
      <c r="H6617" t="s">
        <v>17</v>
      </c>
      <c r="I6617" t="str">
        <f>"060005707739"</f>
        <v>060005707739</v>
      </c>
    </row>
    <row r="6618" spans="1:9" x14ac:dyDescent="0.25">
      <c r="A6618" t="s">
        <v>5735</v>
      </c>
      <c r="B6618" t="s">
        <v>13</v>
      </c>
      <c r="C6618" t="s">
        <v>17</v>
      </c>
      <c r="D6618" t="s">
        <v>14</v>
      </c>
      <c r="E6618" t="s">
        <v>14</v>
      </c>
      <c r="F6618" t="s">
        <v>17</v>
      </c>
      <c r="G6618" t="s">
        <v>14</v>
      </c>
      <c r="H6618" t="s">
        <v>14</v>
      </c>
      <c r="I6618" t="str">
        <f>"060142207739"</f>
        <v>060142207739</v>
      </c>
    </row>
    <row r="6619" spans="1:9" x14ac:dyDescent="0.25">
      <c r="A6619" t="s">
        <v>5736</v>
      </c>
      <c r="B6619" t="s">
        <v>13</v>
      </c>
      <c r="C6619">
        <v>23</v>
      </c>
      <c r="D6619">
        <v>21</v>
      </c>
      <c r="E6619" t="s">
        <v>17</v>
      </c>
      <c r="F6619">
        <v>19.52</v>
      </c>
      <c r="G6619">
        <v>21.29</v>
      </c>
      <c r="H6619" t="s">
        <v>17</v>
      </c>
      <c r="I6619" t="str">
        <f>"062271010838"</f>
        <v>062271010838</v>
      </c>
    </row>
    <row r="6620" spans="1:9" x14ac:dyDescent="0.25">
      <c r="A6620" t="s">
        <v>5737</v>
      </c>
      <c r="B6620" t="s">
        <v>13</v>
      </c>
      <c r="C6620">
        <v>13</v>
      </c>
      <c r="D6620">
        <v>14.5</v>
      </c>
      <c r="E6620" t="s">
        <v>17</v>
      </c>
      <c r="F6620">
        <v>20.77</v>
      </c>
      <c r="G6620">
        <v>17.59</v>
      </c>
      <c r="H6620" t="s">
        <v>17</v>
      </c>
      <c r="I6620" t="str">
        <f>"062271011333"</f>
        <v>062271011333</v>
      </c>
    </row>
    <row r="6621" spans="1:9" x14ac:dyDescent="0.25">
      <c r="A6621" t="s">
        <v>5738</v>
      </c>
      <c r="B6621" t="s">
        <v>13</v>
      </c>
      <c r="C6621">
        <v>21.86</v>
      </c>
      <c r="D6621">
        <v>23.36</v>
      </c>
      <c r="E6621" t="s">
        <v>17</v>
      </c>
      <c r="F6621">
        <v>28.73</v>
      </c>
      <c r="G6621">
        <v>27.95</v>
      </c>
      <c r="H6621" t="s">
        <v>17</v>
      </c>
      <c r="I6621" t="str">
        <f>"062088009559"</f>
        <v>062088009559</v>
      </c>
    </row>
    <row r="6622" spans="1:9" x14ac:dyDescent="0.25">
      <c r="A6622" t="s">
        <v>5739</v>
      </c>
      <c r="B6622" t="s">
        <v>13</v>
      </c>
      <c r="C6622">
        <v>15.31</v>
      </c>
      <c r="D6622">
        <v>15.58</v>
      </c>
      <c r="E6622" t="s">
        <v>17</v>
      </c>
      <c r="F6622">
        <v>28.41</v>
      </c>
      <c r="G6622">
        <v>27.21</v>
      </c>
      <c r="H6622" t="s">
        <v>17</v>
      </c>
      <c r="I6622" t="str">
        <f>"063237012561"</f>
        <v>063237012561</v>
      </c>
    </row>
    <row r="6623" spans="1:9" x14ac:dyDescent="0.25">
      <c r="A6623" t="s">
        <v>5740</v>
      </c>
      <c r="B6623" t="s">
        <v>13</v>
      </c>
      <c r="C6623">
        <v>7.4</v>
      </c>
      <c r="D6623">
        <v>7.4</v>
      </c>
      <c r="E6623" t="s">
        <v>17</v>
      </c>
      <c r="F6623">
        <v>15.54</v>
      </c>
      <c r="G6623">
        <v>20</v>
      </c>
      <c r="H6623" t="s">
        <v>17</v>
      </c>
      <c r="I6623" t="str">
        <f>"069102207574"</f>
        <v>069102207574</v>
      </c>
    </row>
    <row r="6624" spans="1:9" x14ac:dyDescent="0.25">
      <c r="A6624" t="s">
        <v>5741</v>
      </c>
      <c r="B6624" t="s">
        <v>13</v>
      </c>
      <c r="C6624">
        <v>1</v>
      </c>
      <c r="D6624">
        <v>1</v>
      </c>
      <c r="E6624" t="s">
        <v>17</v>
      </c>
      <c r="F6624">
        <v>21</v>
      </c>
      <c r="G6624">
        <v>11</v>
      </c>
      <c r="H6624" t="s">
        <v>17</v>
      </c>
      <c r="I6624" t="str">
        <f>"069102209235"</f>
        <v>069102209235</v>
      </c>
    </row>
    <row r="6625" spans="1:9" x14ac:dyDescent="0.25">
      <c r="A6625" t="s">
        <v>5742</v>
      </c>
      <c r="B6625" t="s">
        <v>13</v>
      </c>
      <c r="C6625" t="str">
        <f>"0.10"</f>
        <v>0.10</v>
      </c>
      <c r="D6625" t="str">
        <f>"0.10"</f>
        <v>0.10</v>
      </c>
      <c r="E6625" t="s">
        <v>17</v>
      </c>
      <c r="F6625">
        <v>10</v>
      </c>
      <c r="G6625">
        <v>30</v>
      </c>
      <c r="H6625" t="s">
        <v>17</v>
      </c>
      <c r="I6625" t="str">
        <f>"069102200721"</f>
        <v>069102200721</v>
      </c>
    </row>
    <row r="6626" spans="1:9" x14ac:dyDescent="0.25">
      <c r="A6626" t="s">
        <v>5743</v>
      </c>
      <c r="B6626" t="s">
        <v>13</v>
      </c>
      <c r="C6626" t="s">
        <v>17</v>
      </c>
      <c r="D6626" t="s">
        <v>17</v>
      </c>
      <c r="E6626" t="s">
        <v>17</v>
      </c>
      <c r="F6626" t="s">
        <v>17</v>
      </c>
      <c r="G6626" t="s">
        <v>17</v>
      </c>
      <c r="H6626" t="s">
        <v>17</v>
      </c>
      <c r="I6626" t="str">
        <f>"060008010978"</f>
        <v>060008010978</v>
      </c>
    </row>
    <row r="6627" spans="1:9" x14ac:dyDescent="0.25">
      <c r="A6627" t="s">
        <v>5744</v>
      </c>
      <c r="B6627" t="s">
        <v>13</v>
      </c>
      <c r="C6627">
        <v>83.11</v>
      </c>
      <c r="D6627">
        <v>85.6</v>
      </c>
      <c r="E6627" t="s">
        <v>17</v>
      </c>
      <c r="F6627">
        <v>23.86</v>
      </c>
      <c r="G6627">
        <v>24.11</v>
      </c>
      <c r="H6627" t="s">
        <v>17</v>
      </c>
      <c r="I6627" t="str">
        <f>"062664004022"</f>
        <v>062664004022</v>
      </c>
    </row>
    <row r="6628" spans="1:9" x14ac:dyDescent="0.25">
      <c r="A6628" t="s">
        <v>5745</v>
      </c>
      <c r="B6628" t="s">
        <v>13</v>
      </c>
      <c r="C6628">
        <v>16.100000000000001</v>
      </c>
      <c r="D6628">
        <v>14.83</v>
      </c>
      <c r="E6628" t="s">
        <v>17</v>
      </c>
      <c r="F6628">
        <v>25.59</v>
      </c>
      <c r="G6628">
        <v>28.39</v>
      </c>
      <c r="H6628" t="s">
        <v>17</v>
      </c>
      <c r="I6628" t="str">
        <f>"062664004023"</f>
        <v>062664004023</v>
      </c>
    </row>
    <row r="6629" spans="1:9" x14ac:dyDescent="0.25">
      <c r="A6629" t="s">
        <v>5746</v>
      </c>
      <c r="B6629" t="s">
        <v>13</v>
      </c>
      <c r="C6629" t="s">
        <v>17</v>
      </c>
      <c r="D6629" t="s">
        <v>17</v>
      </c>
      <c r="E6629" t="s">
        <v>17</v>
      </c>
      <c r="F6629" t="s">
        <v>17</v>
      </c>
      <c r="G6629" t="s">
        <v>17</v>
      </c>
      <c r="H6629" t="s">
        <v>17</v>
      </c>
      <c r="I6629" t="str">
        <f>"069102212072"</f>
        <v>069102212072</v>
      </c>
    </row>
    <row r="6630" spans="1:9" x14ac:dyDescent="0.25">
      <c r="A6630" t="s">
        <v>5747</v>
      </c>
      <c r="B6630" t="s">
        <v>13</v>
      </c>
      <c r="C6630">
        <v>24</v>
      </c>
      <c r="D6630">
        <v>24</v>
      </c>
      <c r="E6630" t="s">
        <v>17</v>
      </c>
      <c r="F6630">
        <v>20.5</v>
      </c>
      <c r="G6630">
        <v>19.829999999999998</v>
      </c>
      <c r="H6630" t="s">
        <v>17</v>
      </c>
      <c r="I6630" t="str">
        <f>"062271003208"</f>
        <v>062271003208</v>
      </c>
    </row>
    <row r="6631" spans="1:9" x14ac:dyDescent="0.25">
      <c r="A6631" t="s">
        <v>5748</v>
      </c>
      <c r="B6631" t="s">
        <v>13</v>
      </c>
      <c r="C6631">
        <v>9.5</v>
      </c>
      <c r="D6631">
        <v>8.1999999999999993</v>
      </c>
      <c r="E6631" t="s">
        <v>17</v>
      </c>
      <c r="F6631">
        <v>15.05</v>
      </c>
      <c r="G6631">
        <v>13.05</v>
      </c>
      <c r="H6631" t="s">
        <v>17</v>
      </c>
      <c r="I6631" t="str">
        <f>"062664011271"</f>
        <v>062664011271</v>
      </c>
    </row>
    <row r="6632" spans="1:9" x14ac:dyDescent="0.25">
      <c r="A6632" t="s">
        <v>5749</v>
      </c>
      <c r="B6632" t="s">
        <v>13</v>
      </c>
      <c r="C6632">
        <v>26.7</v>
      </c>
      <c r="D6632">
        <v>30.7</v>
      </c>
      <c r="E6632" t="s">
        <v>17</v>
      </c>
      <c r="F6632">
        <v>26.37</v>
      </c>
      <c r="G6632">
        <v>22.96</v>
      </c>
      <c r="H6632" t="s">
        <v>17</v>
      </c>
      <c r="I6632" t="str">
        <f>"062664004039"</f>
        <v>062664004039</v>
      </c>
    </row>
    <row r="6633" spans="1:9" x14ac:dyDescent="0.25">
      <c r="A6633" t="s">
        <v>5750</v>
      </c>
      <c r="B6633" t="s">
        <v>13</v>
      </c>
      <c r="C6633">
        <v>13</v>
      </c>
      <c r="D6633">
        <v>14</v>
      </c>
      <c r="E6633" t="s">
        <v>17</v>
      </c>
      <c r="F6633">
        <v>27.69</v>
      </c>
      <c r="G6633">
        <v>25.29</v>
      </c>
      <c r="H6633" t="s">
        <v>17</v>
      </c>
      <c r="I6633" t="str">
        <f>"062250002748"</f>
        <v>062250002748</v>
      </c>
    </row>
    <row r="6634" spans="1:9" x14ac:dyDescent="0.25">
      <c r="A6634" t="s">
        <v>5751</v>
      </c>
      <c r="B6634" t="s">
        <v>13</v>
      </c>
      <c r="C6634">
        <v>30</v>
      </c>
      <c r="D6634">
        <v>30.5</v>
      </c>
      <c r="E6634" t="s">
        <v>17</v>
      </c>
      <c r="F6634">
        <v>25.87</v>
      </c>
      <c r="G6634">
        <v>24.79</v>
      </c>
      <c r="H6634" t="s">
        <v>17</v>
      </c>
      <c r="I6634" t="str">
        <f>"060681000623"</f>
        <v>060681000623</v>
      </c>
    </row>
    <row r="6635" spans="1:9" x14ac:dyDescent="0.25">
      <c r="A6635" t="s">
        <v>5752</v>
      </c>
      <c r="B6635" t="s">
        <v>13</v>
      </c>
      <c r="C6635">
        <v>125.33</v>
      </c>
      <c r="D6635">
        <v>140.68</v>
      </c>
      <c r="E6635" t="s">
        <v>17</v>
      </c>
      <c r="F6635">
        <v>26.37</v>
      </c>
      <c r="G6635">
        <v>23.49</v>
      </c>
      <c r="H6635" t="s">
        <v>17</v>
      </c>
      <c r="I6635" t="str">
        <f>"062271003209"</f>
        <v>062271003209</v>
      </c>
    </row>
    <row r="6636" spans="1:9" x14ac:dyDescent="0.25">
      <c r="A6636" t="s">
        <v>5753</v>
      </c>
      <c r="B6636" t="s">
        <v>13</v>
      </c>
      <c r="C6636">
        <v>29.2</v>
      </c>
      <c r="D6636">
        <v>28.54</v>
      </c>
      <c r="E6636" t="s">
        <v>17</v>
      </c>
      <c r="F6636">
        <v>26.34</v>
      </c>
      <c r="G6636">
        <v>24.67</v>
      </c>
      <c r="H6636" t="s">
        <v>17</v>
      </c>
      <c r="I6636" t="str">
        <f>"063864006489"</f>
        <v>063864006489</v>
      </c>
    </row>
    <row r="6637" spans="1:9" x14ac:dyDescent="0.25">
      <c r="A6637" t="s">
        <v>5754</v>
      </c>
      <c r="B6637" t="s">
        <v>13</v>
      </c>
      <c r="C6637">
        <v>22.64</v>
      </c>
      <c r="D6637">
        <v>22.2</v>
      </c>
      <c r="E6637" t="s">
        <v>17</v>
      </c>
      <c r="F6637">
        <v>18.899999999999999</v>
      </c>
      <c r="G6637">
        <v>17.93</v>
      </c>
      <c r="H6637" t="s">
        <v>17</v>
      </c>
      <c r="I6637" t="str">
        <f>"062079012287"</f>
        <v>062079012287</v>
      </c>
    </row>
    <row r="6638" spans="1:9" x14ac:dyDescent="0.25">
      <c r="A6638" t="s">
        <v>5755</v>
      </c>
      <c r="B6638" t="s">
        <v>13</v>
      </c>
      <c r="C6638" t="str">
        <f>"0.50"</f>
        <v>0.50</v>
      </c>
      <c r="D6638" t="str">
        <f>"0.50"</f>
        <v>0.50</v>
      </c>
      <c r="E6638" t="s">
        <v>14</v>
      </c>
      <c r="F6638">
        <v>20</v>
      </c>
      <c r="G6638">
        <v>12</v>
      </c>
      <c r="H6638" t="s">
        <v>14</v>
      </c>
      <c r="I6638" t="str">
        <f>"062853012966"</f>
        <v>062853012966</v>
      </c>
    </row>
    <row r="6639" spans="1:9" x14ac:dyDescent="0.25">
      <c r="A6639" t="s">
        <v>5756</v>
      </c>
      <c r="B6639" t="s">
        <v>13</v>
      </c>
      <c r="C6639">
        <v>8.25</v>
      </c>
      <c r="D6639">
        <v>11.95</v>
      </c>
      <c r="E6639" t="s">
        <v>17</v>
      </c>
      <c r="F6639">
        <v>25.33</v>
      </c>
      <c r="G6639">
        <v>20</v>
      </c>
      <c r="H6639" t="s">
        <v>17</v>
      </c>
      <c r="I6639" t="str">
        <f>"060318012713"</f>
        <v>060318012713</v>
      </c>
    </row>
    <row r="6640" spans="1:9" x14ac:dyDescent="0.25">
      <c r="A6640" t="s">
        <v>5757</v>
      </c>
      <c r="B6640" t="s">
        <v>13</v>
      </c>
      <c r="C6640">
        <v>31</v>
      </c>
      <c r="D6640">
        <v>31</v>
      </c>
      <c r="E6640" t="s">
        <v>17</v>
      </c>
      <c r="F6640">
        <v>23.03</v>
      </c>
      <c r="G6640">
        <v>22.87</v>
      </c>
      <c r="H6640" t="s">
        <v>17</v>
      </c>
      <c r="I6640" t="str">
        <f>"063393005327"</f>
        <v>063393005327</v>
      </c>
    </row>
    <row r="6641" spans="1:9" x14ac:dyDescent="0.25">
      <c r="A6641" t="s">
        <v>5758</v>
      </c>
      <c r="B6641" t="s">
        <v>13</v>
      </c>
      <c r="C6641">
        <v>21.9</v>
      </c>
      <c r="D6641">
        <v>22.9</v>
      </c>
      <c r="E6641" t="s">
        <v>17</v>
      </c>
      <c r="F6641">
        <v>24.25</v>
      </c>
      <c r="G6641">
        <v>24.98</v>
      </c>
      <c r="H6641" t="s">
        <v>17</v>
      </c>
      <c r="I6641" t="str">
        <f>"061389005019"</f>
        <v>061389005019</v>
      </c>
    </row>
    <row r="6642" spans="1:9" x14ac:dyDescent="0.25">
      <c r="A6642" t="s">
        <v>5759</v>
      </c>
      <c r="B6642" t="s">
        <v>13</v>
      </c>
      <c r="C6642">
        <v>63.73</v>
      </c>
      <c r="D6642">
        <v>62.57</v>
      </c>
      <c r="E6642" t="s">
        <v>17</v>
      </c>
      <c r="F6642">
        <v>21.94</v>
      </c>
      <c r="G6642">
        <v>21.82</v>
      </c>
      <c r="H6642" t="s">
        <v>17</v>
      </c>
      <c r="I6642" t="str">
        <f>"060003607250"</f>
        <v>060003607250</v>
      </c>
    </row>
    <row r="6643" spans="1:9" x14ac:dyDescent="0.25">
      <c r="A6643" t="s">
        <v>5760</v>
      </c>
      <c r="B6643" t="s">
        <v>13</v>
      </c>
      <c r="C6643">
        <v>52.6</v>
      </c>
      <c r="D6643">
        <v>50.3</v>
      </c>
      <c r="E6643" t="s">
        <v>17</v>
      </c>
      <c r="F6643">
        <v>20.8</v>
      </c>
      <c r="G6643">
        <v>24.1</v>
      </c>
      <c r="H6643" t="s">
        <v>17</v>
      </c>
      <c r="I6643" t="str">
        <f>"060003603755"</f>
        <v>060003603755</v>
      </c>
    </row>
    <row r="6644" spans="1:9" x14ac:dyDescent="0.25">
      <c r="A6644" t="s">
        <v>5761</v>
      </c>
      <c r="B6644" t="s">
        <v>13</v>
      </c>
      <c r="C6644">
        <v>35.68</v>
      </c>
      <c r="D6644">
        <v>44.1</v>
      </c>
      <c r="E6644" t="s">
        <v>17</v>
      </c>
      <c r="F6644">
        <v>21.86</v>
      </c>
      <c r="G6644">
        <v>21.27</v>
      </c>
      <c r="H6644" t="s">
        <v>17</v>
      </c>
      <c r="I6644" t="str">
        <f>"060003608582"</f>
        <v>060003608582</v>
      </c>
    </row>
    <row r="6645" spans="1:9" x14ac:dyDescent="0.25">
      <c r="A6645" t="s">
        <v>5762</v>
      </c>
      <c r="B6645" t="s">
        <v>13</v>
      </c>
      <c r="C6645">
        <v>22.89</v>
      </c>
      <c r="D6645">
        <v>19.34</v>
      </c>
      <c r="E6645" t="s">
        <v>17</v>
      </c>
      <c r="F6645">
        <v>22.15</v>
      </c>
      <c r="G6645">
        <v>24.77</v>
      </c>
      <c r="H6645" t="s">
        <v>17</v>
      </c>
      <c r="I6645" t="str">
        <f>"060003611735"</f>
        <v>060003611735</v>
      </c>
    </row>
    <row r="6646" spans="1:9" x14ac:dyDescent="0.25">
      <c r="A6646" t="s">
        <v>5763</v>
      </c>
      <c r="B6646" t="s">
        <v>13</v>
      </c>
      <c r="C6646">
        <v>23</v>
      </c>
      <c r="D6646">
        <v>25.5</v>
      </c>
      <c r="E6646" t="s">
        <v>17</v>
      </c>
      <c r="F6646">
        <v>21.43</v>
      </c>
      <c r="G6646">
        <v>19.41</v>
      </c>
      <c r="H6646" t="s">
        <v>17</v>
      </c>
      <c r="I6646" t="str">
        <f>"060003612523"</f>
        <v>060003612523</v>
      </c>
    </row>
    <row r="6647" spans="1:9" x14ac:dyDescent="0.25">
      <c r="A6647" t="s">
        <v>5764</v>
      </c>
      <c r="B6647" t="s">
        <v>13</v>
      </c>
      <c r="C6647">
        <v>38</v>
      </c>
      <c r="D6647">
        <v>31.32</v>
      </c>
      <c r="E6647" t="s">
        <v>17</v>
      </c>
      <c r="F6647">
        <v>25.32</v>
      </c>
      <c r="G6647">
        <v>27.46</v>
      </c>
      <c r="H6647" t="s">
        <v>17</v>
      </c>
      <c r="I6647" t="str">
        <f>"060003608583"</f>
        <v>060003608583</v>
      </c>
    </row>
    <row r="6648" spans="1:9" x14ac:dyDescent="0.25">
      <c r="A6648" t="s">
        <v>5765</v>
      </c>
      <c r="B6648" t="s">
        <v>13</v>
      </c>
      <c r="C6648">
        <v>1.43</v>
      </c>
      <c r="D6648">
        <v>1.43</v>
      </c>
      <c r="E6648" t="s">
        <v>17</v>
      </c>
      <c r="F6648">
        <v>24.48</v>
      </c>
      <c r="G6648">
        <v>24.48</v>
      </c>
      <c r="H6648" t="s">
        <v>17</v>
      </c>
      <c r="I6648" t="str">
        <f>"062067002486"</f>
        <v>062067002486</v>
      </c>
    </row>
    <row r="6649" spans="1:9" x14ac:dyDescent="0.25">
      <c r="A6649" t="s">
        <v>5766</v>
      </c>
      <c r="B6649" t="s">
        <v>13</v>
      </c>
      <c r="C6649">
        <v>13.4</v>
      </c>
      <c r="D6649">
        <v>13</v>
      </c>
      <c r="E6649" t="s">
        <v>17</v>
      </c>
      <c r="F6649">
        <v>22.46</v>
      </c>
      <c r="G6649">
        <v>25.46</v>
      </c>
      <c r="H6649" t="s">
        <v>17</v>
      </c>
      <c r="I6649" t="str">
        <f>"061970002373"</f>
        <v>061970002373</v>
      </c>
    </row>
    <row r="6650" spans="1:9" x14ac:dyDescent="0.25">
      <c r="A6650" t="s">
        <v>5767</v>
      </c>
      <c r="B6650" t="s">
        <v>13</v>
      </c>
      <c r="C6650">
        <v>17.7</v>
      </c>
      <c r="D6650">
        <v>17.7</v>
      </c>
      <c r="E6650" t="s">
        <v>17</v>
      </c>
      <c r="F6650">
        <v>22.88</v>
      </c>
      <c r="G6650">
        <v>23.11</v>
      </c>
      <c r="H6650" t="s">
        <v>17</v>
      </c>
      <c r="I6650" t="str">
        <f>"061389011729"</f>
        <v>061389011729</v>
      </c>
    </row>
    <row r="6651" spans="1:9" x14ac:dyDescent="0.25">
      <c r="A6651" t="s">
        <v>5768</v>
      </c>
      <c r="B6651" t="s">
        <v>13</v>
      </c>
      <c r="C6651">
        <v>22.3</v>
      </c>
      <c r="D6651">
        <v>17.95</v>
      </c>
      <c r="E6651" t="s">
        <v>17</v>
      </c>
      <c r="F6651">
        <v>23.32</v>
      </c>
      <c r="G6651">
        <v>26.74</v>
      </c>
      <c r="H6651" t="s">
        <v>17</v>
      </c>
      <c r="I6651" t="str">
        <f>"060177012399"</f>
        <v>060177012399</v>
      </c>
    </row>
    <row r="6652" spans="1:9" x14ac:dyDescent="0.25">
      <c r="A6652" t="s">
        <v>5769</v>
      </c>
      <c r="B6652" t="s">
        <v>13</v>
      </c>
      <c r="C6652">
        <v>19.73</v>
      </c>
      <c r="D6652">
        <v>18.850000000000001</v>
      </c>
      <c r="E6652" t="s">
        <v>17</v>
      </c>
      <c r="F6652">
        <v>22</v>
      </c>
      <c r="G6652">
        <v>22.6</v>
      </c>
      <c r="H6652" t="s">
        <v>17</v>
      </c>
      <c r="I6652" t="str">
        <f>"060837000823"</f>
        <v>060837000823</v>
      </c>
    </row>
    <row r="6653" spans="1:9" x14ac:dyDescent="0.25">
      <c r="A6653" t="s">
        <v>5770</v>
      </c>
      <c r="B6653" t="s">
        <v>13</v>
      </c>
      <c r="C6653">
        <v>10.49</v>
      </c>
      <c r="D6653">
        <v>13.77</v>
      </c>
      <c r="E6653" t="s">
        <v>17</v>
      </c>
      <c r="F6653">
        <v>22.97</v>
      </c>
      <c r="G6653">
        <v>19.61</v>
      </c>
      <c r="H6653" t="s">
        <v>17</v>
      </c>
      <c r="I6653" t="str">
        <f>"062676004057"</f>
        <v>062676004057</v>
      </c>
    </row>
    <row r="6654" spans="1:9" x14ac:dyDescent="0.25">
      <c r="A6654" t="s">
        <v>5771</v>
      </c>
      <c r="B6654" t="s">
        <v>13</v>
      </c>
      <c r="C6654">
        <v>8.17</v>
      </c>
      <c r="D6654">
        <v>8.07</v>
      </c>
      <c r="E6654" t="s">
        <v>17</v>
      </c>
      <c r="F6654">
        <v>22.77</v>
      </c>
      <c r="G6654">
        <v>22.68</v>
      </c>
      <c r="H6654" t="s">
        <v>17</v>
      </c>
      <c r="I6654" t="str">
        <f>"062676009951"</f>
        <v>062676009951</v>
      </c>
    </row>
    <row r="6655" spans="1:9" x14ac:dyDescent="0.25">
      <c r="A6655" t="s">
        <v>5772</v>
      </c>
      <c r="B6655" t="s">
        <v>13</v>
      </c>
      <c r="C6655">
        <v>27.73</v>
      </c>
      <c r="D6655">
        <v>25.98</v>
      </c>
      <c r="E6655" t="s">
        <v>17</v>
      </c>
      <c r="F6655">
        <v>23.08</v>
      </c>
      <c r="G6655">
        <v>23.48</v>
      </c>
      <c r="H6655" t="s">
        <v>17</v>
      </c>
      <c r="I6655" t="str">
        <f>"063513005954"</f>
        <v>063513005954</v>
      </c>
    </row>
    <row r="6656" spans="1:9" x14ac:dyDescent="0.25">
      <c r="A6656" t="s">
        <v>5773</v>
      </c>
      <c r="B6656" t="s">
        <v>13</v>
      </c>
      <c r="C6656">
        <v>43.78</v>
      </c>
      <c r="D6656">
        <v>42.9</v>
      </c>
      <c r="E6656" t="s">
        <v>17</v>
      </c>
      <c r="F6656">
        <v>18.32</v>
      </c>
      <c r="G6656">
        <v>17.739999999999998</v>
      </c>
      <c r="H6656" t="s">
        <v>17</v>
      </c>
      <c r="I6656" t="str">
        <f>"062091002516"</f>
        <v>062091002516</v>
      </c>
    </row>
    <row r="6657" spans="1:9" x14ac:dyDescent="0.25">
      <c r="A6657" t="s">
        <v>5774</v>
      </c>
      <c r="B6657" t="s">
        <v>13</v>
      </c>
      <c r="C6657">
        <v>30.85</v>
      </c>
      <c r="D6657">
        <v>29.85</v>
      </c>
      <c r="E6657" t="s">
        <v>17</v>
      </c>
      <c r="F6657">
        <v>26</v>
      </c>
      <c r="G6657">
        <v>27.04</v>
      </c>
      <c r="H6657" t="s">
        <v>17</v>
      </c>
      <c r="I6657" t="str">
        <f>"062361008160"</f>
        <v>062361008160</v>
      </c>
    </row>
    <row r="6658" spans="1:9" x14ac:dyDescent="0.25">
      <c r="A6658" t="s">
        <v>5775</v>
      </c>
      <c r="B6658" t="s">
        <v>13</v>
      </c>
      <c r="C6658">
        <v>26.5</v>
      </c>
      <c r="D6658">
        <v>26.6</v>
      </c>
      <c r="E6658" t="s">
        <v>17</v>
      </c>
      <c r="F6658">
        <v>31.21</v>
      </c>
      <c r="G6658">
        <v>31.28</v>
      </c>
      <c r="H6658" t="s">
        <v>17</v>
      </c>
      <c r="I6658" t="str">
        <f>"061336007857"</f>
        <v>061336007857</v>
      </c>
    </row>
    <row r="6659" spans="1:9" x14ac:dyDescent="0.25">
      <c r="A6659" t="s">
        <v>5776</v>
      </c>
      <c r="B6659" t="s">
        <v>13</v>
      </c>
      <c r="C6659">
        <v>19</v>
      </c>
      <c r="D6659">
        <v>19</v>
      </c>
      <c r="E6659" t="s">
        <v>17</v>
      </c>
      <c r="F6659">
        <v>23.05</v>
      </c>
      <c r="G6659">
        <v>22.84</v>
      </c>
      <c r="H6659" t="s">
        <v>17</v>
      </c>
      <c r="I6659" t="str">
        <f>"060912010208"</f>
        <v>060912010208</v>
      </c>
    </row>
    <row r="6660" spans="1:9" x14ac:dyDescent="0.25">
      <c r="A6660" t="s">
        <v>5777</v>
      </c>
      <c r="B6660" t="s">
        <v>13</v>
      </c>
      <c r="C6660">
        <v>41.5</v>
      </c>
      <c r="D6660">
        <v>42.5</v>
      </c>
      <c r="E6660" t="s">
        <v>17</v>
      </c>
      <c r="F6660">
        <v>25.33</v>
      </c>
      <c r="G6660">
        <v>26.07</v>
      </c>
      <c r="H6660" t="s">
        <v>17</v>
      </c>
      <c r="I6660" t="str">
        <f>"062955004563"</f>
        <v>062955004563</v>
      </c>
    </row>
    <row r="6661" spans="1:9" x14ac:dyDescent="0.25">
      <c r="A6661" t="s">
        <v>5778</v>
      </c>
      <c r="B6661" t="s">
        <v>13</v>
      </c>
      <c r="C6661">
        <v>16.739999999999998</v>
      </c>
      <c r="D6661">
        <v>19.46</v>
      </c>
      <c r="E6661" t="s">
        <v>17</v>
      </c>
      <c r="F6661">
        <v>23.89</v>
      </c>
      <c r="G6661">
        <v>22.2</v>
      </c>
      <c r="H6661" t="s">
        <v>17</v>
      </c>
      <c r="I6661" t="str">
        <f>"063918006544"</f>
        <v>063918006544</v>
      </c>
    </row>
    <row r="6662" spans="1:9" x14ac:dyDescent="0.25">
      <c r="A6662" t="s">
        <v>5779</v>
      </c>
      <c r="B6662" t="s">
        <v>13</v>
      </c>
      <c r="C6662">
        <v>18</v>
      </c>
      <c r="D6662">
        <v>19</v>
      </c>
      <c r="E6662" t="s">
        <v>17</v>
      </c>
      <c r="F6662">
        <v>28.78</v>
      </c>
      <c r="G6662">
        <v>27.68</v>
      </c>
      <c r="H6662" t="s">
        <v>17</v>
      </c>
      <c r="I6662" t="str">
        <f>"060903000915"</f>
        <v>060903000915</v>
      </c>
    </row>
    <row r="6663" spans="1:9" x14ac:dyDescent="0.25">
      <c r="A6663" t="s">
        <v>5779</v>
      </c>
      <c r="B6663" t="s">
        <v>13</v>
      </c>
      <c r="C6663">
        <v>19</v>
      </c>
      <c r="D6663">
        <v>19</v>
      </c>
      <c r="E6663" t="s">
        <v>17</v>
      </c>
      <c r="F6663">
        <v>22.32</v>
      </c>
      <c r="G6663">
        <v>22.47</v>
      </c>
      <c r="H6663" t="s">
        <v>17</v>
      </c>
      <c r="I6663" t="str">
        <f>"061632502057"</f>
        <v>061632502057</v>
      </c>
    </row>
    <row r="6664" spans="1:9" x14ac:dyDescent="0.25">
      <c r="A6664" t="s">
        <v>5780</v>
      </c>
      <c r="B6664" t="s">
        <v>13</v>
      </c>
      <c r="C6664">
        <v>17.95</v>
      </c>
      <c r="D6664">
        <v>19.23</v>
      </c>
      <c r="E6664" t="s">
        <v>17</v>
      </c>
      <c r="F6664">
        <v>24.07</v>
      </c>
      <c r="G6664">
        <v>23.66</v>
      </c>
      <c r="H6664" t="s">
        <v>17</v>
      </c>
      <c r="I6664" t="str">
        <f>"061029001129"</f>
        <v>061029001129</v>
      </c>
    </row>
    <row r="6665" spans="1:9" x14ac:dyDescent="0.25">
      <c r="A6665" t="s">
        <v>5781</v>
      </c>
      <c r="B6665" t="s">
        <v>13</v>
      </c>
      <c r="C6665">
        <v>19.329999999999998</v>
      </c>
      <c r="D6665">
        <v>17.63</v>
      </c>
      <c r="E6665" t="s">
        <v>17</v>
      </c>
      <c r="F6665">
        <v>17.899999999999999</v>
      </c>
      <c r="G6665">
        <v>17.239999999999998</v>
      </c>
      <c r="H6665" t="s">
        <v>17</v>
      </c>
      <c r="I6665" t="str">
        <f>"060453000418"</f>
        <v>060453000418</v>
      </c>
    </row>
    <row r="6666" spans="1:9" x14ac:dyDescent="0.25">
      <c r="A6666" t="s">
        <v>5782</v>
      </c>
      <c r="B6666" t="s">
        <v>13</v>
      </c>
      <c r="C6666">
        <v>24</v>
      </c>
      <c r="D6666">
        <v>23</v>
      </c>
      <c r="E6666" t="s">
        <v>17</v>
      </c>
      <c r="F6666">
        <v>23.71</v>
      </c>
      <c r="G6666">
        <v>24.48</v>
      </c>
      <c r="H6666" t="s">
        <v>17</v>
      </c>
      <c r="I6666" t="str">
        <f>"062271003210"</f>
        <v>062271003210</v>
      </c>
    </row>
    <row r="6667" spans="1:9" x14ac:dyDescent="0.25">
      <c r="A6667" t="s">
        <v>5783</v>
      </c>
      <c r="B6667" t="s">
        <v>13</v>
      </c>
      <c r="C6667">
        <v>34</v>
      </c>
      <c r="D6667">
        <v>32</v>
      </c>
      <c r="E6667" t="s">
        <v>17</v>
      </c>
      <c r="F6667">
        <v>26.88</v>
      </c>
      <c r="G6667">
        <v>26.97</v>
      </c>
      <c r="H6667" t="s">
        <v>17</v>
      </c>
      <c r="I6667" t="str">
        <f>"063738006321"</f>
        <v>063738006321</v>
      </c>
    </row>
    <row r="6668" spans="1:9" x14ac:dyDescent="0.25">
      <c r="A6668" t="s">
        <v>5784</v>
      </c>
      <c r="B6668" t="s">
        <v>13</v>
      </c>
      <c r="C6668">
        <v>31.33</v>
      </c>
      <c r="D6668">
        <v>34</v>
      </c>
      <c r="E6668" t="s">
        <v>17</v>
      </c>
      <c r="F6668">
        <v>22.82</v>
      </c>
      <c r="G6668">
        <v>22.74</v>
      </c>
      <c r="H6668" t="s">
        <v>17</v>
      </c>
      <c r="I6668" t="str">
        <f>"062769004184"</f>
        <v>062769004184</v>
      </c>
    </row>
    <row r="6669" spans="1:9" x14ac:dyDescent="0.25">
      <c r="A6669" t="s">
        <v>5785</v>
      </c>
      <c r="B6669" t="s">
        <v>13</v>
      </c>
      <c r="C6669" t="s">
        <v>14</v>
      </c>
      <c r="D6669" t="s">
        <v>17</v>
      </c>
      <c r="E6669" t="s">
        <v>17</v>
      </c>
      <c r="F6669" t="s">
        <v>17</v>
      </c>
      <c r="G6669" t="s">
        <v>17</v>
      </c>
      <c r="H6669" t="s">
        <v>17</v>
      </c>
      <c r="I6669" t="str">
        <f>"062688012606"</f>
        <v>062688012606</v>
      </c>
    </row>
    <row r="6670" spans="1:9" x14ac:dyDescent="0.25">
      <c r="A6670" t="s">
        <v>5786</v>
      </c>
      <c r="B6670" t="s">
        <v>13</v>
      </c>
      <c r="C6670">
        <v>22</v>
      </c>
      <c r="D6670">
        <v>20.5</v>
      </c>
      <c r="E6670" t="s">
        <v>17</v>
      </c>
      <c r="F6670">
        <v>22.77</v>
      </c>
      <c r="G6670">
        <v>25.32</v>
      </c>
      <c r="H6670" t="s">
        <v>17</v>
      </c>
      <c r="I6670" t="str">
        <f>"062271003211"</f>
        <v>062271003211</v>
      </c>
    </row>
    <row r="6671" spans="1:9" x14ac:dyDescent="0.25">
      <c r="A6671" t="s">
        <v>5787</v>
      </c>
      <c r="B6671" t="s">
        <v>13</v>
      </c>
      <c r="C6671">
        <v>3</v>
      </c>
      <c r="D6671">
        <v>2.6</v>
      </c>
      <c r="E6671" t="s">
        <v>17</v>
      </c>
      <c r="F6671">
        <v>17.670000000000002</v>
      </c>
      <c r="G6671">
        <v>22.69</v>
      </c>
      <c r="H6671" t="s">
        <v>17</v>
      </c>
      <c r="I6671" t="str">
        <f>"062682003350"</f>
        <v>062682003350</v>
      </c>
    </row>
    <row r="6672" spans="1:9" x14ac:dyDescent="0.25">
      <c r="A6672" t="s">
        <v>5788</v>
      </c>
      <c r="B6672" t="s">
        <v>13</v>
      </c>
      <c r="C6672" t="s">
        <v>17</v>
      </c>
      <c r="D6672" t="s">
        <v>14</v>
      </c>
      <c r="E6672" t="s">
        <v>14</v>
      </c>
      <c r="F6672" t="s">
        <v>17</v>
      </c>
      <c r="G6672" t="s">
        <v>14</v>
      </c>
      <c r="H6672" t="s">
        <v>14</v>
      </c>
      <c r="I6672" t="str">
        <f>"062682013542"</f>
        <v>062682013542</v>
      </c>
    </row>
    <row r="6673" spans="1:9" x14ac:dyDescent="0.25">
      <c r="A6673" t="s">
        <v>5789</v>
      </c>
      <c r="B6673" t="s">
        <v>13</v>
      </c>
      <c r="C6673">
        <v>13.85</v>
      </c>
      <c r="D6673">
        <v>14.5</v>
      </c>
      <c r="E6673" t="s">
        <v>17</v>
      </c>
      <c r="F6673">
        <v>22.6</v>
      </c>
      <c r="G6673">
        <v>20.48</v>
      </c>
      <c r="H6673" t="s">
        <v>17</v>
      </c>
      <c r="I6673" t="str">
        <f>"069102311940"</f>
        <v>069102311940</v>
      </c>
    </row>
    <row r="6674" spans="1:9" x14ac:dyDescent="0.25">
      <c r="A6674" t="s">
        <v>5790</v>
      </c>
      <c r="B6674" t="s">
        <v>13</v>
      </c>
      <c r="C6674" t="s">
        <v>14</v>
      </c>
      <c r="D6674">
        <v>4.2</v>
      </c>
      <c r="E6674" t="s">
        <v>17</v>
      </c>
      <c r="F6674" t="s">
        <v>17</v>
      </c>
      <c r="G6674">
        <v>2.14</v>
      </c>
      <c r="H6674" t="s">
        <v>17</v>
      </c>
      <c r="I6674" t="str">
        <f>"069102311890"</f>
        <v>069102311890</v>
      </c>
    </row>
    <row r="6675" spans="1:9" x14ac:dyDescent="0.25">
      <c r="A6675" t="s">
        <v>5791</v>
      </c>
      <c r="B6675" t="s">
        <v>13</v>
      </c>
      <c r="C6675">
        <v>8</v>
      </c>
      <c r="D6675">
        <v>12.8</v>
      </c>
      <c r="E6675" t="s">
        <v>17</v>
      </c>
      <c r="F6675">
        <v>5.13</v>
      </c>
      <c r="G6675">
        <v>4.0599999999999996</v>
      </c>
      <c r="H6675" t="s">
        <v>17</v>
      </c>
      <c r="I6675" t="str">
        <f>"069102307155"</f>
        <v>069102307155</v>
      </c>
    </row>
    <row r="6676" spans="1:9" x14ac:dyDescent="0.25">
      <c r="A6676" t="s">
        <v>5792</v>
      </c>
      <c r="B6676" t="s">
        <v>13</v>
      </c>
      <c r="C6676">
        <v>82.1</v>
      </c>
      <c r="D6676">
        <v>86.75</v>
      </c>
      <c r="E6676" t="s">
        <v>17</v>
      </c>
      <c r="F6676">
        <v>24.95</v>
      </c>
      <c r="G6676">
        <v>24.06</v>
      </c>
      <c r="H6676" t="s">
        <v>17</v>
      </c>
      <c r="I6676" t="str">
        <f>"062688004064"</f>
        <v>062688004064</v>
      </c>
    </row>
    <row r="6677" spans="1:9" x14ac:dyDescent="0.25">
      <c r="A6677" t="s">
        <v>5793</v>
      </c>
      <c r="B6677" t="s">
        <v>13</v>
      </c>
      <c r="C6677">
        <v>30</v>
      </c>
      <c r="D6677">
        <v>35</v>
      </c>
      <c r="E6677" t="s">
        <v>17</v>
      </c>
      <c r="F6677">
        <v>21.23</v>
      </c>
      <c r="G6677">
        <v>19.940000000000001</v>
      </c>
      <c r="H6677" t="s">
        <v>17</v>
      </c>
      <c r="I6677" t="str">
        <f>"062271003212"</f>
        <v>062271003212</v>
      </c>
    </row>
    <row r="6678" spans="1:9" x14ac:dyDescent="0.25">
      <c r="A6678" t="s">
        <v>5794</v>
      </c>
      <c r="B6678" t="s">
        <v>13</v>
      </c>
      <c r="C6678" t="s">
        <v>14</v>
      </c>
      <c r="D6678" t="s">
        <v>14</v>
      </c>
      <c r="E6678" t="s">
        <v>17</v>
      </c>
      <c r="F6678" t="s">
        <v>14</v>
      </c>
      <c r="G6678" t="s">
        <v>14</v>
      </c>
      <c r="H6678" t="s">
        <v>17</v>
      </c>
      <c r="I6678" t="str">
        <f>"062706010406"</f>
        <v>062706010406</v>
      </c>
    </row>
    <row r="6679" spans="1:9" x14ac:dyDescent="0.25">
      <c r="A6679" t="s">
        <v>5795</v>
      </c>
      <c r="B6679" t="s">
        <v>13</v>
      </c>
      <c r="C6679">
        <v>30.01</v>
      </c>
      <c r="D6679">
        <v>31.1</v>
      </c>
      <c r="E6679" t="s">
        <v>17</v>
      </c>
      <c r="F6679">
        <v>22.86</v>
      </c>
      <c r="G6679">
        <v>15.88</v>
      </c>
      <c r="H6679" t="s">
        <v>17</v>
      </c>
      <c r="I6679" t="str">
        <f>"063729006309"</f>
        <v>063729006309</v>
      </c>
    </row>
    <row r="6680" spans="1:9" x14ac:dyDescent="0.25">
      <c r="A6680" t="s">
        <v>5796</v>
      </c>
      <c r="B6680" t="s">
        <v>13</v>
      </c>
      <c r="C6680">
        <v>16</v>
      </c>
      <c r="D6680">
        <v>22.9</v>
      </c>
      <c r="E6680" t="s">
        <v>17</v>
      </c>
      <c r="F6680">
        <v>27.06</v>
      </c>
      <c r="G6680">
        <v>21.92</v>
      </c>
      <c r="H6680" t="s">
        <v>17</v>
      </c>
      <c r="I6680" t="str">
        <f>"062250008507"</f>
        <v>062250008507</v>
      </c>
    </row>
    <row r="6681" spans="1:9" x14ac:dyDescent="0.25">
      <c r="A6681" t="s">
        <v>5797</v>
      </c>
      <c r="B6681" t="s">
        <v>13</v>
      </c>
      <c r="C6681">
        <v>8.2899999999999991</v>
      </c>
      <c r="D6681">
        <v>8.1199999999999992</v>
      </c>
      <c r="E6681" t="s">
        <v>17</v>
      </c>
      <c r="F6681">
        <v>34.020000000000003</v>
      </c>
      <c r="G6681">
        <v>34.11</v>
      </c>
      <c r="H6681" t="s">
        <v>17</v>
      </c>
      <c r="I6681" t="str">
        <f>"063183012460"</f>
        <v>063183012460</v>
      </c>
    </row>
    <row r="6682" spans="1:9" x14ac:dyDescent="0.25">
      <c r="A6682" t="s">
        <v>5798</v>
      </c>
      <c r="B6682" t="s">
        <v>13</v>
      </c>
      <c r="C6682" t="s">
        <v>14</v>
      </c>
      <c r="D6682" t="s">
        <v>14</v>
      </c>
      <c r="E6682" t="s">
        <v>17</v>
      </c>
      <c r="F6682" t="s">
        <v>14</v>
      </c>
      <c r="G6682" t="s">
        <v>14</v>
      </c>
      <c r="H6682" t="s">
        <v>17</v>
      </c>
      <c r="I6682" t="str">
        <f>"062409012291"</f>
        <v>062409012291</v>
      </c>
    </row>
    <row r="6683" spans="1:9" x14ac:dyDescent="0.25">
      <c r="A6683" t="s">
        <v>5799</v>
      </c>
      <c r="B6683" t="s">
        <v>13</v>
      </c>
      <c r="C6683">
        <v>25</v>
      </c>
      <c r="D6683">
        <v>25</v>
      </c>
      <c r="E6683" t="s">
        <v>17</v>
      </c>
      <c r="F6683">
        <v>28.72</v>
      </c>
      <c r="G6683" t="s">
        <v>17</v>
      </c>
      <c r="H6683" t="s">
        <v>17</v>
      </c>
      <c r="I6683" t="str">
        <f>"062271010840"</f>
        <v>062271010840</v>
      </c>
    </row>
    <row r="6684" spans="1:9" x14ac:dyDescent="0.25">
      <c r="A6684" t="s">
        <v>5800</v>
      </c>
      <c r="B6684" t="s">
        <v>13</v>
      </c>
      <c r="C6684">
        <v>16</v>
      </c>
      <c r="D6684">
        <v>12</v>
      </c>
      <c r="E6684" t="s">
        <v>17</v>
      </c>
      <c r="F6684">
        <v>22.38</v>
      </c>
      <c r="G6684" t="s">
        <v>17</v>
      </c>
      <c r="H6684" t="s">
        <v>17</v>
      </c>
      <c r="I6684" t="str">
        <f>"062271012456"</f>
        <v>062271012456</v>
      </c>
    </row>
    <row r="6685" spans="1:9" x14ac:dyDescent="0.25">
      <c r="A6685" t="s">
        <v>5801</v>
      </c>
      <c r="B6685" t="s">
        <v>13</v>
      </c>
      <c r="C6685" t="s">
        <v>14</v>
      </c>
      <c r="D6685">
        <v>1.5</v>
      </c>
      <c r="E6685" t="s">
        <v>17</v>
      </c>
      <c r="F6685" t="s">
        <v>17</v>
      </c>
      <c r="G6685">
        <v>8</v>
      </c>
      <c r="H6685" t="s">
        <v>17</v>
      </c>
      <c r="I6685" t="str">
        <f>"062691012050"</f>
        <v>062691012050</v>
      </c>
    </row>
    <row r="6686" spans="1:9" x14ac:dyDescent="0.25">
      <c r="A6686" t="s">
        <v>5802</v>
      </c>
      <c r="B6686" t="s">
        <v>13</v>
      </c>
      <c r="C6686">
        <v>22</v>
      </c>
      <c r="D6686">
        <v>21.8</v>
      </c>
      <c r="E6686" t="s">
        <v>17</v>
      </c>
      <c r="F6686">
        <v>25.59</v>
      </c>
      <c r="G6686">
        <v>25.92</v>
      </c>
      <c r="H6686" t="s">
        <v>17</v>
      </c>
      <c r="I6686" t="str">
        <f>"062361003584"</f>
        <v>062361003584</v>
      </c>
    </row>
    <row r="6687" spans="1:9" x14ac:dyDescent="0.25">
      <c r="A6687" t="s">
        <v>5803</v>
      </c>
      <c r="B6687" t="s">
        <v>13</v>
      </c>
      <c r="C6687">
        <v>17</v>
      </c>
      <c r="D6687">
        <v>15</v>
      </c>
      <c r="E6687" t="s">
        <v>17</v>
      </c>
      <c r="F6687">
        <v>22.76</v>
      </c>
      <c r="G6687">
        <v>21.27</v>
      </c>
      <c r="H6687" t="s">
        <v>17</v>
      </c>
      <c r="I6687" t="str">
        <f>"062271011630"</f>
        <v>062271011630</v>
      </c>
    </row>
    <row r="6688" spans="1:9" x14ac:dyDescent="0.25">
      <c r="A6688" t="s">
        <v>5804</v>
      </c>
      <c r="B6688" t="s">
        <v>13</v>
      </c>
      <c r="C6688">
        <v>15</v>
      </c>
      <c r="D6688">
        <v>16</v>
      </c>
      <c r="E6688" t="s">
        <v>17</v>
      </c>
      <c r="F6688">
        <v>19.87</v>
      </c>
      <c r="G6688">
        <v>18.559999999999999</v>
      </c>
      <c r="H6688" t="s">
        <v>17</v>
      </c>
      <c r="I6688" t="str">
        <f>"062805004274"</f>
        <v>062805004274</v>
      </c>
    </row>
    <row r="6689" spans="1:9" x14ac:dyDescent="0.25">
      <c r="A6689" t="s">
        <v>5805</v>
      </c>
      <c r="B6689" t="s">
        <v>13</v>
      </c>
      <c r="C6689">
        <v>10</v>
      </c>
      <c r="D6689">
        <v>13</v>
      </c>
      <c r="E6689" t="s">
        <v>17</v>
      </c>
      <c r="F6689">
        <v>21.6</v>
      </c>
      <c r="G6689">
        <v>14.77</v>
      </c>
      <c r="H6689" t="s">
        <v>17</v>
      </c>
      <c r="I6689" t="str">
        <f>"062697004075"</f>
        <v>062697004075</v>
      </c>
    </row>
    <row r="6690" spans="1:9" x14ac:dyDescent="0.25">
      <c r="A6690" t="s">
        <v>5806</v>
      </c>
      <c r="B6690" t="s">
        <v>13</v>
      </c>
      <c r="C6690">
        <v>4.2</v>
      </c>
      <c r="D6690">
        <v>6.13</v>
      </c>
      <c r="E6690" t="s">
        <v>17</v>
      </c>
      <c r="F6690">
        <v>21.9</v>
      </c>
      <c r="G6690">
        <v>14.03</v>
      </c>
      <c r="H6690" t="s">
        <v>17</v>
      </c>
      <c r="I6690" t="str">
        <f>"060384000352"</f>
        <v>060384000352</v>
      </c>
    </row>
    <row r="6691" spans="1:9" x14ac:dyDescent="0.25">
      <c r="A6691" t="s">
        <v>5807</v>
      </c>
      <c r="B6691" t="s">
        <v>13</v>
      </c>
      <c r="C6691">
        <v>2</v>
      </c>
      <c r="D6691">
        <v>2</v>
      </c>
      <c r="E6691" t="s">
        <v>17</v>
      </c>
      <c r="F6691">
        <v>22</v>
      </c>
      <c r="G6691">
        <v>14.5</v>
      </c>
      <c r="H6691" t="s">
        <v>17</v>
      </c>
      <c r="I6691" t="str">
        <f>"064256004658"</f>
        <v>064256004658</v>
      </c>
    </row>
    <row r="6692" spans="1:9" x14ac:dyDescent="0.25">
      <c r="A6692" t="s">
        <v>5808</v>
      </c>
      <c r="B6692" t="s">
        <v>13</v>
      </c>
      <c r="C6692">
        <v>11</v>
      </c>
      <c r="D6692">
        <v>9.33</v>
      </c>
      <c r="E6692" t="s">
        <v>17</v>
      </c>
      <c r="F6692">
        <v>20.18</v>
      </c>
      <c r="G6692">
        <v>23.04</v>
      </c>
      <c r="H6692" t="s">
        <v>17</v>
      </c>
      <c r="I6692" t="str">
        <f>"062703012204"</f>
        <v>062703012204</v>
      </c>
    </row>
    <row r="6693" spans="1:9" x14ac:dyDescent="0.25">
      <c r="A6693" t="s">
        <v>5809</v>
      </c>
      <c r="B6693" t="s">
        <v>13</v>
      </c>
      <c r="C6693">
        <v>1</v>
      </c>
      <c r="D6693">
        <v>1</v>
      </c>
      <c r="E6693" t="s">
        <v>17</v>
      </c>
      <c r="F6693">
        <v>16</v>
      </c>
      <c r="G6693">
        <v>28</v>
      </c>
      <c r="H6693" t="s">
        <v>17</v>
      </c>
      <c r="I6693" t="str">
        <f>"062703004076"</f>
        <v>062703004076</v>
      </c>
    </row>
    <row r="6694" spans="1:9" x14ac:dyDescent="0.25">
      <c r="A6694" t="s">
        <v>5810</v>
      </c>
      <c r="B6694" t="s">
        <v>13</v>
      </c>
      <c r="C6694">
        <v>13.5</v>
      </c>
      <c r="D6694">
        <v>14</v>
      </c>
      <c r="E6694" t="s">
        <v>17</v>
      </c>
      <c r="F6694">
        <v>28.96</v>
      </c>
      <c r="G6694">
        <v>29.21</v>
      </c>
      <c r="H6694" t="s">
        <v>17</v>
      </c>
      <c r="I6694" t="str">
        <f>"061209001354"</f>
        <v>061209001354</v>
      </c>
    </row>
    <row r="6695" spans="1:9" x14ac:dyDescent="0.25">
      <c r="A6695" t="s">
        <v>5811</v>
      </c>
      <c r="B6695" t="s">
        <v>13</v>
      </c>
      <c r="C6695">
        <v>12.5</v>
      </c>
      <c r="D6695">
        <v>14.5</v>
      </c>
      <c r="E6695" t="s">
        <v>17</v>
      </c>
      <c r="F6695">
        <v>24</v>
      </c>
      <c r="G6695">
        <v>19.86</v>
      </c>
      <c r="H6695" t="s">
        <v>17</v>
      </c>
      <c r="I6695" t="str">
        <f>"062271012324"</f>
        <v>062271012324</v>
      </c>
    </row>
    <row r="6696" spans="1:9" x14ac:dyDescent="0.25">
      <c r="A6696" t="s">
        <v>5812</v>
      </c>
      <c r="B6696" t="s">
        <v>13</v>
      </c>
      <c r="C6696">
        <v>7.95</v>
      </c>
      <c r="D6696">
        <v>8</v>
      </c>
      <c r="E6696" t="s">
        <v>17</v>
      </c>
      <c r="F6696">
        <v>22.77</v>
      </c>
      <c r="G6696">
        <v>30.25</v>
      </c>
      <c r="H6696" t="s">
        <v>17</v>
      </c>
      <c r="I6696" t="str">
        <f>"061455007962"</f>
        <v>061455007962</v>
      </c>
    </row>
    <row r="6697" spans="1:9" x14ac:dyDescent="0.25">
      <c r="A6697" t="s">
        <v>5813</v>
      </c>
      <c r="B6697" t="s">
        <v>13</v>
      </c>
      <c r="C6697">
        <v>19</v>
      </c>
      <c r="D6697">
        <v>21</v>
      </c>
      <c r="E6697" t="s">
        <v>17</v>
      </c>
      <c r="F6697">
        <v>25.11</v>
      </c>
      <c r="G6697">
        <v>24.33</v>
      </c>
      <c r="H6697" t="s">
        <v>17</v>
      </c>
      <c r="I6697" t="str">
        <f>"062271012253"</f>
        <v>062271012253</v>
      </c>
    </row>
    <row r="6698" spans="1:9" x14ac:dyDescent="0.25">
      <c r="A6698" t="s">
        <v>5814</v>
      </c>
      <c r="B6698" t="s">
        <v>13</v>
      </c>
      <c r="C6698">
        <v>17</v>
      </c>
      <c r="D6698">
        <v>17</v>
      </c>
      <c r="E6698" t="s">
        <v>17</v>
      </c>
      <c r="F6698">
        <v>30.59</v>
      </c>
      <c r="G6698">
        <v>30.18</v>
      </c>
      <c r="H6698" t="s">
        <v>17</v>
      </c>
      <c r="I6698" t="str">
        <f>"063579010971"</f>
        <v>063579010971</v>
      </c>
    </row>
    <row r="6699" spans="1:9" x14ac:dyDescent="0.25">
      <c r="A6699" t="s">
        <v>5815</v>
      </c>
      <c r="B6699" t="s">
        <v>13</v>
      </c>
      <c r="C6699">
        <v>22.5</v>
      </c>
      <c r="D6699">
        <v>24</v>
      </c>
      <c r="E6699" t="s">
        <v>17</v>
      </c>
      <c r="F6699">
        <v>23.91</v>
      </c>
      <c r="G6699">
        <v>23.5</v>
      </c>
      <c r="H6699" t="s">
        <v>17</v>
      </c>
      <c r="I6699" t="str">
        <f>"062769004179"</f>
        <v>062769004179</v>
      </c>
    </row>
    <row r="6700" spans="1:9" x14ac:dyDescent="0.25">
      <c r="A6700" t="s">
        <v>5816</v>
      </c>
      <c r="B6700" t="s">
        <v>13</v>
      </c>
      <c r="C6700">
        <v>4.5</v>
      </c>
      <c r="D6700">
        <v>4.5</v>
      </c>
      <c r="E6700" t="s">
        <v>17</v>
      </c>
      <c r="F6700">
        <v>7.11</v>
      </c>
      <c r="G6700">
        <v>12.44</v>
      </c>
      <c r="H6700" t="s">
        <v>17</v>
      </c>
      <c r="I6700" t="str">
        <f>"062949007436"</f>
        <v>062949007436</v>
      </c>
    </row>
    <row r="6701" spans="1:9" x14ac:dyDescent="0.25">
      <c r="A6701" t="s">
        <v>5817</v>
      </c>
      <c r="B6701" t="s">
        <v>13</v>
      </c>
      <c r="C6701">
        <v>3</v>
      </c>
      <c r="D6701" t="s">
        <v>17</v>
      </c>
      <c r="E6701" t="s">
        <v>14</v>
      </c>
      <c r="F6701">
        <v>17.329999999999998</v>
      </c>
      <c r="G6701" t="s">
        <v>17</v>
      </c>
      <c r="H6701" t="s">
        <v>14</v>
      </c>
      <c r="I6701" t="str">
        <f>"069100713018"</f>
        <v>069100713018</v>
      </c>
    </row>
    <row r="6702" spans="1:9" x14ac:dyDescent="0.25">
      <c r="A6702" t="s">
        <v>5818</v>
      </c>
      <c r="B6702" t="s">
        <v>13</v>
      </c>
      <c r="C6702">
        <v>11</v>
      </c>
      <c r="D6702">
        <v>14</v>
      </c>
      <c r="E6702" t="s">
        <v>17</v>
      </c>
      <c r="F6702">
        <v>27.64</v>
      </c>
      <c r="G6702">
        <v>21.71</v>
      </c>
      <c r="H6702" t="s">
        <v>17</v>
      </c>
      <c r="I6702" t="str">
        <f>"063384011196"</f>
        <v>063384011196</v>
      </c>
    </row>
    <row r="6703" spans="1:9" x14ac:dyDescent="0.25">
      <c r="A6703" t="s">
        <v>5818</v>
      </c>
      <c r="B6703" t="s">
        <v>13</v>
      </c>
      <c r="C6703">
        <v>16.100000000000001</v>
      </c>
      <c r="D6703">
        <v>15.8</v>
      </c>
      <c r="E6703" t="s">
        <v>17</v>
      </c>
      <c r="F6703">
        <v>24.53</v>
      </c>
      <c r="G6703">
        <v>24.24</v>
      </c>
      <c r="H6703" t="s">
        <v>17</v>
      </c>
      <c r="I6703" t="str">
        <f>"062664006081"</f>
        <v>062664006081</v>
      </c>
    </row>
    <row r="6704" spans="1:9" x14ac:dyDescent="0.25">
      <c r="A6704" t="s">
        <v>5819</v>
      </c>
      <c r="B6704" t="s">
        <v>13</v>
      </c>
      <c r="C6704">
        <v>25</v>
      </c>
      <c r="D6704">
        <v>26</v>
      </c>
      <c r="E6704" t="s">
        <v>17</v>
      </c>
      <c r="F6704">
        <v>21.84</v>
      </c>
      <c r="G6704">
        <v>19.309999999999999</v>
      </c>
      <c r="H6704" t="s">
        <v>17</v>
      </c>
      <c r="I6704" t="str">
        <f>"064065006714"</f>
        <v>064065006714</v>
      </c>
    </row>
    <row r="6705" spans="1:9" x14ac:dyDescent="0.25">
      <c r="A6705" t="s">
        <v>5820</v>
      </c>
      <c r="B6705" t="s">
        <v>13</v>
      </c>
      <c r="C6705">
        <v>13</v>
      </c>
      <c r="D6705">
        <v>11</v>
      </c>
      <c r="E6705" t="s">
        <v>17</v>
      </c>
      <c r="F6705">
        <v>18</v>
      </c>
      <c r="G6705">
        <v>21.82</v>
      </c>
      <c r="H6705" t="s">
        <v>17</v>
      </c>
      <c r="I6705" t="str">
        <f>"063441005652"</f>
        <v>063441005652</v>
      </c>
    </row>
    <row r="6706" spans="1:9" x14ac:dyDescent="0.25">
      <c r="A6706" t="s">
        <v>5821</v>
      </c>
      <c r="B6706" t="s">
        <v>13</v>
      </c>
      <c r="C6706">
        <v>10.9</v>
      </c>
      <c r="D6706">
        <v>11.2</v>
      </c>
      <c r="E6706" t="s">
        <v>17</v>
      </c>
      <c r="F6706">
        <v>14.4</v>
      </c>
      <c r="G6706">
        <v>15.09</v>
      </c>
      <c r="H6706" t="s">
        <v>17</v>
      </c>
      <c r="I6706" t="str">
        <f>"063543006053"</f>
        <v>063543006053</v>
      </c>
    </row>
    <row r="6707" spans="1:9" x14ac:dyDescent="0.25">
      <c r="A6707" t="s">
        <v>5822</v>
      </c>
      <c r="B6707" t="s">
        <v>13</v>
      </c>
      <c r="C6707">
        <v>8</v>
      </c>
      <c r="D6707">
        <v>8.5</v>
      </c>
      <c r="E6707" t="s">
        <v>17</v>
      </c>
      <c r="F6707">
        <v>16.88</v>
      </c>
      <c r="G6707">
        <v>4.71</v>
      </c>
      <c r="H6707" t="s">
        <v>17</v>
      </c>
      <c r="I6707" t="str">
        <f>"062271011631"</f>
        <v>062271011631</v>
      </c>
    </row>
    <row r="6708" spans="1:9" x14ac:dyDescent="0.25">
      <c r="A6708" t="s">
        <v>5823</v>
      </c>
      <c r="B6708" t="s">
        <v>13</v>
      </c>
      <c r="C6708">
        <v>8.4</v>
      </c>
      <c r="D6708">
        <v>8.1199999999999992</v>
      </c>
      <c r="E6708" t="s">
        <v>17</v>
      </c>
      <c r="F6708">
        <v>18.93</v>
      </c>
      <c r="G6708">
        <v>20.440000000000001</v>
      </c>
      <c r="H6708" t="s">
        <v>17</v>
      </c>
      <c r="I6708" t="str">
        <f>"062361011776"</f>
        <v>062361011776</v>
      </c>
    </row>
    <row r="6709" spans="1:9" x14ac:dyDescent="0.25">
      <c r="A6709" t="s">
        <v>5824</v>
      </c>
      <c r="B6709" t="s">
        <v>13</v>
      </c>
      <c r="C6709">
        <v>12</v>
      </c>
      <c r="D6709">
        <v>13.8</v>
      </c>
      <c r="E6709" t="s">
        <v>17</v>
      </c>
      <c r="F6709">
        <v>24.67</v>
      </c>
      <c r="G6709">
        <v>22.17</v>
      </c>
      <c r="H6709" t="s">
        <v>17</v>
      </c>
      <c r="I6709" t="str">
        <f>"063417012466"</f>
        <v>063417012466</v>
      </c>
    </row>
    <row r="6710" spans="1:9" x14ac:dyDescent="0.25">
      <c r="A6710" t="s">
        <v>5825</v>
      </c>
      <c r="B6710" t="s">
        <v>13</v>
      </c>
      <c r="C6710">
        <v>43.59</v>
      </c>
      <c r="D6710">
        <v>43.34</v>
      </c>
      <c r="E6710" t="s">
        <v>17</v>
      </c>
      <c r="F6710">
        <v>22.99</v>
      </c>
      <c r="G6710">
        <v>22.45</v>
      </c>
      <c r="H6710" t="s">
        <v>17</v>
      </c>
      <c r="I6710" t="str">
        <f>"062088005860"</f>
        <v>062088005860</v>
      </c>
    </row>
    <row r="6711" spans="1:9" x14ac:dyDescent="0.25">
      <c r="A6711" t="s">
        <v>5826</v>
      </c>
      <c r="B6711" t="s">
        <v>13</v>
      </c>
      <c r="C6711">
        <v>22</v>
      </c>
      <c r="D6711">
        <v>14.5</v>
      </c>
      <c r="E6711" t="s">
        <v>17</v>
      </c>
      <c r="F6711">
        <v>26.05</v>
      </c>
      <c r="G6711">
        <v>23.31</v>
      </c>
      <c r="H6711" t="s">
        <v>17</v>
      </c>
      <c r="I6711" t="str">
        <f>"060013411208"</f>
        <v>060013411208</v>
      </c>
    </row>
    <row r="6712" spans="1:9" x14ac:dyDescent="0.25">
      <c r="A6712" t="s">
        <v>5827</v>
      </c>
      <c r="B6712" t="s">
        <v>13</v>
      </c>
      <c r="C6712">
        <v>37.64</v>
      </c>
      <c r="D6712">
        <v>33.700000000000003</v>
      </c>
      <c r="E6712" t="s">
        <v>17</v>
      </c>
      <c r="F6712">
        <v>23.99</v>
      </c>
      <c r="G6712">
        <v>28.72</v>
      </c>
      <c r="H6712" t="s">
        <v>17</v>
      </c>
      <c r="I6712" t="str">
        <f>"062706007796"</f>
        <v>062706007796</v>
      </c>
    </row>
    <row r="6713" spans="1:9" x14ac:dyDescent="0.25">
      <c r="A6713" t="s">
        <v>5828</v>
      </c>
      <c r="B6713" t="s">
        <v>13</v>
      </c>
      <c r="C6713">
        <v>78.599999999999994</v>
      </c>
      <c r="D6713">
        <v>75.2</v>
      </c>
      <c r="E6713" t="s">
        <v>17</v>
      </c>
      <c r="F6713">
        <v>24.83</v>
      </c>
      <c r="G6713">
        <v>25.59</v>
      </c>
      <c r="H6713" t="s">
        <v>17</v>
      </c>
      <c r="I6713" t="str">
        <f>"062706004085"</f>
        <v>062706004085</v>
      </c>
    </row>
    <row r="6714" spans="1:9" x14ac:dyDescent="0.25">
      <c r="A6714" t="s">
        <v>5829</v>
      </c>
      <c r="B6714" t="s">
        <v>13</v>
      </c>
      <c r="C6714">
        <v>7.8</v>
      </c>
      <c r="D6714">
        <v>7</v>
      </c>
      <c r="E6714" t="s">
        <v>17</v>
      </c>
      <c r="F6714">
        <v>17.05</v>
      </c>
      <c r="G6714">
        <v>21.71</v>
      </c>
      <c r="H6714" t="s">
        <v>17</v>
      </c>
      <c r="I6714" t="str">
        <f>"063682007255"</f>
        <v>063682007255</v>
      </c>
    </row>
    <row r="6715" spans="1:9" x14ac:dyDescent="0.25">
      <c r="A6715" t="s">
        <v>5830</v>
      </c>
      <c r="B6715" t="s">
        <v>13</v>
      </c>
      <c r="C6715">
        <v>102.32</v>
      </c>
      <c r="D6715">
        <v>103.01</v>
      </c>
      <c r="E6715" t="s">
        <v>17</v>
      </c>
      <c r="F6715">
        <v>25.4</v>
      </c>
      <c r="G6715">
        <v>24.85</v>
      </c>
      <c r="H6715" t="s">
        <v>17</v>
      </c>
      <c r="I6715" t="str">
        <f>"060964001020"</f>
        <v>060964001020</v>
      </c>
    </row>
    <row r="6716" spans="1:9" x14ac:dyDescent="0.25">
      <c r="A6716" t="s">
        <v>5831</v>
      </c>
      <c r="B6716" t="s">
        <v>13</v>
      </c>
      <c r="C6716">
        <v>9.35</v>
      </c>
      <c r="D6716">
        <v>9.3699999999999992</v>
      </c>
      <c r="E6716" t="s">
        <v>17</v>
      </c>
      <c r="F6716">
        <v>23.64</v>
      </c>
      <c r="G6716">
        <v>20.81</v>
      </c>
      <c r="H6716" t="s">
        <v>17</v>
      </c>
      <c r="I6716" t="str">
        <f>"062712011001"</f>
        <v>062712011001</v>
      </c>
    </row>
    <row r="6717" spans="1:9" x14ac:dyDescent="0.25">
      <c r="A6717" t="s">
        <v>5832</v>
      </c>
      <c r="B6717" t="s">
        <v>13</v>
      </c>
      <c r="C6717">
        <v>8.85</v>
      </c>
      <c r="D6717">
        <v>9.27</v>
      </c>
      <c r="E6717" t="s">
        <v>17</v>
      </c>
      <c r="F6717">
        <v>19.440000000000001</v>
      </c>
      <c r="G6717">
        <v>18.989999999999998</v>
      </c>
      <c r="H6717" t="s">
        <v>17</v>
      </c>
      <c r="I6717" t="str">
        <f>"062712004093"</f>
        <v>062712004093</v>
      </c>
    </row>
    <row r="6718" spans="1:9" x14ac:dyDescent="0.25">
      <c r="A6718" t="s">
        <v>5832</v>
      </c>
      <c r="B6718" t="s">
        <v>13</v>
      </c>
      <c r="C6718">
        <v>19</v>
      </c>
      <c r="D6718">
        <v>17</v>
      </c>
      <c r="E6718" t="s">
        <v>17</v>
      </c>
      <c r="F6718">
        <v>22.11</v>
      </c>
      <c r="G6718">
        <v>22.41</v>
      </c>
      <c r="H6718" t="s">
        <v>17</v>
      </c>
      <c r="I6718" t="str">
        <f>"062271008026"</f>
        <v>062271008026</v>
      </c>
    </row>
    <row r="6719" spans="1:9" x14ac:dyDescent="0.25">
      <c r="A6719" t="s">
        <v>5833</v>
      </c>
      <c r="B6719" t="s">
        <v>13</v>
      </c>
      <c r="C6719" t="s">
        <v>17</v>
      </c>
      <c r="D6719" t="s">
        <v>14</v>
      </c>
      <c r="E6719" t="s">
        <v>14</v>
      </c>
      <c r="F6719" t="s">
        <v>17</v>
      </c>
      <c r="G6719" t="s">
        <v>14</v>
      </c>
      <c r="H6719" t="s">
        <v>14</v>
      </c>
      <c r="I6719" t="str">
        <f>"062712013129"</f>
        <v>062712013129</v>
      </c>
    </row>
    <row r="6720" spans="1:9" x14ac:dyDescent="0.25">
      <c r="A6720" t="s">
        <v>5834</v>
      </c>
      <c r="B6720" t="s">
        <v>13</v>
      </c>
      <c r="C6720">
        <v>37.35</v>
      </c>
      <c r="D6720">
        <v>36.74</v>
      </c>
      <c r="E6720" t="s">
        <v>17</v>
      </c>
      <c r="F6720">
        <v>26.08</v>
      </c>
      <c r="G6720">
        <v>25.23</v>
      </c>
      <c r="H6720" t="s">
        <v>17</v>
      </c>
      <c r="I6720" t="str">
        <f>"062250002749"</f>
        <v>062250002749</v>
      </c>
    </row>
    <row r="6721" spans="1:9" x14ac:dyDescent="0.25">
      <c r="A6721" t="s">
        <v>5835</v>
      </c>
      <c r="B6721" t="s">
        <v>13</v>
      </c>
      <c r="C6721" t="s">
        <v>14</v>
      </c>
      <c r="D6721" t="s">
        <v>14</v>
      </c>
      <c r="E6721" t="s">
        <v>17</v>
      </c>
      <c r="F6721" t="s">
        <v>14</v>
      </c>
      <c r="G6721" t="s">
        <v>14</v>
      </c>
      <c r="H6721" t="s">
        <v>17</v>
      </c>
      <c r="I6721" t="str">
        <f>"063994009000"</f>
        <v>063994009000</v>
      </c>
    </row>
    <row r="6722" spans="1:9" x14ac:dyDescent="0.25">
      <c r="A6722" t="s">
        <v>5836</v>
      </c>
      <c r="B6722" t="s">
        <v>13</v>
      </c>
      <c r="C6722">
        <v>28.5</v>
      </c>
      <c r="D6722">
        <v>28.45</v>
      </c>
      <c r="E6722" t="s">
        <v>17</v>
      </c>
      <c r="F6722">
        <v>24.11</v>
      </c>
      <c r="G6722">
        <v>23.2</v>
      </c>
      <c r="H6722" t="s">
        <v>17</v>
      </c>
      <c r="I6722" t="str">
        <f>"062718004095"</f>
        <v>062718004095</v>
      </c>
    </row>
    <row r="6723" spans="1:9" x14ac:dyDescent="0.25">
      <c r="A6723" t="s">
        <v>5837</v>
      </c>
      <c r="B6723" t="s">
        <v>13</v>
      </c>
      <c r="C6723">
        <v>49.3</v>
      </c>
      <c r="D6723">
        <v>55.95</v>
      </c>
      <c r="E6723" t="s">
        <v>17</v>
      </c>
      <c r="F6723">
        <v>26.9</v>
      </c>
      <c r="G6723">
        <v>25.45</v>
      </c>
      <c r="H6723" t="s">
        <v>17</v>
      </c>
      <c r="I6723" t="str">
        <f>"060744007270"</f>
        <v>060744007270</v>
      </c>
    </row>
    <row r="6724" spans="1:9" x14ac:dyDescent="0.25">
      <c r="A6724" t="s">
        <v>5838</v>
      </c>
      <c r="B6724" t="s">
        <v>13</v>
      </c>
      <c r="C6724">
        <v>22</v>
      </c>
      <c r="D6724">
        <v>22</v>
      </c>
      <c r="E6724" t="s">
        <v>17</v>
      </c>
      <c r="F6724">
        <v>22.59</v>
      </c>
      <c r="G6724">
        <v>24.09</v>
      </c>
      <c r="H6724" t="s">
        <v>17</v>
      </c>
      <c r="I6724" t="str">
        <f>"061488001866"</f>
        <v>061488001866</v>
      </c>
    </row>
    <row r="6725" spans="1:9" x14ac:dyDescent="0.25">
      <c r="A6725" t="s">
        <v>5839</v>
      </c>
      <c r="B6725" t="s">
        <v>13</v>
      </c>
      <c r="C6725">
        <v>17</v>
      </c>
      <c r="D6725">
        <v>16</v>
      </c>
      <c r="E6725" t="s">
        <v>17</v>
      </c>
      <c r="F6725">
        <v>25.24</v>
      </c>
      <c r="G6725">
        <v>25.06</v>
      </c>
      <c r="H6725" t="s">
        <v>17</v>
      </c>
      <c r="I6725" t="str">
        <f>"061422001630"</f>
        <v>061422001630</v>
      </c>
    </row>
    <row r="6726" spans="1:9" x14ac:dyDescent="0.25">
      <c r="A6726" t="s">
        <v>5840</v>
      </c>
      <c r="B6726" t="s">
        <v>13</v>
      </c>
      <c r="C6726">
        <v>29.05</v>
      </c>
      <c r="D6726">
        <v>28.88</v>
      </c>
      <c r="E6726" t="s">
        <v>17</v>
      </c>
      <c r="F6726">
        <v>27.37</v>
      </c>
      <c r="G6726">
        <v>27.42</v>
      </c>
      <c r="H6726" t="s">
        <v>17</v>
      </c>
      <c r="I6726" t="str">
        <f>"060846000845"</f>
        <v>060846000845</v>
      </c>
    </row>
    <row r="6727" spans="1:9" x14ac:dyDescent="0.25">
      <c r="A6727" t="s">
        <v>5841</v>
      </c>
      <c r="B6727" t="s">
        <v>13</v>
      </c>
      <c r="C6727" t="str">
        <f>"0.16"</f>
        <v>0.16</v>
      </c>
      <c r="D6727" t="str">
        <f>"0.90"</f>
        <v>0.90</v>
      </c>
      <c r="E6727" t="s">
        <v>17</v>
      </c>
      <c r="F6727">
        <v>106.25</v>
      </c>
      <c r="G6727">
        <v>23.33</v>
      </c>
      <c r="H6727" t="s">
        <v>17</v>
      </c>
      <c r="I6727" t="str">
        <f>"062720006764"</f>
        <v>062720006764</v>
      </c>
    </row>
    <row r="6728" spans="1:9" x14ac:dyDescent="0.25">
      <c r="A6728" t="s">
        <v>5842</v>
      </c>
      <c r="B6728" t="s">
        <v>13</v>
      </c>
      <c r="C6728">
        <v>23</v>
      </c>
      <c r="D6728">
        <v>22</v>
      </c>
      <c r="E6728" t="s">
        <v>17</v>
      </c>
      <c r="F6728">
        <v>27.39</v>
      </c>
      <c r="G6728">
        <v>27</v>
      </c>
      <c r="H6728" t="s">
        <v>17</v>
      </c>
      <c r="I6728" t="str">
        <f>"063417005374"</f>
        <v>063417005374</v>
      </c>
    </row>
    <row r="6729" spans="1:9" x14ac:dyDescent="0.25">
      <c r="A6729" t="s">
        <v>5843</v>
      </c>
      <c r="B6729" t="s">
        <v>13</v>
      </c>
      <c r="C6729">
        <v>26</v>
      </c>
      <c r="D6729">
        <v>29.6</v>
      </c>
      <c r="E6729" t="s">
        <v>17</v>
      </c>
      <c r="F6729">
        <v>23.73</v>
      </c>
      <c r="G6729">
        <v>21.69</v>
      </c>
      <c r="H6729" t="s">
        <v>17</v>
      </c>
      <c r="I6729" t="str">
        <f>"062724008544"</f>
        <v>062724008544</v>
      </c>
    </row>
    <row r="6730" spans="1:9" x14ac:dyDescent="0.25">
      <c r="A6730" t="s">
        <v>5844</v>
      </c>
      <c r="B6730" t="s">
        <v>13</v>
      </c>
      <c r="C6730">
        <v>23</v>
      </c>
      <c r="D6730">
        <v>21</v>
      </c>
      <c r="E6730" t="s">
        <v>17</v>
      </c>
      <c r="F6730">
        <v>21.65</v>
      </c>
      <c r="G6730">
        <v>22.52</v>
      </c>
      <c r="H6730" t="s">
        <v>17</v>
      </c>
      <c r="I6730" t="str">
        <f>"062724004123"</f>
        <v>062724004123</v>
      </c>
    </row>
    <row r="6731" spans="1:9" x14ac:dyDescent="0.25">
      <c r="A6731" t="s">
        <v>5845</v>
      </c>
      <c r="B6731" t="s">
        <v>13</v>
      </c>
      <c r="C6731">
        <v>86.63</v>
      </c>
      <c r="D6731">
        <v>89.55</v>
      </c>
      <c r="E6731" t="s">
        <v>17</v>
      </c>
      <c r="F6731">
        <v>27.66</v>
      </c>
      <c r="G6731">
        <v>28</v>
      </c>
      <c r="H6731" t="s">
        <v>17</v>
      </c>
      <c r="I6731" t="str">
        <f>"062724004124"</f>
        <v>062724004124</v>
      </c>
    </row>
    <row r="6732" spans="1:9" x14ac:dyDescent="0.25">
      <c r="A6732" t="s">
        <v>5846</v>
      </c>
      <c r="B6732" t="s">
        <v>13</v>
      </c>
      <c r="C6732">
        <v>26</v>
      </c>
      <c r="D6732">
        <v>26.8</v>
      </c>
      <c r="E6732" t="s">
        <v>17</v>
      </c>
      <c r="F6732">
        <v>25.08</v>
      </c>
      <c r="G6732">
        <v>23.13</v>
      </c>
      <c r="H6732" t="s">
        <v>17</v>
      </c>
      <c r="I6732" t="str">
        <f>"062724004125"</f>
        <v>062724004125</v>
      </c>
    </row>
    <row r="6733" spans="1:9" x14ac:dyDescent="0.25">
      <c r="A6733" t="s">
        <v>5847</v>
      </c>
      <c r="B6733" t="s">
        <v>13</v>
      </c>
      <c r="C6733">
        <v>26</v>
      </c>
      <c r="D6733">
        <v>25.5</v>
      </c>
      <c r="E6733" t="s">
        <v>17</v>
      </c>
      <c r="F6733">
        <v>22.31</v>
      </c>
      <c r="G6733">
        <v>23.02</v>
      </c>
      <c r="H6733" t="s">
        <v>17</v>
      </c>
      <c r="I6733" t="str">
        <f>"061632502058"</f>
        <v>061632502058</v>
      </c>
    </row>
    <row r="6734" spans="1:9" x14ac:dyDescent="0.25">
      <c r="A6734" t="s">
        <v>5848</v>
      </c>
      <c r="B6734" t="s">
        <v>13</v>
      </c>
      <c r="C6734">
        <v>1.1000000000000001</v>
      </c>
      <c r="D6734" t="s">
        <v>17</v>
      </c>
      <c r="E6734" t="s">
        <v>14</v>
      </c>
      <c r="F6734">
        <v>4.55</v>
      </c>
      <c r="G6734" t="s">
        <v>17</v>
      </c>
      <c r="H6734" t="s">
        <v>14</v>
      </c>
      <c r="I6734" t="str">
        <f>"062772013036"</f>
        <v>062772013036</v>
      </c>
    </row>
    <row r="6735" spans="1:9" x14ac:dyDescent="0.25">
      <c r="A6735" t="s">
        <v>5849</v>
      </c>
      <c r="B6735" t="s">
        <v>13</v>
      </c>
      <c r="C6735">
        <v>3</v>
      </c>
      <c r="D6735">
        <v>3</v>
      </c>
      <c r="E6735" t="s">
        <v>17</v>
      </c>
      <c r="F6735">
        <v>15.33</v>
      </c>
      <c r="G6735">
        <v>13.33</v>
      </c>
      <c r="H6735" t="s">
        <v>17</v>
      </c>
      <c r="I6735" t="str">
        <f>"062730004135"</f>
        <v>062730004135</v>
      </c>
    </row>
    <row r="6736" spans="1:9" x14ac:dyDescent="0.25">
      <c r="A6736" t="s">
        <v>5850</v>
      </c>
      <c r="B6736" t="s">
        <v>13</v>
      </c>
      <c r="C6736">
        <v>22</v>
      </c>
      <c r="D6736">
        <v>22.2</v>
      </c>
      <c r="E6736" t="s">
        <v>17</v>
      </c>
      <c r="F6736">
        <v>30</v>
      </c>
      <c r="G6736">
        <v>27.75</v>
      </c>
      <c r="H6736" t="s">
        <v>17</v>
      </c>
      <c r="I6736" t="str">
        <f>"063384005269"</f>
        <v>063384005269</v>
      </c>
    </row>
    <row r="6737" spans="1:9" x14ac:dyDescent="0.25">
      <c r="A6737" t="s">
        <v>5851</v>
      </c>
      <c r="B6737" t="s">
        <v>13</v>
      </c>
      <c r="C6737">
        <v>27.95</v>
      </c>
      <c r="D6737">
        <v>31.55</v>
      </c>
      <c r="E6737" t="s">
        <v>17</v>
      </c>
      <c r="F6737">
        <v>26.23</v>
      </c>
      <c r="G6737">
        <v>24.91</v>
      </c>
      <c r="H6737" t="s">
        <v>17</v>
      </c>
      <c r="I6737" t="str">
        <f>"062825010645"</f>
        <v>062825010645</v>
      </c>
    </row>
    <row r="6738" spans="1:9" x14ac:dyDescent="0.25">
      <c r="A6738" t="s">
        <v>5852</v>
      </c>
      <c r="B6738" t="s">
        <v>13</v>
      </c>
      <c r="C6738">
        <v>33.659999999999997</v>
      </c>
      <c r="D6738">
        <v>34.130000000000003</v>
      </c>
      <c r="E6738" t="s">
        <v>17</v>
      </c>
      <c r="F6738">
        <v>23.83</v>
      </c>
      <c r="G6738">
        <v>22.47</v>
      </c>
      <c r="H6738" t="s">
        <v>17</v>
      </c>
      <c r="I6738" t="str">
        <f>"061473001798"</f>
        <v>061473001798</v>
      </c>
    </row>
    <row r="6739" spans="1:9" x14ac:dyDescent="0.25">
      <c r="A6739" t="s">
        <v>5853</v>
      </c>
      <c r="B6739" t="s">
        <v>13</v>
      </c>
      <c r="C6739">
        <v>30</v>
      </c>
      <c r="D6739">
        <v>36</v>
      </c>
      <c r="E6739" t="s">
        <v>17</v>
      </c>
      <c r="F6739">
        <v>27.23</v>
      </c>
      <c r="G6739">
        <v>23.53</v>
      </c>
      <c r="H6739" t="s">
        <v>17</v>
      </c>
      <c r="I6739" t="str">
        <f>"060002809684"</f>
        <v>060002809684</v>
      </c>
    </row>
    <row r="6740" spans="1:9" x14ac:dyDescent="0.25">
      <c r="A6740" t="s">
        <v>5854</v>
      </c>
      <c r="B6740" t="s">
        <v>13</v>
      </c>
      <c r="C6740">
        <v>2</v>
      </c>
      <c r="D6740">
        <v>2.5</v>
      </c>
      <c r="E6740" t="s">
        <v>17</v>
      </c>
      <c r="F6740">
        <v>10</v>
      </c>
      <c r="G6740">
        <v>9.1999999999999993</v>
      </c>
      <c r="H6740" t="s">
        <v>17</v>
      </c>
      <c r="I6740" t="str">
        <f>"061288011755"</f>
        <v>061288011755</v>
      </c>
    </row>
    <row r="6741" spans="1:9" x14ac:dyDescent="0.25">
      <c r="A6741" t="s">
        <v>5855</v>
      </c>
      <c r="B6741" t="s">
        <v>13</v>
      </c>
      <c r="C6741">
        <v>26.55</v>
      </c>
      <c r="D6741">
        <v>28.83</v>
      </c>
      <c r="E6741" t="s">
        <v>17</v>
      </c>
      <c r="F6741">
        <v>24.86</v>
      </c>
      <c r="G6741">
        <v>23.79</v>
      </c>
      <c r="H6741" t="s">
        <v>17</v>
      </c>
      <c r="I6741" t="str">
        <f>"060384003574"</f>
        <v>060384003574</v>
      </c>
    </row>
    <row r="6742" spans="1:9" x14ac:dyDescent="0.25">
      <c r="A6742" t="s">
        <v>5856</v>
      </c>
      <c r="B6742" t="s">
        <v>13</v>
      </c>
      <c r="C6742">
        <v>28.5</v>
      </c>
      <c r="D6742">
        <v>27.75</v>
      </c>
      <c r="E6742" t="s">
        <v>17</v>
      </c>
      <c r="F6742">
        <v>5.0199999999999996</v>
      </c>
      <c r="G6742">
        <v>5.41</v>
      </c>
      <c r="H6742" t="s">
        <v>17</v>
      </c>
      <c r="I6742" t="str">
        <f>"069107812665"</f>
        <v>069107812665</v>
      </c>
    </row>
    <row r="6743" spans="1:9" x14ac:dyDescent="0.25">
      <c r="A6743" t="s">
        <v>5857</v>
      </c>
      <c r="B6743" t="s">
        <v>13</v>
      </c>
      <c r="C6743">
        <v>28.6</v>
      </c>
      <c r="D6743">
        <v>26.75</v>
      </c>
      <c r="E6743" t="s">
        <v>17</v>
      </c>
      <c r="F6743">
        <v>24.48</v>
      </c>
      <c r="G6743">
        <v>25.57</v>
      </c>
      <c r="H6743" t="s">
        <v>17</v>
      </c>
      <c r="I6743" t="str">
        <f>"060162000023"</f>
        <v>060162000023</v>
      </c>
    </row>
    <row r="6744" spans="1:9" x14ac:dyDescent="0.25">
      <c r="A6744" t="s">
        <v>5858</v>
      </c>
      <c r="B6744" t="s">
        <v>13</v>
      </c>
      <c r="C6744">
        <v>10.83</v>
      </c>
      <c r="D6744">
        <v>13.83</v>
      </c>
      <c r="E6744" t="s">
        <v>17</v>
      </c>
      <c r="F6744">
        <v>28.35</v>
      </c>
      <c r="G6744">
        <v>22.05</v>
      </c>
      <c r="H6744" t="s">
        <v>17</v>
      </c>
      <c r="I6744" t="str">
        <f>"063801006427"</f>
        <v>063801006427</v>
      </c>
    </row>
    <row r="6745" spans="1:9" x14ac:dyDescent="0.25">
      <c r="A6745" t="s">
        <v>5859</v>
      </c>
      <c r="B6745" t="s">
        <v>13</v>
      </c>
      <c r="C6745">
        <v>49.75</v>
      </c>
      <c r="D6745">
        <v>53.4</v>
      </c>
      <c r="E6745" t="s">
        <v>17</v>
      </c>
      <c r="F6745">
        <v>25.87</v>
      </c>
      <c r="G6745">
        <v>24.38</v>
      </c>
      <c r="H6745" t="s">
        <v>17</v>
      </c>
      <c r="I6745" t="str">
        <f>"060744000696"</f>
        <v>060744000696</v>
      </c>
    </row>
    <row r="6746" spans="1:9" x14ac:dyDescent="0.25">
      <c r="A6746" t="s">
        <v>5860</v>
      </c>
      <c r="B6746" t="s">
        <v>13</v>
      </c>
      <c r="C6746">
        <v>19.2</v>
      </c>
      <c r="D6746">
        <v>19.7</v>
      </c>
      <c r="E6746" t="s">
        <v>17</v>
      </c>
      <c r="F6746">
        <v>22.08</v>
      </c>
      <c r="G6746">
        <v>22.28</v>
      </c>
      <c r="H6746" t="s">
        <v>17</v>
      </c>
      <c r="I6746" t="str">
        <f>"062361003585"</f>
        <v>062361003585</v>
      </c>
    </row>
    <row r="6747" spans="1:9" x14ac:dyDescent="0.25">
      <c r="A6747" t="s">
        <v>5861</v>
      </c>
      <c r="B6747" t="s">
        <v>13</v>
      </c>
      <c r="C6747">
        <v>22.6</v>
      </c>
      <c r="D6747">
        <v>22.4</v>
      </c>
      <c r="E6747" t="s">
        <v>17</v>
      </c>
      <c r="F6747">
        <v>25.18</v>
      </c>
      <c r="G6747">
        <v>25.13</v>
      </c>
      <c r="H6747" t="s">
        <v>17</v>
      </c>
      <c r="I6747" t="str">
        <f>"061440001680"</f>
        <v>061440001680</v>
      </c>
    </row>
    <row r="6748" spans="1:9" x14ac:dyDescent="0.25">
      <c r="A6748" t="s">
        <v>5862</v>
      </c>
      <c r="B6748" t="s">
        <v>13</v>
      </c>
      <c r="C6748">
        <v>40</v>
      </c>
      <c r="D6748">
        <v>38</v>
      </c>
      <c r="E6748" t="s">
        <v>17</v>
      </c>
      <c r="F6748">
        <v>24.2</v>
      </c>
      <c r="G6748">
        <v>25.45</v>
      </c>
      <c r="H6748" t="s">
        <v>17</v>
      </c>
      <c r="I6748" t="str">
        <f>"062271003218"</f>
        <v>062271003218</v>
      </c>
    </row>
    <row r="6749" spans="1:9" x14ac:dyDescent="0.25">
      <c r="A6749" t="s">
        <v>5863</v>
      </c>
      <c r="B6749" t="s">
        <v>13</v>
      </c>
      <c r="C6749">
        <v>25</v>
      </c>
      <c r="D6749">
        <v>23</v>
      </c>
      <c r="E6749" t="s">
        <v>17</v>
      </c>
      <c r="F6749">
        <v>24.72</v>
      </c>
      <c r="G6749">
        <v>26.61</v>
      </c>
      <c r="H6749" t="s">
        <v>17</v>
      </c>
      <c r="I6749" t="str">
        <f>"062271003219"</f>
        <v>062271003219</v>
      </c>
    </row>
    <row r="6750" spans="1:9" x14ac:dyDescent="0.25">
      <c r="A6750" t="s">
        <v>5864</v>
      </c>
      <c r="B6750" t="s">
        <v>13</v>
      </c>
      <c r="C6750">
        <v>35</v>
      </c>
      <c r="D6750">
        <v>36</v>
      </c>
      <c r="E6750" t="s">
        <v>17</v>
      </c>
      <c r="F6750">
        <v>24.71</v>
      </c>
      <c r="G6750">
        <v>23.86</v>
      </c>
      <c r="H6750" t="s">
        <v>17</v>
      </c>
      <c r="I6750" t="str">
        <f>"062271003220"</f>
        <v>062271003220</v>
      </c>
    </row>
    <row r="6751" spans="1:9" x14ac:dyDescent="0.25">
      <c r="A6751" t="s">
        <v>5865</v>
      </c>
      <c r="B6751" t="s">
        <v>13</v>
      </c>
      <c r="C6751">
        <v>38</v>
      </c>
      <c r="D6751">
        <v>39</v>
      </c>
      <c r="E6751" t="s">
        <v>17</v>
      </c>
      <c r="F6751">
        <v>24.16</v>
      </c>
      <c r="G6751">
        <v>22.87</v>
      </c>
      <c r="H6751" t="s">
        <v>17</v>
      </c>
      <c r="I6751" t="str">
        <f>"062271003222"</f>
        <v>062271003222</v>
      </c>
    </row>
    <row r="6752" spans="1:9" x14ac:dyDescent="0.25">
      <c r="A6752" t="s">
        <v>5866</v>
      </c>
      <c r="B6752" t="s">
        <v>13</v>
      </c>
      <c r="C6752">
        <v>45</v>
      </c>
      <c r="D6752">
        <v>45</v>
      </c>
      <c r="E6752" t="s">
        <v>17</v>
      </c>
      <c r="F6752">
        <v>24.53</v>
      </c>
      <c r="G6752">
        <v>24.38</v>
      </c>
      <c r="H6752" t="s">
        <v>17</v>
      </c>
      <c r="I6752" t="str">
        <f>"062271003223"</f>
        <v>062271003223</v>
      </c>
    </row>
    <row r="6753" spans="1:9" x14ac:dyDescent="0.25">
      <c r="A6753" t="s">
        <v>5867</v>
      </c>
      <c r="B6753" t="s">
        <v>13</v>
      </c>
      <c r="C6753">
        <v>18.5</v>
      </c>
      <c r="D6753">
        <v>18.5</v>
      </c>
      <c r="E6753" t="s">
        <v>17</v>
      </c>
      <c r="F6753">
        <v>24.16</v>
      </c>
      <c r="G6753">
        <v>23.46</v>
      </c>
      <c r="H6753" t="s">
        <v>17</v>
      </c>
      <c r="I6753" t="str">
        <f>"062308003524"</f>
        <v>062308003524</v>
      </c>
    </row>
    <row r="6754" spans="1:9" x14ac:dyDescent="0.25">
      <c r="A6754" t="s">
        <v>5868</v>
      </c>
      <c r="B6754" t="s">
        <v>13</v>
      </c>
      <c r="C6754">
        <v>49.43</v>
      </c>
      <c r="D6754">
        <v>53.65</v>
      </c>
      <c r="E6754" t="s">
        <v>17</v>
      </c>
      <c r="F6754">
        <v>20.74</v>
      </c>
      <c r="G6754">
        <v>20.82</v>
      </c>
      <c r="H6754" t="s">
        <v>17</v>
      </c>
      <c r="I6754" t="str">
        <f>"062308010656"</f>
        <v>062308010656</v>
      </c>
    </row>
    <row r="6755" spans="1:9" x14ac:dyDescent="0.25">
      <c r="A6755" t="s">
        <v>5869</v>
      </c>
      <c r="B6755" t="s">
        <v>13</v>
      </c>
      <c r="C6755">
        <v>27</v>
      </c>
      <c r="D6755">
        <v>30</v>
      </c>
      <c r="E6755" t="s">
        <v>17</v>
      </c>
      <c r="F6755">
        <v>30.33</v>
      </c>
      <c r="G6755">
        <v>26.83</v>
      </c>
      <c r="H6755" t="s">
        <v>17</v>
      </c>
      <c r="I6755" t="str">
        <f>"062334010954"</f>
        <v>062334010954</v>
      </c>
    </row>
    <row r="6756" spans="1:9" x14ac:dyDescent="0.25">
      <c r="A6756" t="s">
        <v>5870</v>
      </c>
      <c r="B6756" t="s">
        <v>13</v>
      </c>
      <c r="C6756">
        <v>29</v>
      </c>
      <c r="D6756">
        <v>26.5</v>
      </c>
      <c r="E6756" t="s">
        <v>17</v>
      </c>
      <c r="F6756">
        <v>25.86</v>
      </c>
      <c r="G6756">
        <v>26.64</v>
      </c>
      <c r="H6756" t="s">
        <v>17</v>
      </c>
      <c r="I6756" t="str">
        <f>"060162000024"</f>
        <v>060162000024</v>
      </c>
    </row>
    <row r="6757" spans="1:9" x14ac:dyDescent="0.25">
      <c r="A6757" t="s">
        <v>5871</v>
      </c>
      <c r="B6757" t="s">
        <v>13</v>
      </c>
      <c r="C6757">
        <v>37</v>
      </c>
      <c r="D6757">
        <v>47.5</v>
      </c>
      <c r="E6757" t="s">
        <v>17</v>
      </c>
      <c r="F6757">
        <v>23.97</v>
      </c>
      <c r="G6757">
        <v>23.79</v>
      </c>
      <c r="H6757" t="s">
        <v>17</v>
      </c>
      <c r="I6757" t="str">
        <f>"062271003227"</f>
        <v>062271003227</v>
      </c>
    </row>
    <row r="6758" spans="1:9" x14ac:dyDescent="0.25">
      <c r="A6758" t="s">
        <v>5872</v>
      </c>
      <c r="B6758" t="s">
        <v>13</v>
      </c>
      <c r="C6758">
        <v>24.5</v>
      </c>
      <c r="D6758">
        <v>24.5</v>
      </c>
      <c r="E6758" t="s">
        <v>17</v>
      </c>
      <c r="F6758">
        <v>24.69</v>
      </c>
      <c r="G6758">
        <v>24.12</v>
      </c>
      <c r="H6758" t="s">
        <v>17</v>
      </c>
      <c r="I6758" t="str">
        <f>"060480000462"</f>
        <v>060480000462</v>
      </c>
    </row>
    <row r="6759" spans="1:9" x14ac:dyDescent="0.25">
      <c r="A6759" t="s">
        <v>5873</v>
      </c>
      <c r="B6759" t="s">
        <v>13</v>
      </c>
      <c r="C6759">
        <v>27</v>
      </c>
      <c r="D6759">
        <v>25</v>
      </c>
      <c r="E6759" t="s">
        <v>17</v>
      </c>
      <c r="F6759">
        <v>25.52</v>
      </c>
      <c r="G6759">
        <v>24.8</v>
      </c>
      <c r="H6759" t="s">
        <v>17</v>
      </c>
      <c r="I6759" t="str">
        <f>"064032006677"</f>
        <v>064032006677</v>
      </c>
    </row>
    <row r="6760" spans="1:9" x14ac:dyDescent="0.25">
      <c r="A6760" t="s">
        <v>5874</v>
      </c>
      <c r="B6760" t="s">
        <v>13</v>
      </c>
      <c r="C6760">
        <v>87.61</v>
      </c>
      <c r="D6760">
        <v>89.01</v>
      </c>
      <c r="E6760" t="s">
        <v>17</v>
      </c>
      <c r="F6760">
        <v>25.43</v>
      </c>
      <c r="G6760">
        <v>25.44</v>
      </c>
      <c r="H6760" t="s">
        <v>17</v>
      </c>
      <c r="I6760" t="str">
        <f>"063375005207"</f>
        <v>063375005207</v>
      </c>
    </row>
    <row r="6761" spans="1:9" x14ac:dyDescent="0.25">
      <c r="A6761" t="s">
        <v>5875</v>
      </c>
      <c r="B6761" t="s">
        <v>13</v>
      </c>
      <c r="C6761">
        <v>18.190000000000001</v>
      </c>
      <c r="D6761">
        <v>18</v>
      </c>
      <c r="E6761" t="s">
        <v>17</v>
      </c>
      <c r="F6761">
        <v>31.39</v>
      </c>
      <c r="G6761">
        <v>30.89</v>
      </c>
      <c r="H6761" t="s">
        <v>17</v>
      </c>
      <c r="I6761" t="str">
        <f>"062865004439"</f>
        <v>062865004439</v>
      </c>
    </row>
    <row r="6762" spans="1:9" x14ac:dyDescent="0.25">
      <c r="A6762" t="s">
        <v>5876</v>
      </c>
      <c r="B6762" t="s">
        <v>13</v>
      </c>
      <c r="C6762">
        <v>18</v>
      </c>
      <c r="D6762">
        <v>18.5</v>
      </c>
      <c r="E6762" t="s">
        <v>17</v>
      </c>
      <c r="F6762">
        <v>19.61</v>
      </c>
      <c r="G6762">
        <v>21.46</v>
      </c>
      <c r="H6762" t="s">
        <v>17</v>
      </c>
      <c r="I6762" t="str">
        <f>"064030006658"</f>
        <v>064030006658</v>
      </c>
    </row>
    <row r="6763" spans="1:9" x14ac:dyDescent="0.25">
      <c r="A6763" t="s">
        <v>5877</v>
      </c>
      <c r="B6763" t="s">
        <v>13</v>
      </c>
      <c r="C6763" t="s">
        <v>17</v>
      </c>
      <c r="D6763" t="s">
        <v>14</v>
      </c>
      <c r="E6763" t="s">
        <v>14</v>
      </c>
      <c r="F6763" t="s">
        <v>17</v>
      </c>
      <c r="G6763" t="s">
        <v>14</v>
      </c>
      <c r="H6763" t="s">
        <v>14</v>
      </c>
      <c r="I6763" t="str">
        <f>"060774013468"</f>
        <v>060774013468</v>
      </c>
    </row>
    <row r="6764" spans="1:9" x14ac:dyDescent="0.25">
      <c r="A6764" t="s">
        <v>5878</v>
      </c>
      <c r="B6764" t="s">
        <v>13</v>
      </c>
      <c r="C6764">
        <v>17</v>
      </c>
      <c r="D6764">
        <v>16</v>
      </c>
      <c r="E6764" t="s">
        <v>17</v>
      </c>
      <c r="F6764">
        <v>20.88</v>
      </c>
      <c r="G6764">
        <v>23.13</v>
      </c>
      <c r="H6764" t="s">
        <v>17</v>
      </c>
      <c r="I6764" t="str">
        <f>"062271003371"</f>
        <v>062271003371</v>
      </c>
    </row>
    <row r="6765" spans="1:9" x14ac:dyDescent="0.25">
      <c r="A6765" t="s">
        <v>5879</v>
      </c>
      <c r="B6765" t="s">
        <v>13</v>
      </c>
      <c r="C6765">
        <v>19</v>
      </c>
      <c r="D6765">
        <v>19</v>
      </c>
      <c r="E6765" t="s">
        <v>17</v>
      </c>
      <c r="F6765">
        <v>27.16</v>
      </c>
      <c r="G6765">
        <v>27.68</v>
      </c>
      <c r="H6765" t="s">
        <v>17</v>
      </c>
      <c r="I6765" t="str">
        <f>"060133204155"</f>
        <v>060133204155</v>
      </c>
    </row>
    <row r="6766" spans="1:9" x14ac:dyDescent="0.25">
      <c r="A6766" t="s">
        <v>5880</v>
      </c>
      <c r="B6766" t="s">
        <v>13</v>
      </c>
      <c r="C6766">
        <v>28</v>
      </c>
      <c r="D6766">
        <v>32</v>
      </c>
      <c r="E6766" t="s">
        <v>17</v>
      </c>
      <c r="F6766">
        <v>24.29</v>
      </c>
      <c r="G6766">
        <v>21.84</v>
      </c>
      <c r="H6766" t="s">
        <v>17</v>
      </c>
      <c r="I6766" t="str">
        <f>"060985001059"</f>
        <v>060985001059</v>
      </c>
    </row>
    <row r="6767" spans="1:9" x14ac:dyDescent="0.25">
      <c r="A6767" t="s">
        <v>5881</v>
      </c>
      <c r="B6767" t="s">
        <v>13</v>
      </c>
      <c r="C6767">
        <v>90.14</v>
      </c>
      <c r="D6767">
        <v>88</v>
      </c>
      <c r="E6767" t="s">
        <v>17</v>
      </c>
      <c r="F6767">
        <v>25.4</v>
      </c>
      <c r="G6767">
        <v>25.42</v>
      </c>
      <c r="H6767" t="s">
        <v>17</v>
      </c>
      <c r="I6767" t="str">
        <f>"060985001061"</f>
        <v>060985001061</v>
      </c>
    </row>
    <row r="6768" spans="1:9" x14ac:dyDescent="0.25">
      <c r="A6768" t="s">
        <v>5882</v>
      </c>
      <c r="B6768" t="s">
        <v>13</v>
      </c>
      <c r="C6768">
        <v>29</v>
      </c>
      <c r="D6768">
        <v>31</v>
      </c>
      <c r="E6768" t="s">
        <v>17</v>
      </c>
      <c r="F6768">
        <v>24.79</v>
      </c>
      <c r="G6768">
        <v>23.23</v>
      </c>
      <c r="H6768" t="s">
        <v>17</v>
      </c>
      <c r="I6768" t="str">
        <f>"060985001060"</f>
        <v>060985001060</v>
      </c>
    </row>
    <row r="6769" spans="1:9" x14ac:dyDescent="0.25">
      <c r="A6769" t="s">
        <v>5883</v>
      </c>
      <c r="B6769" t="s">
        <v>13</v>
      </c>
      <c r="C6769" t="s">
        <v>17</v>
      </c>
      <c r="D6769" t="s">
        <v>17</v>
      </c>
      <c r="E6769" t="s">
        <v>17</v>
      </c>
      <c r="F6769" t="s">
        <v>17</v>
      </c>
      <c r="G6769" t="s">
        <v>17</v>
      </c>
      <c r="H6769" t="s">
        <v>17</v>
      </c>
      <c r="I6769" t="str">
        <f>"060985000912"</f>
        <v>060985000912</v>
      </c>
    </row>
    <row r="6770" spans="1:9" x14ac:dyDescent="0.25">
      <c r="A6770" t="s">
        <v>5884</v>
      </c>
      <c r="B6770" t="s">
        <v>13</v>
      </c>
      <c r="C6770">
        <v>8</v>
      </c>
      <c r="D6770">
        <v>8</v>
      </c>
      <c r="E6770" t="s">
        <v>17</v>
      </c>
      <c r="F6770">
        <v>16.88</v>
      </c>
      <c r="G6770">
        <v>19.13</v>
      </c>
      <c r="H6770" t="s">
        <v>17</v>
      </c>
      <c r="I6770" t="str">
        <f>"060837011569"</f>
        <v>060837011569</v>
      </c>
    </row>
    <row r="6771" spans="1:9" x14ac:dyDescent="0.25">
      <c r="A6771" t="s">
        <v>5885</v>
      </c>
      <c r="B6771" t="s">
        <v>13</v>
      </c>
      <c r="C6771">
        <v>37.770000000000003</v>
      </c>
      <c r="D6771">
        <v>39.130000000000003</v>
      </c>
      <c r="E6771" t="s">
        <v>17</v>
      </c>
      <c r="F6771">
        <v>22.98</v>
      </c>
      <c r="G6771">
        <v>23</v>
      </c>
      <c r="H6771" t="s">
        <v>17</v>
      </c>
      <c r="I6771" t="str">
        <f>"062827004379"</f>
        <v>062827004379</v>
      </c>
    </row>
    <row r="6772" spans="1:9" x14ac:dyDescent="0.25">
      <c r="A6772" t="s">
        <v>5886</v>
      </c>
      <c r="B6772" t="s">
        <v>13</v>
      </c>
      <c r="C6772">
        <v>25.5</v>
      </c>
      <c r="D6772">
        <v>27.5</v>
      </c>
      <c r="E6772" t="s">
        <v>17</v>
      </c>
      <c r="F6772">
        <v>27.57</v>
      </c>
      <c r="G6772">
        <v>27.2</v>
      </c>
      <c r="H6772" t="s">
        <v>17</v>
      </c>
      <c r="I6772" t="str">
        <f>"062583003881"</f>
        <v>062583003881</v>
      </c>
    </row>
    <row r="6773" spans="1:9" x14ac:dyDescent="0.25">
      <c r="A6773" t="s">
        <v>5887</v>
      </c>
      <c r="B6773" t="s">
        <v>13</v>
      </c>
      <c r="C6773" t="s">
        <v>17</v>
      </c>
      <c r="D6773" t="s">
        <v>14</v>
      </c>
      <c r="E6773" t="s">
        <v>14</v>
      </c>
      <c r="F6773" t="s">
        <v>17</v>
      </c>
      <c r="G6773" t="s">
        <v>14</v>
      </c>
      <c r="H6773" t="s">
        <v>14</v>
      </c>
      <c r="I6773" t="str">
        <f>"063441013231"</f>
        <v>063441013231</v>
      </c>
    </row>
    <row r="6774" spans="1:9" x14ac:dyDescent="0.25">
      <c r="A6774" t="s">
        <v>5888</v>
      </c>
      <c r="B6774" t="s">
        <v>13</v>
      </c>
      <c r="C6774">
        <v>19.07</v>
      </c>
      <c r="D6774">
        <v>17.989999999999998</v>
      </c>
      <c r="E6774" t="s">
        <v>17</v>
      </c>
      <c r="F6774">
        <v>21.71</v>
      </c>
      <c r="G6774">
        <v>24.46</v>
      </c>
      <c r="H6774" t="s">
        <v>17</v>
      </c>
      <c r="I6774" t="str">
        <f>"062994004683"</f>
        <v>062994004683</v>
      </c>
    </row>
    <row r="6775" spans="1:9" x14ac:dyDescent="0.25">
      <c r="A6775" t="s">
        <v>5889</v>
      </c>
      <c r="B6775" t="s">
        <v>13</v>
      </c>
      <c r="C6775">
        <v>17.5</v>
      </c>
      <c r="D6775">
        <v>16.8</v>
      </c>
      <c r="E6775" t="s">
        <v>17</v>
      </c>
      <c r="F6775">
        <v>18.170000000000002</v>
      </c>
      <c r="G6775">
        <v>17.559999999999999</v>
      </c>
      <c r="H6775" t="s">
        <v>17</v>
      </c>
      <c r="I6775" t="str">
        <f>"063432011765"</f>
        <v>063432011765</v>
      </c>
    </row>
    <row r="6776" spans="1:9" x14ac:dyDescent="0.25">
      <c r="A6776" t="s">
        <v>5890</v>
      </c>
      <c r="B6776" t="s">
        <v>13</v>
      </c>
      <c r="C6776" t="s">
        <v>14</v>
      </c>
      <c r="D6776">
        <v>10.5</v>
      </c>
      <c r="E6776" t="s">
        <v>17</v>
      </c>
      <c r="F6776" t="s">
        <v>14</v>
      </c>
      <c r="G6776">
        <v>24.76</v>
      </c>
      <c r="H6776" t="s">
        <v>17</v>
      </c>
      <c r="I6776" t="str">
        <f>"063333005171"</f>
        <v>063333005171</v>
      </c>
    </row>
    <row r="6777" spans="1:9" x14ac:dyDescent="0.25">
      <c r="A6777" t="s">
        <v>5890</v>
      </c>
      <c r="B6777" t="s">
        <v>13</v>
      </c>
      <c r="C6777" t="s">
        <v>17</v>
      </c>
      <c r="D6777" t="s">
        <v>14</v>
      </c>
      <c r="E6777" t="s">
        <v>14</v>
      </c>
      <c r="F6777" t="s">
        <v>17</v>
      </c>
      <c r="G6777" t="s">
        <v>14</v>
      </c>
      <c r="H6777" t="s">
        <v>14</v>
      </c>
      <c r="I6777" t="str">
        <f>"060142005171"</f>
        <v>060142005171</v>
      </c>
    </row>
    <row r="6778" spans="1:9" x14ac:dyDescent="0.25">
      <c r="A6778" t="s">
        <v>5891</v>
      </c>
      <c r="B6778" t="s">
        <v>13</v>
      </c>
      <c r="C6778">
        <v>20.51</v>
      </c>
      <c r="D6778">
        <v>21.5</v>
      </c>
      <c r="E6778" t="s">
        <v>17</v>
      </c>
      <c r="F6778">
        <v>24.23</v>
      </c>
      <c r="G6778">
        <v>22.28</v>
      </c>
      <c r="H6778" t="s">
        <v>17</v>
      </c>
      <c r="I6778" t="str">
        <f>"060567009519"</f>
        <v>060567009519</v>
      </c>
    </row>
    <row r="6779" spans="1:9" x14ac:dyDescent="0.25">
      <c r="A6779" t="s">
        <v>5892</v>
      </c>
      <c r="B6779" t="s">
        <v>13</v>
      </c>
      <c r="C6779">
        <v>24.03</v>
      </c>
      <c r="D6779">
        <v>26.03</v>
      </c>
      <c r="E6779" t="s">
        <v>17</v>
      </c>
      <c r="F6779">
        <v>27.3</v>
      </c>
      <c r="G6779">
        <v>26.12</v>
      </c>
      <c r="H6779" t="s">
        <v>17</v>
      </c>
      <c r="I6779" t="str">
        <f>"060797007499"</f>
        <v>060797007499</v>
      </c>
    </row>
    <row r="6780" spans="1:9" x14ac:dyDescent="0.25">
      <c r="A6780" t="s">
        <v>5893</v>
      </c>
      <c r="B6780" t="s">
        <v>13</v>
      </c>
      <c r="C6780">
        <v>23.75</v>
      </c>
      <c r="D6780">
        <v>23</v>
      </c>
      <c r="E6780" t="s">
        <v>17</v>
      </c>
      <c r="F6780">
        <v>19.54</v>
      </c>
      <c r="G6780">
        <v>23.3</v>
      </c>
      <c r="H6780" t="s">
        <v>17</v>
      </c>
      <c r="I6780" t="str">
        <f>"061269011171"</f>
        <v>061269011171</v>
      </c>
    </row>
    <row r="6781" spans="1:9" x14ac:dyDescent="0.25">
      <c r="A6781" t="s">
        <v>5894</v>
      </c>
      <c r="B6781" t="s">
        <v>13</v>
      </c>
      <c r="C6781">
        <v>25</v>
      </c>
      <c r="D6781">
        <v>25</v>
      </c>
      <c r="E6781" t="s">
        <v>17</v>
      </c>
      <c r="F6781">
        <v>29.52</v>
      </c>
      <c r="G6781">
        <v>29.84</v>
      </c>
      <c r="H6781" t="s">
        <v>17</v>
      </c>
      <c r="I6781" t="str">
        <f>"062922007476"</f>
        <v>062922007476</v>
      </c>
    </row>
    <row r="6782" spans="1:9" x14ac:dyDescent="0.25">
      <c r="A6782" t="s">
        <v>5895</v>
      </c>
      <c r="B6782" t="s">
        <v>13</v>
      </c>
      <c r="C6782">
        <v>40.5</v>
      </c>
      <c r="D6782">
        <v>42.01</v>
      </c>
      <c r="E6782" t="s">
        <v>17</v>
      </c>
      <c r="F6782">
        <v>23.04</v>
      </c>
      <c r="G6782">
        <v>23.42</v>
      </c>
      <c r="H6782" t="s">
        <v>17</v>
      </c>
      <c r="I6782" t="str">
        <f>"062271003228"</f>
        <v>062271003228</v>
      </c>
    </row>
    <row r="6783" spans="1:9" x14ac:dyDescent="0.25">
      <c r="A6783" t="s">
        <v>5896</v>
      </c>
      <c r="B6783" t="s">
        <v>13</v>
      </c>
      <c r="C6783">
        <v>19</v>
      </c>
      <c r="D6783">
        <v>18.510000000000002</v>
      </c>
      <c r="E6783" t="s">
        <v>17</v>
      </c>
      <c r="F6783">
        <v>21.37</v>
      </c>
      <c r="G6783">
        <v>22.53</v>
      </c>
      <c r="H6783" t="s">
        <v>17</v>
      </c>
      <c r="I6783" t="str">
        <f>"062271003229"</f>
        <v>062271003229</v>
      </c>
    </row>
    <row r="6784" spans="1:9" x14ac:dyDescent="0.25">
      <c r="A6784" t="s">
        <v>5897</v>
      </c>
      <c r="B6784" t="s">
        <v>13</v>
      </c>
      <c r="C6784">
        <v>33.5</v>
      </c>
      <c r="D6784">
        <v>33.5</v>
      </c>
      <c r="E6784" t="s">
        <v>17</v>
      </c>
      <c r="F6784">
        <v>24.21</v>
      </c>
      <c r="G6784">
        <v>24.63</v>
      </c>
      <c r="H6784" t="s">
        <v>17</v>
      </c>
      <c r="I6784" t="str">
        <f>"062745004136"</f>
        <v>062745004136</v>
      </c>
    </row>
    <row r="6785" spans="1:9" x14ac:dyDescent="0.25">
      <c r="A6785" t="s">
        <v>5898</v>
      </c>
      <c r="B6785" t="s">
        <v>13</v>
      </c>
      <c r="C6785">
        <v>50.01</v>
      </c>
      <c r="D6785">
        <v>48</v>
      </c>
      <c r="E6785" t="s">
        <v>17</v>
      </c>
      <c r="F6785">
        <v>25.73</v>
      </c>
      <c r="G6785">
        <v>25.83</v>
      </c>
      <c r="H6785" t="s">
        <v>17</v>
      </c>
      <c r="I6785" t="str">
        <f>"062745008920"</f>
        <v>062745008920</v>
      </c>
    </row>
    <row r="6786" spans="1:9" x14ac:dyDescent="0.25">
      <c r="A6786" t="s">
        <v>5899</v>
      </c>
      <c r="B6786" t="s">
        <v>13</v>
      </c>
      <c r="C6786">
        <v>36.5</v>
      </c>
      <c r="D6786">
        <v>34.5</v>
      </c>
      <c r="E6786" t="s">
        <v>17</v>
      </c>
      <c r="F6786">
        <v>25.18</v>
      </c>
      <c r="G6786">
        <v>25.91</v>
      </c>
      <c r="H6786" t="s">
        <v>17</v>
      </c>
      <c r="I6786" t="str">
        <f>"061455001756"</f>
        <v>061455001756</v>
      </c>
    </row>
    <row r="6787" spans="1:9" x14ac:dyDescent="0.25">
      <c r="A6787" t="s">
        <v>5900</v>
      </c>
      <c r="B6787" t="s">
        <v>13</v>
      </c>
      <c r="C6787">
        <v>87.75</v>
      </c>
      <c r="D6787">
        <v>87.7</v>
      </c>
      <c r="E6787" t="s">
        <v>17</v>
      </c>
      <c r="F6787">
        <v>26.39</v>
      </c>
      <c r="G6787">
        <v>26.68</v>
      </c>
      <c r="H6787" t="s">
        <v>17</v>
      </c>
      <c r="I6787" t="str">
        <f>"060243000137"</f>
        <v>060243000137</v>
      </c>
    </row>
    <row r="6788" spans="1:9" x14ac:dyDescent="0.25">
      <c r="A6788" t="s">
        <v>5901</v>
      </c>
      <c r="B6788" t="s">
        <v>13</v>
      </c>
      <c r="C6788">
        <v>2</v>
      </c>
      <c r="D6788">
        <v>4</v>
      </c>
      <c r="E6788" t="s">
        <v>17</v>
      </c>
      <c r="F6788">
        <v>18</v>
      </c>
      <c r="G6788">
        <v>11</v>
      </c>
      <c r="H6788" t="s">
        <v>17</v>
      </c>
      <c r="I6788" t="str">
        <f>"069102711053"</f>
        <v>069102711053</v>
      </c>
    </row>
    <row r="6789" spans="1:9" x14ac:dyDescent="0.25">
      <c r="A6789" t="s">
        <v>5902</v>
      </c>
      <c r="B6789" t="s">
        <v>13</v>
      </c>
      <c r="C6789" t="s">
        <v>14</v>
      </c>
      <c r="D6789" t="s">
        <v>14</v>
      </c>
      <c r="E6789" t="s">
        <v>17</v>
      </c>
      <c r="F6789" t="s">
        <v>14</v>
      </c>
      <c r="G6789" t="s">
        <v>14</v>
      </c>
      <c r="H6789" t="s">
        <v>17</v>
      </c>
      <c r="I6789" t="str">
        <f>"060133201205"</f>
        <v>060133201205</v>
      </c>
    </row>
    <row r="6790" spans="1:9" x14ac:dyDescent="0.25">
      <c r="A6790" t="s">
        <v>5903</v>
      </c>
      <c r="B6790" t="s">
        <v>13</v>
      </c>
      <c r="C6790">
        <v>22</v>
      </c>
      <c r="D6790">
        <v>24.62</v>
      </c>
      <c r="E6790" t="s">
        <v>17</v>
      </c>
      <c r="F6790">
        <v>27.86</v>
      </c>
      <c r="G6790">
        <v>24.86</v>
      </c>
      <c r="H6790" t="s">
        <v>17</v>
      </c>
      <c r="I6790" t="str">
        <f>"060426008798"</f>
        <v>060426008798</v>
      </c>
    </row>
    <row r="6791" spans="1:9" x14ac:dyDescent="0.25">
      <c r="A6791" t="s">
        <v>5904</v>
      </c>
      <c r="B6791" t="s">
        <v>13</v>
      </c>
      <c r="C6791">
        <v>27</v>
      </c>
      <c r="D6791">
        <v>25</v>
      </c>
      <c r="E6791" t="s">
        <v>17</v>
      </c>
      <c r="F6791">
        <v>23.15</v>
      </c>
      <c r="G6791">
        <v>22.56</v>
      </c>
      <c r="H6791" t="s">
        <v>17</v>
      </c>
      <c r="I6791" t="str">
        <f>"061288007704"</f>
        <v>061288007704</v>
      </c>
    </row>
    <row r="6792" spans="1:9" x14ac:dyDescent="0.25">
      <c r="A6792" t="s">
        <v>5905</v>
      </c>
      <c r="B6792" t="s">
        <v>13</v>
      </c>
      <c r="C6792">
        <v>14.03</v>
      </c>
      <c r="D6792">
        <v>14.91</v>
      </c>
      <c r="E6792" t="s">
        <v>17</v>
      </c>
      <c r="F6792">
        <v>17.32</v>
      </c>
      <c r="G6792">
        <v>13.82</v>
      </c>
      <c r="H6792" t="s">
        <v>17</v>
      </c>
      <c r="I6792" t="str">
        <f>"063255009621"</f>
        <v>063255009621</v>
      </c>
    </row>
    <row r="6793" spans="1:9" x14ac:dyDescent="0.25">
      <c r="A6793" t="s">
        <v>5906</v>
      </c>
      <c r="B6793" t="s">
        <v>13</v>
      </c>
      <c r="C6793" t="str">
        <f>"0.50"</f>
        <v>0.50</v>
      </c>
      <c r="D6793" t="str">
        <f>"0.50"</f>
        <v>0.50</v>
      </c>
      <c r="E6793" t="s">
        <v>17</v>
      </c>
      <c r="F6793">
        <v>76</v>
      </c>
      <c r="G6793">
        <v>102</v>
      </c>
      <c r="H6793" t="s">
        <v>17</v>
      </c>
      <c r="I6793" t="str">
        <f>"063438009438"</f>
        <v>063438009438</v>
      </c>
    </row>
    <row r="6794" spans="1:9" x14ac:dyDescent="0.25">
      <c r="A6794" t="s">
        <v>5907</v>
      </c>
      <c r="B6794" t="s">
        <v>13</v>
      </c>
      <c r="C6794">
        <v>9</v>
      </c>
      <c r="D6794">
        <v>10</v>
      </c>
      <c r="E6794" t="s">
        <v>17</v>
      </c>
      <c r="F6794">
        <v>7.11</v>
      </c>
      <c r="G6794">
        <v>6.9</v>
      </c>
      <c r="H6794" t="s">
        <v>17</v>
      </c>
      <c r="I6794" t="str">
        <f>"069103010620"</f>
        <v>069103010620</v>
      </c>
    </row>
    <row r="6795" spans="1:9" x14ac:dyDescent="0.25">
      <c r="A6795" t="s">
        <v>5908</v>
      </c>
      <c r="B6795" t="s">
        <v>13</v>
      </c>
      <c r="C6795" t="s">
        <v>14</v>
      </c>
      <c r="D6795">
        <v>1</v>
      </c>
      <c r="E6795" t="s">
        <v>17</v>
      </c>
      <c r="F6795" t="s">
        <v>17</v>
      </c>
      <c r="G6795">
        <v>14</v>
      </c>
      <c r="H6795" t="s">
        <v>17</v>
      </c>
      <c r="I6795" t="str">
        <f>"069103311945"</f>
        <v>069103311945</v>
      </c>
    </row>
    <row r="6796" spans="1:9" x14ac:dyDescent="0.25">
      <c r="A6796" t="s">
        <v>5909</v>
      </c>
      <c r="B6796" t="s">
        <v>13</v>
      </c>
      <c r="C6796">
        <v>19</v>
      </c>
      <c r="D6796">
        <v>14.25</v>
      </c>
      <c r="E6796" t="s">
        <v>17</v>
      </c>
      <c r="F6796">
        <v>28.63</v>
      </c>
      <c r="G6796">
        <v>21.96</v>
      </c>
      <c r="H6796" t="s">
        <v>17</v>
      </c>
      <c r="I6796" t="str">
        <f>"060999011802"</f>
        <v>060999011802</v>
      </c>
    </row>
    <row r="6797" spans="1:9" x14ac:dyDescent="0.25">
      <c r="A6797" t="s">
        <v>5910</v>
      </c>
      <c r="B6797" t="s">
        <v>13</v>
      </c>
      <c r="C6797">
        <v>19</v>
      </c>
      <c r="D6797">
        <v>19</v>
      </c>
      <c r="E6797" t="s">
        <v>17</v>
      </c>
      <c r="F6797">
        <v>30.05</v>
      </c>
      <c r="G6797">
        <v>29.79</v>
      </c>
      <c r="H6797" t="s">
        <v>17</v>
      </c>
      <c r="I6797" t="str">
        <f>"060790009750"</f>
        <v>060790009750</v>
      </c>
    </row>
    <row r="6798" spans="1:9" x14ac:dyDescent="0.25">
      <c r="A6798" t="s">
        <v>5911</v>
      </c>
      <c r="B6798" t="s">
        <v>13</v>
      </c>
      <c r="C6798" t="s">
        <v>17</v>
      </c>
      <c r="D6798" t="s">
        <v>17</v>
      </c>
      <c r="E6798" t="s">
        <v>17</v>
      </c>
      <c r="F6798" t="s">
        <v>17</v>
      </c>
      <c r="G6798" t="s">
        <v>17</v>
      </c>
      <c r="H6798" t="s">
        <v>17</v>
      </c>
      <c r="I6798" t="str">
        <f>"060134312546"</f>
        <v>060134312546</v>
      </c>
    </row>
    <row r="6799" spans="1:9" x14ac:dyDescent="0.25">
      <c r="A6799" t="s">
        <v>5912</v>
      </c>
      <c r="B6799" t="s">
        <v>13</v>
      </c>
      <c r="C6799">
        <v>6.15</v>
      </c>
      <c r="D6799">
        <v>6.15</v>
      </c>
      <c r="E6799" t="s">
        <v>17</v>
      </c>
      <c r="F6799">
        <v>21.95</v>
      </c>
      <c r="G6799">
        <v>18.54</v>
      </c>
      <c r="H6799" t="s">
        <v>17</v>
      </c>
      <c r="I6799" t="str">
        <f>"064119011970"</f>
        <v>064119011970</v>
      </c>
    </row>
    <row r="6800" spans="1:9" x14ac:dyDescent="0.25">
      <c r="A6800" t="s">
        <v>5913</v>
      </c>
      <c r="B6800" t="s">
        <v>13</v>
      </c>
      <c r="C6800">
        <v>10</v>
      </c>
      <c r="D6800">
        <v>11</v>
      </c>
      <c r="E6800" t="s">
        <v>17</v>
      </c>
      <c r="F6800">
        <v>26.8</v>
      </c>
      <c r="G6800">
        <v>23.73</v>
      </c>
      <c r="H6800" t="s">
        <v>17</v>
      </c>
      <c r="I6800" t="str">
        <f>"062751004138"</f>
        <v>062751004138</v>
      </c>
    </row>
    <row r="6801" spans="1:9" x14ac:dyDescent="0.25">
      <c r="A6801" t="s">
        <v>5914</v>
      </c>
      <c r="B6801" t="s">
        <v>13</v>
      </c>
      <c r="C6801">
        <v>21</v>
      </c>
      <c r="D6801">
        <v>24</v>
      </c>
      <c r="E6801" t="s">
        <v>17</v>
      </c>
      <c r="F6801">
        <v>28.67</v>
      </c>
      <c r="G6801">
        <v>24.83</v>
      </c>
      <c r="H6801" t="s">
        <v>17</v>
      </c>
      <c r="I6801" t="str">
        <f>"061062001180"</f>
        <v>061062001180</v>
      </c>
    </row>
    <row r="6802" spans="1:9" x14ac:dyDescent="0.25">
      <c r="A6802" t="s">
        <v>5915</v>
      </c>
      <c r="B6802" t="s">
        <v>13</v>
      </c>
      <c r="C6802">
        <v>32.83</v>
      </c>
      <c r="D6802">
        <v>33.86</v>
      </c>
      <c r="E6802" t="s">
        <v>17</v>
      </c>
      <c r="F6802">
        <v>23.79</v>
      </c>
      <c r="G6802">
        <v>24.96</v>
      </c>
      <c r="H6802" t="s">
        <v>17</v>
      </c>
      <c r="I6802" t="str">
        <f>"060004707390"</f>
        <v>060004707390</v>
      </c>
    </row>
    <row r="6803" spans="1:9" x14ac:dyDescent="0.25">
      <c r="A6803" t="s">
        <v>5916</v>
      </c>
      <c r="B6803" t="s">
        <v>13</v>
      </c>
      <c r="C6803" t="s">
        <v>14</v>
      </c>
      <c r="D6803">
        <v>3.5</v>
      </c>
      <c r="E6803" t="s">
        <v>17</v>
      </c>
      <c r="F6803" t="s">
        <v>17</v>
      </c>
      <c r="G6803">
        <v>25.43</v>
      </c>
      <c r="H6803" t="s">
        <v>17</v>
      </c>
      <c r="I6803" t="str">
        <f>"060011612519"</f>
        <v>060011612519</v>
      </c>
    </row>
    <row r="6804" spans="1:9" x14ac:dyDescent="0.25">
      <c r="A6804" t="s">
        <v>5917</v>
      </c>
      <c r="B6804" t="s">
        <v>13</v>
      </c>
      <c r="C6804">
        <v>11.01</v>
      </c>
      <c r="D6804">
        <v>9.5</v>
      </c>
      <c r="E6804" t="s">
        <v>17</v>
      </c>
      <c r="F6804">
        <v>25.07</v>
      </c>
      <c r="G6804">
        <v>19.37</v>
      </c>
      <c r="H6804" t="s">
        <v>17</v>
      </c>
      <c r="I6804" t="str">
        <f>"060011609296"</f>
        <v>060011609296</v>
      </c>
    </row>
    <row r="6805" spans="1:9" x14ac:dyDescent="0.25">
      <c r="A6805" t="s">
        <v>5918</v>
      </c>
      <c r="B6805" t="s">
        <v>13</v>
      </c>
      <c r="C6805">
        <v>74.900000000000006</v>
      </c>
      <c r="D6805">
        <v>72.41</v>
      </c>
      <c r="E6805" t="s">
        <v>17</v>
      </c>
      <c r="F6805">
        <v>28.61</v>
      </c>
      <c r="G6805">
        <v>30.2</v>
      </c>
      <c r="H6805" t="s">
        <v>17</v>
      </c>
      <c r="I6805" t="str">
        <f>"063942006568"</f>
        <v>063942006568</v>
      </c>
    </row>
    <row r="6806" spans="1:9" x14ac:dyDescent="0.25">
      <c r="A6806" t="s">
        <v>5918</v>
      </c>
      <c r="B6806" t="s">
        <v>13</v>
      </c>
      <c r="C6806">
        <v>74.36</v>
      </c>
      <c r="D6806">
        <v>74.33</v>
      </c>
      <c r="E6806" t="s">
        <v>17</v>
      </c>
      <c r="F6806">
        <v>22.5</v>
      </c>
      <c r="G6806">
        <v>24.34</v>
      </c>
      <c r="H6806" t="s">
        <v>17</v>
      </c>
      <c r="I6806" t="str">
        <f>"061954002350"</f>
        <v>061954002350</v>
      </c>
    </row>
    <row r="6807" spans="1:9" x14ac:dyDescent="0.25">
      <c r="A6807" t="s">
        <v>5919</v>
      </c>
      <c r="B6807" t="s">
        <v>13</v>
      </c>
      <c r="C6807">
        <v>23.78</v>
      </c>
      <c r="D6807">
        <v>24.5</v>
      </c>
      <c r="E6807" t="s">
        <v>17</v>
      </c>
      <c r="F6807">
        <v>14.72</v>
      </c>
      <c r="G6807">
        <v>14.73</v>
      </c>
      <c r="H6807" t="s">
        <v>17</v>
      </c>
      <c r="I6807" t="str">
        <f>"061719009853"</f>
        <v>061719009853</v>
      </c>
    </row>
    <row r="6808" spans="1:9" x14ac:dyDescent="0.25">
      <c r="A6808" t="s">
        <v>5920</v>
      </c>
      <c r="B6808" t="s">
        <v>13</v>
      </c>
      <c r="C6808">
        <v>110</v>
      </c>
      <c r="D6808">
        <v>116.12</v>
      </c>
      <c r="E6808" t="s">
        <v>17</v>
      </c>
      <c r="F6808">
        <v>26.95</v>
      </c>
      <c r="G6808">
        <v>26.5</v>
      </c>
      <c r="H6808" t="s">
        <v>17</v>
      </c>
      <c r="I6808" t="str">
        <f>"062271003230"</f>
        <v>062271003230</v>
      </c>
    </row>
    <row r="6809" spans="1:9" x14ac:dyDescent="0.25">
      <c r="A6809" t="s">
        <v>5921</v>
      </c>
      <c r="B6809" t="s">
        <v>13</v>
      </c>
      <c r="C6809" t="s">
        <v>17</v>
      </c>
      <c r="D6809" t="s">
        <v>17</v>
      </c>
      <c r="E6809" t="s">
        <v>17</v>
      </c>
      <c r="F6809" t="s">
        <v>17</v>
      </c>
      <c r="G6809" t="s">
        <v>17</v>
      </c>
      <c r="H6809" t="s">
        <v>17</v>
      </c>
      <c r="I6809" t="str">
        <f>"060007410812"</f>
        <v>060007410812</v>
      </c>
    </row>
    <row r="6810" spans="1:9" x14ac:dyDescent="0.25">
      <c r="A6810" t="s">
        <v>5922</v>
      </c>
      <c r="B6810" t="s">
        <v>13</v>
      </c>
      <c r="C6810">
        <v>3.7</v>
      </c>
      <c r="D6810">
        <v>2.8</v>
      </c>
      <c r="E6810" t="s">
        <v>17</v>
      </c>
      <c r="F6810">
        <v>28.92</v>
      </c>
      <c r="G6810">
        <v>41.43</v>
      </c>
      <c r="H6810" t="s">
        <v>17</v>
      </c>
      <c r="I6810" t="str">
        <f>"062409002876"</f>
        <v>062409002876</v>
      </c>
    </row>
    <row r="6811" spans="1:9" x14ac:dyDescent="0.25">
      <c r="A6811" t="s">
        <v>5923</v>
      </c>
      <c r="B6811" t="s">
        <v>13</v>
      </c>
      <c r="C6811">
        <v>2.33</v>
      </c>
      <c r="D6811">
        <v>3</v>
      </c>
      <c r="E6811" t="s">
        <v>17</v>
      </c>
      <c r="F6811">
        <v>30.47</v>
      </c>
      <c r="G6811">
        <v>29.33</v>
      </c>
      <c r="H6811" t="s">
        <v>17</v>
      </c>
      <c r="I6811" t="str">
        <f>"062759009412"</f>
        <v>062759009412</v>
      </c>
    </row>
    <row r="6812" spans="1:9" x14ac:dyDescent="0.25">
      <c r="A6812" t="s">
        <v>5924</v>
      </c>
      <c r="B6812" t="s">
        <v>13</v>
      </c>
      <c r="C6812">
        <v>56.01</v>
      </c>
      <c r="D6812">
        <v>51.6</v>
      </c>
      <c r="E6812" t="s">
        <v>17</v>
      </c>
      <c r="F6812">
        <v>20.41</v>
      </c>
      <c r="G6812">
        <v>23.24</v>
      </c>
      <c r="H6812" t="s">
        <v>17</v>
      </c>
      <c r="I6812" t="str">
        <f>"062759004146"</f>
        <v>062759004146</v>
      </c>
    </row>
    <row r="6813" spans="1:9" x14ac:dyDescent="0.25">
      <c r="A6813" t="s">
        <v>5925</v>
      </c>
      <c r="B6813" t="s">
        <v>13</v>
      </c>
      <c r="C6813">
        <v>27</v>
      </c>
      <c r="D6813">
        <v>24</v>
      </c>
      <c r="E6813" t="s">
        <v>17</v>
      </c>
      <c r="F6813">
        <v>21.63</v>
      </c>
      <c r="G6813">
        <v>24.83</v>
      </c>
      <c r="H6813" t="s">
        <v>17</v>
      </c>
      <c r="I6813" t="str">
        <f>"062759004144"</f>
        <v>062759004144</v>
      </c>
    </row>
    <row r="6814" spans="1:9" x14ac:dyDescent="0.25">
      <c r="A6814" t="s">
        <v>5926</v>
      </c>
      <c r="B6814" t="s">
        <v>13</v>
      </c>
      <c r="C6814">
        <v>37.74</v>
      </c>
      <c r="D6814">
        <v>38.9</v>
      </c>
      <c r="E6814" t="s">
        <v>17</v>
      </c>
      <c r="F6814">
        <v>25.97</v>
      </c>
      <c r="G6814">
        <v>25.19</v>
      </c>
      <c r="H6814" t="s">
        <v>17</v>
      </c>
      <c r="I6814" t="str">
        <f>"063444007603"</f>
        <v>063444007603</v>
      </c>
    </row>
    <row r="6815" spans="1:9" x14ac:dyDescent="0.25">
      <c r="A6815" t="s">
        <v>5927</v>
      </c>
      <c r="B6815" t="s">
        <v>13</v>
      </c>
      <c r="C6815">
        <v>10.55</v>
      </c>
      <c r="D6815">
        <v>8.4</v>
      </c>
      <c r="E6815" t="s">
        <v>17</v>
      </c>
      <c r="F6815">
        <v>21.04</v>
      </c>
      <c r="G6815">
        <v>26.19</v>
      </c>
      <c r="H6815" t="s">
        <v>17</v>
      </c>
      <c r="I6815" t="str">
        <f>"062805008442"</f>
        <v>062805008442</v>
      </c>
    </row>
    <row r="6816" spans="1:9" x14ac:dyDescent="0.25">
      <c r="A6816" t="s">
        <v>5928</v>
      </c>
      <c r="B6816" t="s">
        <v>13</v>
      </c>
      <c r="C6816" t="s">
        <v>17</v>
      </c>
      <c r="D6816" t="s">
        <v>17</v>
      </c>
      <c r="E6816" t="s">
        <v>17</v>
      </c>
      <c r="F6816" t="s">
        <v>17</v>
      </c>
      <c r="G6816" t="s">
        <v>17</v>
      </c>
      <c r="H6816" t="s">
        <v>17</v>
      </c>
      <c r="I6816" t="str">
        <f>"060012110996"</f>
        <v>060012110996</v>
      </c>
    </row>
    <row r="6817" spans="1:9" x14ac:dyDescent="0.25">
      <c r="A6817" t="s">
        <v>5929</v>
      </c>
      <c r="B6817" t="s">
        <v>13</v>
      </c>
      <c r="C6817">
        <v>13</v>
      </c>
      <c r="D6817">
        <v>14.94</v>
      </c>
      <c r="E6817" t="s">
        <v>17</v>
      </c>
      <c r="F6817">
        <v>25.85</v>
      </c>
      <c r="G6817">
        <v>20.75</v>
      </c>
      <c r="H6817" t="s">
        <v>17</v>
      </c>
      <c r="I6817" t="str">
        <f>"060369000335"</f>
        <v>060369000335</v>
      </c>
    </row>
    <row r="6818" spans="1:9" x14ac:dyDescent="0.25">
      <c r="A6818" t="s">
        <v>5930</v>
      </c>
      <c r="B6818" t="s">
        <v>13</v>
      </c>
      <c r="C6818">
        <v>33</v>
      </c>
      <c r="D6818">
        <v>40</v>
      </c>
      <c r="E6818" t="s">
        <v>17</v>
      </c>
      <c r="F6818">
        <v>26.42</v>
      </c>
      <c r="G6818">
        <v>22.98</v>
      </c>
      <c r="H6818" t="s">
        <v>17</v>
      </c>
      <c r="I6818" t="str">
        <f>"063597008063"</f>
        <v>063597008063</v>
      </c>
    </row>
    <row r="6819" spans="1:9" x14ac:dyDescent="0.25">
      <c r="A6819" t="s">
        <v>5930</v>
      </c>
      <c r="B6819" t="s">
        <v>13</v>
      </c>
      <c r="C6819">
        <v>23</v>
      </c>
      <c r="D6819">
        <v>25</v>
      </c>
      <c r="E6819" t="s">
        <v>17</v>
      </c>
      <c r="F6819">
        <v>30.65</v>
      </c>
      <c r="G6819">
        <v>28.72</v>
      </c>
      <c r="H6819" t="s">
        <v>17</v>
      </c>
      <c r="I6819" t="str">
        <f>"063417005375"</f>
        <v>063417005375</v>
      </c>
    </row>
    <row r="6820" spans="1:9" x14ac:dyDescent="0.25">
      <c r="A6820" t="s">
        <v>5931</v>
      </c>
      <c r="B6820" t="s">
        <v>13</v>
      </c>
      <c r="C6820">
        <v>36.17</v>
      </c>
      <c r="D6820">
        <v>35</v>
      </c>
      <c r="E6820" t="s">
        <v>17</v>
      </c>
      <c r="F6820">
        <v>23.69</v>
      </c>
      <c r="G6820">
        <v>25.17</v>
      </c>
      <c r="H6820" t="s">
        <v>17</v>
      </c>
      <c r="I6820" t="str">
        <f>"061218001376"</f>
        <v>061218001376</v>
      </c>
    </row>
    <row r="6821" spans="1:9" x14ac:dyDescent="0.25">
      <c r="A6821" t="s">
        <v>5932</v>
      </c>
      <c r="B6821" t="s">
        <v>13</v>
      </c>
      <c r="C6821">
        <v>3.74</v>
      </c>
      <c r="D6821">
        <v>5.35</v>
      </c>
      <c r="E6821" t="s">
        <v>17</v>
      </c>
      <c r="F6821">
        <v>17.91</v>
      </c>
      <c r="G6821">
        <v>11.78</v>
      </c>
      <c r="H6821" t="s">
        <v>17</v>
      </c>
      <c r="I6821" t="str">
        <f>"062688007794"</f>
        <v>062688007794</v>
      </c>
    </row>
    <row r="6822" spans="1:9" x14ac:dyDescent="0.25">
      <c r="A6822" t="s">
        <v>5933</v>
      </c>
      <c r="B6822" t="s">
        <v>13</v>
      </c>
      <c r="C6822">
        <v>21</v>
      </c>
      <c r="D6822">
        <v>20</v>
      </c>
      <c r="E6822" t="s">
        <v>17</v>
      </c>
      <c r="F6822">
        <v>24.38</v>
      </c>
      <c r="G6822">
        <v>25.55</v>
      </c>
      <c r="H6822" t="s">
        <v>17</v>
      </c>
      <c r="I6822" t="str">
        <f>"061218001377"</f>
        <v>061218001377</v>
      </c>
    </row>
    <row r="6823" spans="1:9" x14ac:dyDescent="0.25">
      <c r="A6823" t="s">
        <v>5934</v>
      </c>
      <c r="B6823" t="s">
        <v>13</v>
      </c>
      <c r="C6823" t="s">
        <v>14</v>
      </c>
      <c r="D6823" t="s">
        <v>14</v>
      </c>
      <c r="E6823" t="s">
        <v>17</v>
      </c>
      <c r="F6823" t="s">
        <v>14</v>
      </c>
      <c r="G6823" t="s">
        <v>14</v>
      </c>
      <c r="H6823" t="s">
        <v>17</v>
      </c>
      <c r="I6823" t="str">
        <f>"069103012079"</f>
        <v>069103012079</v>
      </c>
    </row>
    <row r="6824" spans="1:9" x14ac:dyDescent="0.25">
      <c r="A6824" t="s">
        <v>5935</v>
      </c>
      <c r="B6824" t="s">
        <v>13</v>
      </c>
      <c r="C6824">
        <v>7</v>
      </c>
      <c r="D6824">
        <v>7</v>
      </c>
      <c r="E6824" t="s">
        <v>14</v>
      </c>
      <c r="F6824">
        <v>17.14</v>
      </c>
      <c r="G6824">
        <v>16.14</v>
      </c>
      <c r="H6824" t="s">
        <v>14</v>
      </c>
      <c r="I6824" t="str">
        <f>"069103012933"</f>
        <v>069103012933</v>
      </c>
    </row>
    <row r="6825" spans="1:9" x14ac:dyDescent="0.25">
      <c r="A6825" t="s">
        <v>5936</v>
      </c>
      <c r="B6825" t="s">
        <v>13</v>
      </c>
      <c r="C6825">
        <v>4</v>
      </c>
      <c r="D6825">
        <v>6</v>
      </c>
      <c r="E6825" t="s">
        <v>14</v>
      </c>
      <c r="F6825">
        <v>16.25</v>
      </c>
      <c r="G6825">
        <v>13.17</v>
      </c>
      <c r="H6825" t="s">
        <v>14</v>
      </c>
      <c r="I6825" t="str">
        <f>"069103012978"</f>
        <v>069103012978</v>
      </c>
    </row>
    <row r="6826" spans="1:9" x14ac:dyDescent="0.25">
      <c r="A6826" t="s">
        <v>5937</v>
      </c>
      <c r="B6826" t="s">
        <v>13</v>
      </c>
      <c r="C6826">
        <v>7</v>
      </c>
      <c r="D6826">
        <v>7</v>
      </c>
      <c r="E6826" t="s">
        <v>14</v>
      </c>
      <c r="F6826">
        <v>16.43</v>
      </c>
      <c r="G6826">
        <v>16.29</v>
      </c>
      <c r="H6826" t="s">
        <v>14</v>
      </c>
      <c r="I6826" t="str">
        <f>"069103012951"</f>
        <v>069103012951</v>
      </c>
    </row>
    <row r="6827" spans="1:9" x14ac:dyDescent="0.25">
      <c r="A6827" t="s">
        <v>5938</v>
      </c>
      <c r="B6827" t="s">
        <v>13</v>
      </c>
      <c r="C6827">
        <v>2</v>
      </c>
      <c r="D6827">
        <v>3</v>
      </c>
      <c r="E6827" t="s">
        <v>17</v>
      </c>
      <c r="F6827">
        <v>22</v>
      </c>
      <c r="G6827">
        <v>17</v>
      </c>
      <c r="H6827" t="s">
        <v>17</v>
      </c>
      <c r="I6827" t="str">
        <f>"069103012110"</f>
        <v>069103012110</v>
      </c>
    </row>
    <row r="6828" spans="1:9" x14ac:dyDescent="0.25">
      <c r="A6828" t="s">
        <v>5939</v>
      </c>
      <c r="B6828" t="s">
        <v>13</v>
      </c>
      <c r="C6828">
        <v>26</v>
      </c>
      <c r="D6828">
        <v>25.05</v>
      </c>
      <c r="E6828" t="s">
        <v>17</v>
      </c>
      <c r="F6828">
        <v>29.65</v>
      </c>
      <c r="G6828">
        <v>29.58</v>
      </c>
      <c r="H6828" t="s">
        <v>17</v>
      </c>
      <c r="I6828" t="str">
        <f>"062580009934"</f>
        <v>062580009934</v>
      </c>
    </row>
    <row r="6829" spans="1:9" x14ac:dyDescent="0.25">
      <c r="A6829" t="s">
        <v>5940</v>
      </c>
      <c r="B6829" t="s">
        <v>13</v>
      </c>
      <c r="C6829">
        <v>82.62</v>
      </c>
      <c r="D6829">
        <v>83.6</v>
      </c>
      <c r="E6829" t="s">
        <v>17</v>
      </c>
      <c r="F6829">
        <v>23.4</v>
      </c>
      <c r="G6829">
        <v>23.28</v>
      </c>
      <c r="H6829" t="s">
        <v>17</v>
      </c>
      <c r="I6829" t="str">
        <f>"063398005335"</f>
        <v>063398005335</v>
      </c>
    </row>
    <row r="6830" spans="1:9" x14ac:dyDescent="0.25">
      <c r="A6830" t="s">
        <v>5941</v>
      </c>
      <c r="B6830" t="s">
        <v>13</v>
      </c>
      <c r="C6830">
        <v>16.600000000000001</v>
      </c>
      <c r="D6830">
        <v>19</v>
      </c>
      <c r="E6830" t="s">
        <v>17</v>
      </c>
      <c r="F6830">
        <v>30.54</v>
      </c>
      <c r="G6830">
        <v>26.37</v>
      </c>
      <c r="H6830" t="s">
        <v>17</v>
      </c>
      <c r="I6830" t="str">
        <f>"060423000384"</f>
        <v>060423000384</v>
      </c>
    </row>
    <row r="6831" spans="1:9" x14ac:dyDescent="0.25">
      <c r="A6831" t="s">
        <v>5942</v>
      </c>
      <c r="B6831" t="s">
        <v>13</v>
      </c>
      <c r="C6831">
        <v>15.6</v>
      </c>
      <c r="D6831">
        <v>15</v>
      </c>
      <c r="E6831" t="s">
        <v>17</v>
      </c>
      <c r="F6831">
        <v>24.55</v>
      </c>
      <c r="G6831">
        <v>25.33</v>
      </c>
      <c r="H6831" t="s">
        <v>17</v>
      </c>
      <c r="I6831" t="str">
        <f>"063492005914"</f>
        <v>063492005914</v>
      </c>
    </row>
    <row r="6832" spans="1:9" x14ac:dyDescent="0.25">
      <c r="A6832" t="s">
        <v>5943</v>
      </c>
      <c r="B6832" t="s">
        <v>13</v>
      </c>
      <c r="C6832">
        <v>20</v>
      </c>
      <c r="D6832">
        <v>20.37</v>
      </c>
      <c r="E6832" t="s">
        <v>17</v>
      </c>
      <c r="F6832">
        <v>27.05</v>
      </c>
      <c r="G6832">
        <v>26.56</v>
      </c>
      <c r="H6832" t="s">
        <v>17</v>
      </c>
      <c r="I6832" t="str">
        <f>"063213007422"</f>
        <v>063213007422</v>
      </c>
    </row>
    <row r="6833" spans="1:9" x14ac:dyDescent="0.25">
      <c r="A6833" t="s">
        <v>5944</v>
      </c>
      <c r="B6833" t="s">
        <v>13</v>
      </c>
      <c r="C6833" t="s">
        <v>14</v>
      </c>
      <c r="D6833">
        <v>3</v>
      </c>
      <c r="E6833" t="s">
        <v>17</v>
      </c>
      <c r="F6833" t="s">
        <v>17</v>
      </c>
      <c r="G6833">
        <v>19</v>
      </c>
      <c r="H6833" t="s">
        <v>17</v>
      </c>
      <c r="I6833" t="str">
        <f>"064119001245"</f>
        <v>064119001245</v>
      </c>
    </row>
    <row r="6834" spans="1:9" x14ac:dyDescent="0.25">
      <c r="A6834" t="s">
        <v>5945</v>
      </c>
      <c r="B6834" t="s">
        <v>13</v>
      </c>
      <c r="C6834">
        <v>3.6</v>
      </c>
      <c r="D6834">
        <v>3.6</v>
      </c>
      <c r="E6834" t="s">
        <v>17</v>
      </c>
      <c r="F6834">
        <v>26.94</v>
      </c>
      <c r="G6834">
        <v>26.39</v>
      </c>
      <c r="H6834" t="s">
        <v>17</v>
      </c>
      <c r="I6834" t="str">
        <f>"060245006975"</f>
        <v>060245006975</v>
      </c>
    </row>
    <row r="6835" spans="1:9" x14ac:dyDescent="0.25">
      <c r="A6835" t="s">
        <v>5946</v>
      </c>
      <c r="B6835" t="s">
        <v>13</v>
      </c>
      <c r="C6835">
        <v>10.1</v>
      </c>
      <c r="D6835">
        <v>11.2</v>
      </c>
      <c r="E6835" t="s">
        <v>17</v>
      </c>
      <c r="F6835">
        <v>17.13</v>
      </c>
      <c r="G6835">
        <v>16.88</v>
      </c>
      <c r="H6835" t="s">
        <v>17</v>
      </c>
      <c r="I6835" t="str">
        <f>"063660010676"</f>
        <v>063660010676</v>
      </c>
    </row>
    <row r="6836" spans="1:9" x14ac:dyDescent="0.25">
      <c r="A6836" t="s">
        <v>5947</v>
      </c>
      <c r="B6836" t="s">
        <v>13</v>
      </c>
      <c r="C6836">
        <v>19.63</v>
      </c>
      <c r="D6836">
        <v>22.75</v>
      </c>
      <c r="E6836" t="s">
        <v>17</v>
      </c>
      <c r="F6836">
        <v>21.6</v>
      </c>
      <c r="G6836">
        <v>22.55</v>
      </c>
      <c r="H6836" t="s">
        <v>17</v>
      </c>
      <c r="I6836" t="str">
        <f>"063877006515"</f>
        <v>063877006515</v>
      </c>
    </row>
    <row r="6837" spans="1:9" x14ac:dyDescent="0.25">
      <c r="A6837" t="s">
        <v>5948</v>
      </c>
      <c r="B6837" t="s">
        <v>13</v>
      </c>
      <c r="C6837">
        <v>19.600000000000001</v>
      </c>
      <c r="D6837">
        <v>19.98</v>
      </c>
      <c r="E6837" t="s">
        <v>17</v>
      </c>
      <c r="F6837">
        <v>15.46</v>
      </c>
      <c r="G6837">
        <v>16.02</v>
      </c>
      <c r="H6837" t="s">
        <v>17</v>
      </c>
      <c r="I6837" t="str">
        <f>"063877006514"</f>
        <v>063877006514</v>
      </c>
    </row>
    <row r="6838" spans="1:9" x14ac:dyDescent="0.25">
      <c r="A6838" t="s">
        <v>5949</v>
      </c>
      <c r="B6838" t="s">
        <v>13</v>
      </c>
      <c r="C6838">
        <v>22.5</v>
      </c>
      <c r="D6838">
        <v>23.5</v>
      </c>
      <c r="E6838" t="s">
        <v>17</v>
      </c>
      <c r="F6838">
        <v>27.02</v>
      </c>
      <c r="G6838">
        <v>27.66</v>
      </c>
      <c r="H6838" t="s">
        <v>17</v>
      </c>
      <c r="I6838" t="str">
        <f>"061392001595"</f>
        <v>061392001595</v>
      </c>
    </row>
    <row r="6839" spans="1:9" x14ac:dyDescent="0.25">
      <c r="A6839" t="s">
        <v>5950</v>
      </c>
      <c r="B6839" t="s">
        <v>13</v>
      </c>
      <c r="C6839">
        <v>32.75</v>
      </c>
      <c r="D6839">
        <v>22.75</v>
      </c>
      <c r="E6839" t="s">
        <v>17</v>
      </c>
      <c r="F6839">
        <v>27.27</v>
      </c>
      <c r="G6839">
        <v>24.97</v>
      </c>
      <c r="H6839" t="s">
        <v>17</v>
      </c>
      <c r="I6839" t="str">
        <f>"062825004366"</f>
        <v>062825004366</v>
      </c>
    </row>
    <row r="6840" spans="1:9" x14ac:dyDescent="0.25">
      <c r="A6840" t="s">
        <v>5951</v>
      </c>
      <c r="B6840" t="s">
        <v>13</v>
      </c>
      <c r="C6840">
        <v>4.7</v>
      </c>
      <c r="D6840">
        <v>4.63</v>
      </c>
      <c r="E6840" t="s">
        <v>17</v>
      </c>
      <c r="F6840">
        <v>16.809999999999999</v>
      </c>
      <c r="G6840">
        <v>20.52</v>
      </c>
      <c r="H6840" t="s">
        <v>17</v>
      </c>
      <c r="I6840" t="str">
        <f>"060270000197"</f>
        <v>060270000197</v>
      </c>
    </row>
    <row r="6841" spans="1:9" x14ac:dyDescent="0.25">
      <c r="A6841" t="s">
        <v>5952</v>
      </c>
      <c r="B6841" t="s">
        <v>13</v>
      </c>
      <c r="C6841">
        <v>3.25</v>
      </c>
      <c r="D6841">
        <v>2.5</v>
      </c>
      <c r="E6841" t="s">
        <v>17</v>
      </c>
      <c r="F6841">
        <v>10.46</v>
      </c>
      <c r="G6841">
        <v>19.600000000000001</v>
      </c>
      <c r="H6841" t="s">
        <v>17</v>
      </c>
      <c r="I6841" t="str">
        <f>"060004507089"</f>
        <v>060004507089</v>
      </c>
    </row>
    <row r="6842" spans="1:9" x14ac:dyDescent="0.25">
      <c r="A6842" t="s">
        <v>5953</v>
      </c>
      <c r="B6842" t="s">
        <v>13</v>
      </c>
      <c r="C6842">
        <v>10.75</v>
      </c>
      <c r="D6842">
        <v>13.5</v>
      </c>
      <c r="E6842" t="s">
        <v>17</v>
      </c>
      <c r="F6842">
        <v>17.77</v>
      </c>
      <c r="G6842">
        <v>16.59</v>
      </c>
      <c r="H6842" t="s">
        <v>17</v>
      </c>
      <c r="I6842" t="str">
        <f>"062271011339"</f>
        <v>062271011339</v>
      </c>
    </row>
    <row r="6843" spans="1:9" x14ac:dyDescent="0.25">
      <c r="A6843" t="s">
        <v>5954</v>
      </c>
      <c r="B6843" t="s">
        <v>13</v>
      </c>
      <c r="C6843">
        <v>16</v>
      </c>
      <c r="D6843">
        <v>19</v>
      </c>
      <c r="E6843" t="s">
        <v>17</v>
      </c>
      <c r="F6843">
        <v>28.5</v>
      </c>
      <c r="G6843">
        <v>25.89</v>
      </c>
      <c r="H6843" t="s">
        <v>17</v>
      </c>
      <c r="I6843" t="str">
        <f>"063417001131"</f>
        <v>063417001131</v>
      </c>
    </row>
    <row r="6844" spans="1:9" x14ac:dyDescent="0.25">
      <c r="A6844" t="s">
        <v>5955</v>
      </c>
      <c r="B6844" t="s">
        <v>13</v>
      </c>
      <c r="C6844">
        <v>11</v>
      </c>
      <c r="D6844">
        <v>11</v>
      </c>
      <c r="E6844" t="s">
        <v>17</v>
      </c>
      <c r="F6844">
        <v>18.36</v>
      </c>
      <c r="G6844">
        <v>19.45</v>
      </c>
      <c r="H6844" t="s">
        <v>17</v>
      </c>
      <c r="I6844" t="str">
        <f>"061495010422"</f>
        <v>061495010422</v>
      </c>
    </row>
    <row r="6845" spans="1:9" x14ac:dyDescent="0.25">
      <c r="A6845" t="s">
        <v>5956</v>
      </c>
      <c r="B6845" t="s">
        <v>13</v>
      </c>
      <c r="C6845">
        <v>27.6</v>
      </c>
      <c r="D6845">
        <v>25</v>
      </c>
      <c r="E6845" t="s">
        <v>17</v>
      </c>
      <c r="F6845">
        <v>20.18</v>
      </c>
      <c r="G6845">
        <v>21.44</v>
      </c>
      <c r="H6845" t="s">
        <v>17</v>
      </c>
      <c r="I6845" t="str">
        <f>"063375005208"</f>
        <v>063375005208</v>
      </c>
    </row>
    <row r="6846" spans="1:9" x14ac:dyDescent="0.25">
      <c r="A6846" t="s">
        <v>5957</v>
      </c>
      <c r="B6846" t="s">
        <v>13</v>
      </c>
      <c r="C6846">
        <v>4.3</v>
      </c>
      <c r="D6846">
        <v>5.3</v>
      </c>
      <c r="E6846" t="s">
        <v>17</v>
      </c>
      <c r="F6846">
        <v>30.7</v>
      </c>
      <c r="G6846">
        <v>23.96</v>
      </c>
      <c r="H6846" t="s">
        <v>17</v>
      </c>
      <c r="I6846" t="str">
        <f>"069100911934"</f>
        <v>069100911934</v>
      </c>
    </row>
    <row r="6847" spans="1:9" x14ac:dyDescent="0.25">
      <c r="A6847" t="s">
        <v>5958</v>
      </c>
      <c r="B6847" t="s">
        <v>13</v>
      </c>
      <c r="C6847" t="s">
        <v>17</v>
      </c>
      <c r="D6847" t="s">
        <v>17</v>
      </c>
      <c r="E6847" t="s">
        <v>17</v>
      </c>
      <c r="F6847" t="s">
        <v>17</v>
      </c>
      <c r="G6847" t="s">
        <v>17</v>
      </c>
      <c r="H6847" t="s">
        <v>17</v>
      </c>
      <c r="I6847" t="str">
        <f>"060303007973"</f>
        <v>060303007973</v>
      </c>
    </row>
    <row r="6848" spans="1:9" x14ac:dyDescent="0.25">
      <c r="A6848" t="s">
        <v>5959</v>
      </c>
      <c r="B6848" t="s">
        <v>13</v>
      </c>
      <c r="C6848">
        <v>64.2</v>
      </c>
      <c r="D6848">
        <v>62.6</v>
      </c>
      <c r="E6848" t="s">
        <v>17</v>
      </c>
      <c r="F6848">
        <v>24.75</v>
      </c>
      <c r="G6848">
        <v>24.78</v>
      </c>
      <c r="H6848" t="s">
        <v>17</v>
      </c>
      <c r="I6848" t="str">
        <f>"062637003961"</f>
        <v>062637003961</v>
      </c>
    </row>
    <row r="6849" spans="1:9" x14ac:dyDescent="0.25">
      <c r="A6849" t="s">
        <v>5960</v>
      </c>
      <c r="B6849" t="s">
        <v>13</v>
      </c>
      <c r="C6849">
        <v>29.1</v>
      </c>
      <c r="D6849">
        <v>30.6</v>
      </c>
      <c r="E6849" t="s">
        <v>17</v>
      </c>
      <c r="F6849">
        <v>21.44</v>
      </c>
      <c r="G6849">
        <v>20.72</v>
      </c>
      <c r="H6849" t="s">
        <v>17</v>
      </c>
      <c r="I6849" t="str">
        <f>"060774011330"</f>
        <v>060774011330</v>
      </c>
    </row>
    <row r="6850" spans="1:9" x14ac:dyDescent="0.25">
      <c r="A6850" t="s">
        <v>5961</v>
      </c>
      <c r="B6850" t="s">
        <v>13</v>
      </c>
      <c r="C6850">
        <v>22</v>
      </c>
      <c r="D6850">
        <v>20</v>
      </c>
      <c r="E6850" t="s">
        <v>17</v>
      </c>
      <c r="F6850">
        <v>25.59</v>
      </c>
      <c r="G6850">
        <v>27</v>
      </c>
      <c r="H6850" t="s">
        <v>17</v>
      </c>
      <c r="I6850" t="str">
        <f>"063003004702"</f>
        <v>063003004702</v>
      </c>
    </row>
    <row r="6851" spans="1:9" x14ac:dyDescent="0.25">
      <c r="A6851" t="s">
        <v>5962</v>
      </c>
      <c r="B6851" t="s">
        <v>13</v>
      </c>
      <c r="C6851">
        <v>17.13</v>
      </c>
      <c r="D6851">
        <v>19</v>
      </c>
      <c r="E6851" t="s">
        <v>17</v>
      </c>
      <c r="F6851">
        <v>28.14</v>
      </c>
      <c r="G6851">
        <v>26.53</v>
      </c>
      <c r="H6851" t="s">
        <v>17</v>
      </c>
      <c r="I6851" t="str">
        <f>"062025002440"</f>
        <v>062025002440</v>
      </c>
    </row>
    <row r="6852" spans="1:9" x14ac:dyDescent="0.25">
      <c r="A6852" t="s">
        <v>5963</v>
      </c>
      <c r="B6852" t="s">
        <v>13</v>
      </c>
      <c r="C6852">
        <v>40.5</v>
      </c>
      <c r="D6852">
        <v>40.53</v>
      </c>
      <c r="E6852" t="s">
        <v>17</v>
      </c>
      <c r="F6852">
        <v>26.54</v>
      </c>
      <c r="G6852">
        <v>26.08</v>
      </c>
      <c r="H6852" t="s">
        <v>17</v>
      </c>
      <c r="I6852" t="str">
        <f>"062271010862"</f>
        <v>062271010862</v>
      </c>
    </row>
    <row r="6853" spans="1:9" x14ac:dyDescent="0.25">
      <c r="A6853" t="s">
        <v>5964</v>
      </c>
      <c r="B6853" t="s">
        <v>13</v>
      </c>
      <c r="C6853">
        <v>16.39</v>
      </c>
      <c r="D6853">
        <v>20.399999999999999</v>
      </c>
      <c r="E6853" t="s">
        <v>17</v>
      </c>
      <c r="F6853">
        <v>27.82</v>
      </c>
      <c r="G6853">
        <v>22.25</v>
      </c>
      <c r="H6853" t="s">
        <v>17</v>
      </c>
      <c r="I6853" t="str">
        <f>"063462005802"</f>
        <v>063462005802</v>
      </c>
    </row>
    <row r="6854" spans="1:9" x14ac:dyDescent="0.25">
      <c r="A6854" t="s">
        <v>5965</v>
      </c>
      <c r="B6854" t="s">
        <v>13</v>
      </c>
      <c r="C6854">
        <v>40.5</v>
      </c>
      <c r="D6854">
        <v>48</v>
      </c>
      <c r="E6854" t="s">
        <v>17</v>
      </c>
      <c r="F6854">
        <v>20.96</v>
      </c>
      <c r="G6854">
        <v>16.63</v>
      </c>
      <c r="H6854" t="s">
        <v>17</v>
      </c>
      <c r="I6854" t="str">
        <f>"062271003231"</f>
        <v>062271003231</v>
      </c>
    </row>
    <row r="6855" spans="1:9" x14ac:dyDescent="0.25">
      <c r="A6855" t="s">
        <v>5966</v>
      </c>
      <c r="B6855" t="s">
        <v>13</v>
      </c>
      <c r="C6855">
        <v>13</v>
      </c>
      <c r="D6855">
        <v>19.8</v>
      </c>
      <c r="E6855" t="s">
        <v>17</v>
      </c>
      <c r="F6855">
        <v>23.38</v>
      </c>
      <c r="G6855">
        <v>21.92</v>
      </c>
      <c r="H6855" t="s">
        <v>17</v>
      </c>
      <c r="I6855" t="str">
        <f>"060524007651"</f>
        <v>060524007651</v>
      </c>
    </row>
    <row r="6856" spans="1:9" x14ac:dyDescent="0.25">
      <c r="A6856" t="s">
        <v>5967</v>
      </c>
      <c r="B6856" t="s">
        <v>13</v>
      </c>
      <c r="C6856">
        <v>61.55</v>
      </c>
      <c r="D6856">
        <v>62.37</v>
      </c>
      <c r="E6856" t="s">
        <v>17</v>
      </c>
      <c r="F6856">
        <v>23.87</v>
      </c>
      <c r="G6856">
        <v>24.61</v>
      </c>
      <c r="H6856" t="s">
        <v>17</v>
      </c>
      <c r="I6856" t="str">
        <f>"061005001102"</f>
        <v>061005001102</v>
      </c>
    </row>
    <row r="6857" spans="1:9" x14ac:dyDescent="0.25">
      <c r="A6857" t="s">
        <v>5968</v>
      </c>
      <c r="B6857" t="s">
        <v>13</v>
      </c>
      <c r="C6857">
        <v>22.9</v>
      </c>
      <c r="D6857">
        <v>23.9</v>
      </c>
      <c r="E6857" t="s">
        <v>17</v>
      </c>
      <c r="F6857">
        <v>24.02</v>
      </c>
      <c r="G6857">
        <v>24.52</v>
      </c>
      <c r="H6857" t="s">
        <v>17</v>
      </c>
      <c r="I6857" t="str">
        <f>"061152001287"</f>
        <v>061152001287</v>
      </c>
    </row>
    <row r="6858" spans="1:9" x14ac:dyDescent="0.25">
      <c r="A6858" t="s">
        <v>5969</v>
      </c>
      <c r="B6858" t="s">
        <v>13</v>
      </c>
      <c r="C6858">
        <v>7.1</v>
      </c>
      <c r="D6858">
        <v>7.9</v>
      </c>
      <c r="E6858" t="s">
        <v>17</v>
      </c>
      <c r="F6858">
        <v>15.63</v>
      </c>
      <c r="G6858">
        <v>15.44</v>
      </c>
      <c r="H6858" t="s">
        <v>17</v>
      </c>
      <c r="I6858" t="str">
        <f>"063045011480"</f>
        <v>063045011480</v>
      </c>
    </row>
    <row r="6859" spans="1:9" x14ac:dyDescent="0.25">
      <c r="A6859" t="s">
        <v>5970</v>
      </c>
      <c r="B6859" t="s">
        <v>13</v>
      </c>
      <c r="C6859">
        <v>19.5</v>
      </c>
      <c r="D6859">
        <v>20.5</v>
      </c>
      <c r="E6859" t="s">
        <v>17</v>
      </c>
      <c r="F6859">
        <v>23.79</v>
      </c>
      <c r="G6859">
        <v>23.37</v>
      </c>
      <c r="H6859" t="s">
        <v>17</v>
      </c>
      <c r="I6859" t="str">
        <f>"060480000463"</f>
        <v>060480000463</v>
      </c>
    </row>
    <row r="6860" spans="1:9" x14ac:dyDescent="0.25">
      <c r="A6860" t="s">
        <v>5970</v>
      </c>
      <c r="B6860" t="s">
        <v>13</v>
      </c>
      <c r="C6860">
        <v>19</v>
      </c>
      <c r="D6860">
        <v>19</v>
      </c>
      <c r="E6860" t="s">
        <v>17</v>
      </c>
      <c r="F6860">
        <v>26</v>
      </c>
      <c r="G6860">
        <v>25.32</v>
      </c>
      <c r="H6860" t="s">
        <v>17</v>
      </c>
      <c r="I6860" t="str">
        <f>"060133204156"</f>
        <v>060133204156</v>
      </c>
    </row>
    <row r="6861" spans="1:9" x14ac:dyDescent="0.25">
      <c r="A6861" t="s">
        <v>5970</v>
      </c>
      <c r="B6861" t="s">
        <v>13</v>
      </c>
      <c r="C6861">
        <v>13.2</v>
      </c>
      <c r="D6861">
        <v>13.7</v>
      </c>
      <c r="E6861" t="s">
        <v>17</v>
      </c>
      <c r="F6861">
        <v>27.2</v>
      </c>
      <c r="G6861">
        <v>25.99</v>
      </c>
      <c r="H6861" t="s">
        <v>17</v>
      </c>
      <c r="I6861" t="str">
        <f>"062664004024"</f>
        <v>062664004024</v>
      </c>
    </row>
    <row r="6862" spans="1:9" x14ac:dyDescent="0.25">
      <c r="A6862" t="s">
        <v>5970</v>
      </c>
      <c r="B6862" t="s">
        <v>13</v>
      </c>
      <c r="C6862">
        <v>22.71</v>
      </c>
      <c r="D6862">
        <v>21</v>
      </c>
      <c r="E6862" t="s">
        <v>17</v>
      </c>
      <c r="F6862">
        <v>30.47</v>
      </c>
      <c r="G6862">
        <v>31.14</v>
      </c>
      <c r="H6862" t="s">
        <v>17</v>
      </c>
      <c r="I6862" t="str">
        <f>"068450007374"</f>
        <v>068450007374</v>
      </c>
    </row>
    <row r="6863" spans="1:9" x14ac:dyDescent="0.25">
      <c r="A6863" t="s">
        <v>5971</v>
      </c>
      <c r="B6863" t="s">
        <v>13</v>
      </c>
      <c r="C6863">
        <v>68.040000000000006</v>
      </c>
      <c r="D6863">
        <v>69.58</v>
      </c>
      <c r="E6863" t="s">
        <v>17</v>
      </c>
      <c r="F6863">
        <v>28.89</v>
      </c>
      <c r="G6863">
        <v>28.07</v>
      </c>
      <c r="H6863" t="s">
        <v>17</v>
      </c>
      <c r="I6863" t="str">
        <f>"068450008251"</f>
        <v>068450008251</v>
      </c>
    </row>
    <row r="6864" spans="1:9" x14ac:dyDescent="0.25">
      <c r="A6864" t="s">
        <v>5972</v>
      </c>
      <c r="B6864" t="s">
        <v>13</v>
      </c>
      <c r="C6864">
        <v>23.5</v>
      </c>
      <c r="D6864">
        <v>21</v>
      </c>
      <c r="E6864" t="s">
        <v>17</v>
      </c>
      <c r="F6864">
        <v>24.94</v>
      </c>
      <c r="G6864">
        <v>24.86</v>
      </c>
      <c r="H6864" t="s">
        <v>17</v>
      </c>
      <c r="I6864" t="str">
        <f>"069102912150"</f>
        <v>069102912150</v>
      </c>
    </row>
    <row r="6865" spans="1:9" x14ac:dyDescent="0.25">
      <c r="A6865" t="s">
        <v>5973</v>
      </c>
      <c r="B6865" t="s">
        <v>13</v>
      </c>
      <c r="C6865">
        <v>89.4</v>
      </c>
      <c r="D6865">
        <v>89.2</v>
      </c>
      <c r="E6865" t="s">
        <v>17</v>
      </c>
      <c r="F6865">
        <v>24.08</v>
      </c>
      <c r="G6865">
        <v>24.99</v>
      </c>
      <c r="H6865" t="s">
        <v>17</v>
      </c>
      <c r="I6865" t="str">
        <f>"062769004180"</f>
        <v>062769004180</v>
      </c>
    </row>
    <row r="6866" spans="1:9" x14ac:dyDescent="0.25">
      <c r="A6866" t="s">
        <v>5974</v>
      </c>
      <c r="B6866" t="s">
        <v>13</v>
      </c>
      <c r="C6866">
        <v>28</v>
      </c>
      <c r="D6866">
        <v>28.51</v>
      </c>
      <c r="E6866" t="s">
        <v>17</v>
      </c>
      <c r="F6866">
        <v>25.14</v>
      </c>
      <c r="G6866">
        <v>24.24</v>
      </c>
      <c r="H6866" t="s">
        <v>17</v>
      </c>
      <c r="I6866" t="str">
        <f>"061314007708"</f>
        <v>061314007708</v>
      </c>
    </row>
    <row r="6867" spans="1:9" x14ac:dyDescent="0.25">
      <c r="A6867" t="s">
        <v>5975</v>
      </c>
      <c r="B6867" t="s">
        <v>13</v>
      </c>
      <c r="C6867">
        <v>32.6</v>
      </c>
      <c r="D6867">
        <v>30</v>
      </c>
      <c r="E6867" t="s">
        <v>17</v>
      </c>
      <c r="F6867">
        <v>22.82</v>
      </c>
      <c r="G6867">
        <v>25.07</v>
      </c>
      <c r="H6867" t="s">
        <v>17</v>
      </c>
      <c r="I6867" t="str">
        <f>"060133211201"</f>
        <v>060133211201</v>
      </c>
    </row>
    <row r="6868" spans="1:9" x14ac:dyDescent="0.25">
      <c r="A6868" t="s">
        <v>5976</v>
      </c>
      <c r="B6868" t="s">
        <v>13</v>
      </c>
      <c r="C6868">
        <v>31</v>
      </c>
      <c r="D6868">
        <v>33.5</v>
      </c>
      <c r="E6868" t="s">
        <v>17</v>
      </c>
      <c r="F6868">
        <v>22.68</v>
      </c>
      <c r="G6868">
        <v>21.91</v>
      </c>
      <c r="H6868" t="s">
        <v>17</v>
      </c>
      <c r="I6868" t="str">
        <f>"062271003232"</f>
        <v>062271003232</v>
      </c>
    </row>
    <row r="6869" spans="1:9" x14ac:dyDescent="0.25">
      <c r="A6869" t="s">
        <v>5977</v>
      </c>
      <c r="B6869" t="s">
        <v>13</v>
      </c>
      <c r="C6869">
        <v>19.600000000000001</v>
      </c>
      <c r="D6869">
        <v>16.7</v>
      </c>
      <c r="E6869" t="s">
        <v>17</v>
      </c>
      <c r="F6869">
        <v>20.87</v>
      </c>
      <c r="G6869">
        <v>22.1</v>
      </c>
      <c r="H6869" t="s">
        <v>17</v>
      </c>
      <c r="I6869" t="str">
        <f>"063531010989"</f>
        <v>063531010989</v>
      </c>
    </row>
    <row r="6870" spans="1:9" x14ac:dyDescent="0.25">
      <c r="A6870" t="s">
        <v>5978</v>
      </c>
      <c r="B6870" t="s">
        <v>13</v>
      </c>
      <c r="C6870">
        <v>11</v>
      </c>
      <c r="D6870">
        <v>9</v>
      </c>
      <c r="E6870" t="s">
        <v>17</v>
      </c>
      <c r="F6870">
        <v>18.82</v>
      </c>
      <c r="G6870">
        <v>15.33</v>
      </c>
      <c r="H6870" t="s">
        <v>17</v>
      </c>
      <c r="I6870" t="str">
        <f>"060907012684"</f>
        <v>060907012684</v>
      </c>
    </row>
    <row r="6871" spans="1:9" x14ac:dyDescent="0.25">
      <c r="A6871" t="s">
        <v>5979</v>
      </c>
      <c r="B6871" t="s">
        <v>13</v>
      </c>
      <c r="C6871" t="s">
        <v>14</v>
      </c>
      <c r="D6871" t="s">
        <v>14</v>
      </c>
      <c r="E6871" t="s">
        <v>17</v>
      </c>
      <c r="F6871" t="s">
        <v>14</v>
      </c>
      <c r="G6871" t="s">
        <v>14</v>
      </c>
      <c r="H6871" t="s">
        <v>17</v>
      </c>
      <c r="I6871" t="str">
        <f>"060133211071"</f>
        <v>060133211071</v>
      </c>
    </row>
    <row r="6872" spans="1:9" x14ac:dyDescent="0.25">
      <c r="A6872" t="s">
        <v>5980</v>
      </c>
      <c r="B6872" t="s">
        <v>13</v>
      </c>
      <c r="C6872">
        <v>3.2</v>
      </c>
      <c r="D6872">
        <v>3</v>
      </c>
      <c r="E6872" t="s">
        <v>17</v>
      </c>
      <c r="F6872">
        <v>17.190000000000001</v>
      </c>
      <c r="G6872">
        <v>21.67</v>
      </c>
      <c r="H6872" t="s">
        <v>17</v>
      </c>
      <c r="I6872" t="str">
        <f>"062772004199"</f>
        <v>062772004199</v>
      </c>
    </row>
    <row r="6873" spans="1:9" x14ac:dyDescent="0.25">
      <c r="A6873" t="s">
        <v>5981</v>
      </c>
      <c r="B6873" t="s">
        <v>13</v>
      </c>
      <c r="C6873">
        <v>3.8</v>
      </c>
      <c r="D6873">
        <v>3</v>
      </c>
      <c r="E6873" t="s">
        <v>14</v>
      </c>
      <c r="F6873">
        <v>6.32</v>
      </c>
      <c r="G6873">
        <v>4</v>
      </c>
      <c r="H6873" t="s">
        <v>14</v>
      </c>
      <c r="I6873" t="str">
        <f>"060133213020"</f>
        <v>060133213020</v>
      </c>
    </row>
    <row r="6874" spans="1:9" x14ac:dyDescent="0.25">
      <c r="A6874" t="s">
        <v>5982</v>
      </c>
      <c r="B6874" t="s">
        <v>13</v>
      </c>
      <c r="C6874">
        <v>10.3</v>
      </c>
      <c r="D6874">
        <v>10</v>
      </c>
      <c r="E6874" t="s">
        <v>17</v>
      </c>
      <c r="F6874">
        <v>23.88</v>
      </c>
      <c r="G6874">
        <v>24.9</v>
      </c>
      <c r="H6874" t="s">
        <v>17</v>
      </c>
      <c r="I6874" t="str">
        <f>"062772006035"</f>
        <v>062772006035</v>
      </c>
    </row>
    <row r="6875" spans="1:9" x14ac:dyDescent="0.25">
      <c r="A6875" t="s">
        <v>5983</v>
      </c>
      <c r="B6875" t="s">
        <v>13</v>
      </c>
      <c r="C6875" t="s">
        <v>17</v>
      </c>
      <c r="D6875" t="s">
        <v>14</v>
      </c>
      <c r="E6875" t="s">
        <v>14</v>
      </c>
      <c r="F6875" t="s">
        <v>17</v>
      </c>
      <c r="G6875" t="s">
        <v>14</v>
      </c>
      <c r="H6875" t="s">
        <v>14</v>
      </c>
      <c r="I6875" t="str">
        <f>"062772013229"</f>
        <v>062772013229</v>
      </c>
    </row>
    <row r="6876" spans="1:9" x14ac:dyDescent="0.25">
      <c r="A6876" t="s">
        <v>5984</v>
      </c>
      <c r="B6876" t="s">
        <v>13</v>
      </c>
      <c r="C6876">
        <v>62.65</v>
      </c>
      <c r="D6876">
        <v>62.01</v>
      </c>
      <c r="E6876" t="s">
        <v>17</v>
      </c>
      <c r="F6876">
        <v>21.84</v>
      </c>
      <c r="G6876">
        <v>22.59</v>
      </c>
      <c r="H6876" t="s">
        <v>17</v>
      </c>
      <c r="I6876" t="str">
        <f>"062772004191"</f>
        <v>062772004191</v>
      </c>
    </row>
    <row r="6877" spans="1:9" x14ac:dyDescent="0.25">
      <c r="A6877" t="s">
        <v>5985</v>
      </c>
      <c r="B6877" t="s">
        <v>13</v>
      </c>
      <c r="C6877">
        <v>2.0499999999999998</v>
      </c>
      <c r="D6877">
        <v>2</v>
      </c>
      <c r="E6877" t="s">
        <v>17</v>
      </c>
      <c r="F6877">
        <v>13.66</v>
      </c>
      <c r="G6877">
        <v>15</v>
      </c>
      <c r="H6877" t="s">
        <v>17</v>
      </c>
      <c r="I6877" t="str">
        <f>"061407000660"</f>
        <v>061407000660</v>
      </c>
    </row>
    <row r="6878" spans="1:9" x14ac:dyDescent="0.25">
      <c r="A6878" t="s">
        <v>5986</v>
      </c>
      <c r="B6878" t="s">
        <v>13</v>
      </c>
      <c r="C6878">
        <v>2.35</v>
      </c>
      <c r="D6878">
        <v>2.7</v>
      </c>
      <c r="E6878" t="s">
        <v>17</v>
      </c>
      <c r="F6878">
        <v>17.45</v>
      </c>
      <c r="G6878">
        <v>15.93</v>
      </c>
      <c r="H6878" t="s">
        <v>17</v>
      </c>
      <c r="I6878" t="str">
        <f>"062688010261"</f>
        <v>062688010261</v>
      </c>
    </row>
    <row r="6879" spans="1:9" x14ac:dyDescent="0.25">
      <c r="A6879" t="s">
        <v>5987</v>
      </c>
      <c r="B6879" t="s">
        <v>13</v>
      </c>
      <c r="C6879">
        <v>10</v>
      </c>
      <c r="D6879">
        <v>14.66</v>
      </c>
      <c r="E6879" t="s">
        <v>17</v>
      </c>
      <c r="F6879">
        <v>17.2</v>
      </c>
      <c r="G6879">
        <v>14.87</v>
      </c>
      <c r="H6879" t="s">
        <v>17</v>
      </c>
      <c r="I6879" t="str">
        <f>"063432007347"</f>
        <v>063432007347</v>
      </c>
    </row>
    <row r="6880" spans="1:9" x14ac:dyDescent="0.25">
      <c r="A6880" t="s">
        <v>5988</v>
      </c>
      <c r="B6880" t="s">
        <v>13</v>
      </c>
      <c r="C6880">
        <v>7</v>
      </c>
      <c r="D6880">
        <v>7</v>
      </c>
      <c r="E6880" t="s">
        <v>17</v>
      </c>
      <c r="F6880">
        <v>21.43</v>
      </c>
      <c r="G6880">
        <v>21.71</v>
      </c>
      <c r="H6880" t="s">
        <v>17</v>
      </c>
      <c r="I6880" t="str">
        <f>"062775004201"</f>
        <v>062775004201</v>
      </c>
    </row>
    <row r="6881" spans="1:9" x14ac:dyDescent="0.25">
      <c r="A6881" t="s">
        <v>5989</v>
      </c>
      <c r="B6881" t="s">
        <v>13</v>
      </c>
      <c r="C6881">
        <v>5.22</v>
      </c>
      <c r="D6881">
        <v>5.43</v>
      </c>
      <c r="E6881" t="s">
        <v>17</v>
      </c>
      <c r="F6881">
        <v>19.54</v>
      </c>
      <c r="G6881">
        <v>20.260000000000002</v>
      </c>
      <c r="H6881" t="s">
        <v>17</v>
      </c>
      <c r="I6881" t="str">
        <f>"061954002351"</f>
        <v>061954002351</v>
      </c>
    </row>
    <row r="6882" spans="1:9" x14ac:dyDescent="0.25">
      <c r="A6882" t="s">
        <v>5990</v>
      </c>
      <c r="B6882" t="s">
        <v>13</v>
      </c>
      <c r="C6882" t="s">
        <v>14</v>
      </c>
      <c r="D6882" t="s">
        <v>14</v>
      </c>
      <c r="E6882" t="s">
        <v>17</v>
      </c>
      <c r="F6882" t="s">
        <v>14</v>
      </c>
      <c r="G6882" t="s">
        <v>14</v>
      </c>
      <c r="H6882" t="s">
        <v>17</v>
      </c>
      <c r="I6882" t="str">
        <f>"062922007808"</f>
        <v>062922007808</v>
      </c>
    </row>
    <row r="6883" spans="1:9" x14ac:dyDescent="0.25">
      <c r="A6883" t="s">
        <v>5991</v>
      </c>
      <c r="B6883" t="s">
        <v>13</v>
      </c>
      <c r="C6883">
        <v>4.5</v>
      </c>
      <c r="D6883">
        <v>4.0999999999999996</v>
      </c>
      <c r="E6883" t="s">
        <v>17</v>
      </c>
      <c r="F6883">
        <v>14.44</v>
      </c>
      <c r="G6883">
        <v>17.32</v>
      </c>
      <c r="H6883" t="s">
        <v>17</v>
      </c>
      <c r="I6883" t="str">
        <f>"060411000375"</f>
        <v>060411000375</v>
      </c>
    </row>
    <row r="6884" spans="1:9" x14ac:dyDescent="0.25">
      <c r="A6884" t="s">
        <v>5991</v>
      </c>
      <c r="B6884" t="s">
        <v>13</v>
      </c>
      <c r="C6884">
        <v>19.940000000000001</v>
      </c>
      <c r="D6884">
        <v>12.91</v>
      </c>
      <c r="E6884" t="s">
        <v>17</v>
      </c>
      <c r="F6884">
        <v>21.11</v>
      </c>
      <c r="G6884">
        <v>23.08</v>
      </c>
      <c r="H6884" t="s">
        <v>17</v>
      </c>
      <c r="I6884" t="str">
        <f>"061926002315"</f>
        <v>061926002315</v>
      </c>
    </row>
    <row r="6885" spans="1:9" x14ac:dyDescent="0.25">
      <c r="A6885" t="s">
        <v>5992</v>
      </c>
      <c r="B6885" t="s">
        <v>13</v>
      </c>
      <c r="C6885">
        <v>45</v>
      </c>
      <c r="D6885">
        <v>48</v>
      </c>
      <c r="E6885" t="s">
        <v>17</v>
      </c>
      <c r="F6885">
        <v>24.64</v>
      </c>
      <c r="G6885">
        <v>22.83</v>
      </c>
      <c r="H6885" t="s">
        <v>17</v>
      </c>
      <c r="I6885" t="str">
        <f>"062271010243"</f>
        <v>062271010243</v>
      </c>
    </row>
    <row r="6886" spans="1:9" x14ac:dyDescent="0.25">
      <c r="A6886" t="s">
        <v>5993</v>
      </c>
      <c r="B6886" t="s">
        <v>13</v>
      </c>
      <c r="C6886">
        <v>2.12</v>
      </c>
      <c r="D6886">
        <v>2.12</v>
      </c>
      <c r="E6886" t="s">
        <v>17</v>
      </c>
      <c r="F6886">
        <v>15.57</v>
      </c>
      <c r="G6886">
        <v>19.809999999999999</v>
      </c>
      <c r="H6886" t="s">
        <v>17</v>
      </c>
      <c r="I6886" t="str">
        <f>"063583002847"</f>
        <v>063583002847</v>
      </c>
    </row>
    <row r="6887" spans="1:9" x14ac:dyDescent="0.25">
      <c r="A6887" t="s">
        <v>5994</v>
      </c>
      <c r="B6887" t="s">
        <v>13</v>
      </c>
      <c r="C6887">
        <v>2.9</v>
      </c>
      <c r="D6887">
        <v>2.84</v>
      </c>
      <c r="E6887" t="s">
        <v>17</v>
      </c>
      <c r="F6887">
        <v>11.03</v>
      </c>
      <c r="G6887">
        <v>20.07</v>
      </c>
      <c r="H6887" t="s">
        <v>17</v>
      </c>
      <c r="I6887" t="str">
        <f>"062637010196"</f>
        <v>062637010196</v>
      </c>
    </row>
    <row r="6888" spans="1:9" x14ac:dyDescent="0.25">
      <c r="A6888" t="s">
        <v>5995</v>
      </c>
      <c r="B6888" t="s">
        <v>13</v>
      </c>
      <c r="C6888">
        <v>41</v>
      </c>
      <c r="D6888">
        <v>38.5</v>
      </c>
      <c r="E6888" t="s">
        <v>17</v>
      </c>
      <c r="F6888">
        <v>20.88</v>
      </c>
      <c r="G6888">
        <v>22.55</v>
      </c>
      <c r="H6888" t="s">
        <v>17</v>
      </c>
      <c r="I6888" t="str">
        <f>"061089012512"</f>
        <v>061089012512</v>
      </c>
    </row>
    <row r="6889" spans="1:9" x14ac:dyDescent="0.25">
      <c r="A6889" t="s">
        <v>5996</v>
      </c>
      <c r="B6889" t="s">
        <v>13</v>
      </c>
      <c r="C6889" t="s">
        <v>14</v>
      </c>
      <c r="D6889" t="s">
        <v>14</v>
      </c>
      <c r="E6889" t="s">
        <v>14</v>
      </c>
      <c r="F6889" t="s">
        <v>17</v>
      </c>
      <c r="G6889" t="s">
        <v>14</v>
      </c>
      <c r="H6889" t="s">
        <v>14</v>
      </c>
      <c r="I6889" t="str">
        <f>"062271011661"</f>
        <v>062271011661</v>
      </c>
    </row>
    <row r="6890" spans="1:9" x14ac:dyDescent="0.25">
      <c r="A6890" t="s">
        <v>5997</v>
      </c>
      <c r="B6890" t="s">
        <v>13</v>
      </c>
      <c r="C6890">
        <v>19</v>
      </c>
      <c r="D6890">
        <v>17.5</v>
      </c>
      <c r="E6890" t="s">
        <v>17</v>
      </c>
      <c r="F6890">
        <v>27.05</v>
      </c>
      <c r="G6890">
        <v>25.71</v>
      </c>
      <c r="H6890" t="s">
        <v>17</v>
      </c>
      <c r="I6890" t="str">
        <f>"062778010350"</f>
        <v>062778010350</v>
      </c>
    </row>
    <row r="6891" spans="1:9" x14ac:dyDescent="0.25">
      <c r="A6891" t="s">
        <v>5998</v>
      </c>
      <c r="B6891" t="s">
        <v>13</v>
      </c>
      <c r="C6891">
        <v>24</v>
      </c>
      <c r="D6891">
        <v>24</v>
      </c>
      <c r="E6891" t="s">
        <v>17</v>
      </c>
      <c r="F6891">
        <v>27.17</v>
      </c>
      <c r="G6891">
        <v>22.42</v>
      </c>
      <c r="H6891" t="s">
        <v>17</v>
      </c>
      <c r="I6891" t="str">
        <f>"062778004202"</f>
        <v>062778004202</v>
      </c>
    </row>
    <row r="6892" spans="1:9" x14ac:dyDescent="0.25">
      <c r="A6892" t="s">
        <v>5999</v>
      </c>
      <c r="B6892" t="s">
        <v>13</v>
      </c>
      <c r="C6892">
        <v>26.8</v>
      </c>
      <c r="D6892">
        <v>25.8</v>
      </c>
      <c r="E6892" t="s">
        <v>17</v>
      </c>
      <c r="F6892">
        <v>19.739999999999998</v>
      </c>
      <c r="G6892">
        <v>22.44</v>
      </c>
      <c r="H6892" t="s">
        <v>17</v>
      </c>
      <c r="I6892" t="str">
        <f>"063432003954"</f>
        <v>063432003954</v>
      </c>
    </row>
    <row r="6893" spans="1:9" x14ac:dyDescent="0.25">
      <c r="A6893" t="s">
        <v>6000</v>
      </c>
      <c r="B6893" t="s">
        <v>13</v>
      </c>
      <c r="C6893">
        <v>16</v>
      </c>
      <c r="D6893">
        <v>20.5</v>
      </c>
      <c r="E6893" t="s">
        <v>17</v>
      </c>
      <c r="F6893">
        <v>28.19</v>
      </c>
      <c r="G6893">
        <v>20.93</v>
      </c>
      <c r="H6893" t="s">
        <v>17</v>
      </c>
      <c r="I6893" t="str">
        <f>"063255005047"</f>
        <v>063255005047</v>
      </c>
    </row>
    <row r="6894" spans="1:9" x14ac:dyDescent="0.25">
      <c r="A6894" t="s">
        <v>6001</v>
      </c>
      <c r="B6894" t="s">
        <v>13</v>
      </c>
      <c r="C6894">
        <v>32.9</v>
      </c>
      <c r="D6894">
        <v>36.6</v>
      </c>
      <c r="E6894" t="s">
        <v>17</v>
      </c>
      <c r="F6894">
        <v>13.65</v>
      </c>
      <c r="G6894">
        <v>13.01</v>
      </c>
      <c r="H6894" t="s">
        <v>17</v>
      </c>
      <c r="I6894" t="str">
        <f>"063441007350"</f>
        <v>063441007350</v>
      </c>
    </row>
    <row r="6895" spans="1:9" x14ac:dyDescent="0.25">
      <c r="A6895" t="s">
        <v>6002</v>
      </c>
      <c r="B6895" t="s">
        <v>13</v>
      </c>
      <c r="C6895">
        <v>39.01</v>
      </c>
      <c r="D6895">
        <v>39.5</v>
      </c>
      <c r="E6895" t="s">
        <v>17</v>
      </c>
      <c r="F6895">
        <v>21.87</v>
      </c>
      <c r="G6895">
        <v>20.84</v>
      </c>
      <c r="H6895" t="s">
        <v>17</v>
      </c>
      <c r="I6895" t="str">
        <f>"062808009966"</f>
        <v>062808009966</v>
      </c>
    </row>
    <row r="6896" spans="1:9" x14ac:dyDescent="0.25">
      <c r="A6896" t="s">
        <v>6003</v>
      </c>
      <c r="B6896" t="s">
        <v>13</v>
      </c>
      <c r="C6896">
        <v>25</v>
      </c>
      <c r="D6896">
        <v>24</v>
      </c>
      <c r="E6896" t="s">
        <v>17</v>
      </c>
      <c r="F6896">
        <v>22.32</v>
      </c>
      <c r="G6896">
        <v>22.08</v>
      </c>
      <c r="H6896" t="s">
        <v>17</v>
      </c>
      <c r="I6896" t="str">
        <f>"062271003233"</f>
        <v>062271003233</v>
      </c>
    </row>
    <row r="6897" spans="1:9" x14ac:dyDescent="0.25">
      <c r="A6897" t="s">
        <v>6004</v>
      </c>
      <c r="B6897" t="s">
        <v>13</v>
      </c>
      <c r="C6897" t="s">
        <v>14</v>
      </c>
      <c r="D6897">
        <v>3</v>
      </c>
      <c r="E6897" t="s">
        <v>17</v>
      </c>
      <c r="F6897" t="s">
        <v>17</v>
      </c>
      <c r="G6897">
        <v>28.67</v>
      </c>
      <c r="H6897" t="s">
        <v>17</v>
      </c>
      <c r="I6897" t="str">
        <f>"060011612495"</f>
        <v>060011612495</v>
      </c>
    </row>
    <row r="6898" spans="1:9" x14ac:dyDescent="0.25">
      <c r="A6898" t="s">
        <v>6005</v>
      </c>
      <c r="B6898" t="s">
        <v>13</v>
      </c>
      <c r="C6898">
        <v>26.5</v>
      </c>
      <c r="D6898">
        <v>31</v>
      </c>
      <c r="E6898" t="s">
        <v>17</v>
      </c>
      <c r="F6898">
        <v>23.32</v>
      </c>
      <c r="G6898">
        <v>21.9</v>
      </c>
      <c r="H6898" t="s">
        <v>17</v>
      </c>
      <c r="I6898" t="str">
        <f>"061314001498"</f>
        <v>061314001498</v>
      </c>
    </row>
    <row r="6899" spans="1:9" x14ac:dyDescent="0.25">
      <c r="A6899" t="s">
        <v>6006</v>
      </c>
      <c r="B6899" t="s">
        <v>13</v>
      </c>
      <c r="C6899">
        <v>30.8</v>
      </c>
      <c r="D6899">
        <v>29.78</v>
      </c>
      <c r="E6899" t="s">
        <v>17</v>
      </c>
      <c r="F6899">
        <v>21.33</v>
      </c>
      <c r="G6899">
        <v>23.77</v>
      </c>
      <c r="H6899" t="s">
        <v>17</v>
      </c>
      <c r="I6899" t="str">
        <f>"060639009334"</f>
        <v>060639009334</v>
      </c>
    </row>
    <row r="6900" spans="1:9" x14ac:dyDescent="0.25">
      <c r="A6900" t="s">
        <v>6007</v>
      </c>
      <c r="B6900" t="s">
        <v>13</v>
      </c>
      <c r="C6900">
        <v>20.3</v>
      </c>
      <c r="D6900">
        <v>19.600000000000001</v>
      </c>
      <c r="E6900" t="s">
        <v>17</v>
      </c>
      <c r="F6900">
        <v>25.96</v>
      </c>
      <c r="G6900">
        <v>24.54</v>
      </c>
      <c r="H6900" t="s">
        <v>17</v>
      </c>
      <c r="I6900" t="str">
        <f>"061440001668"</f>
        <v>061440001668</v>
      </c>
    </row>
    <row r="6901" spans="1:9" x14ac:dyDescent="0.25">
      <c r="A6901" t="s">
        <v>6008</v>
      </c>
      <c r="B6901" t="s">
        <v>13</v>
      </c>
      <c r="C6901">
        <v>18.559999999999999</v>
      </c>
      <c r="D6901">
        <v>18.649999999999999</v>
      </c>
      <c r="E6901" t="s">
        <v>17</v>
      </c>
      <c r="F6901">
        <v>20.149999999999999</v>
      </c>
      <c r="G6901">
        <v>20.38</v>
      </c>
      <c r="H6901" t="s">
        <v>17</v>
      </c>
      <c r="I6901" t="str">
        <f>"060231000107"</f>
        <v>060231000107</v>
      </c>
    </row>
    <row r="6902" spans="1:9" x14ac:dyDescent="0.25">
      <c r="A6902" t="s">
        <v>6009</v>
      </c>
      <c r="B6902" t="s">
        <v>13</v>
      </c>
      <c r="C6902">
        <v>14.99</v>
      </c>
      <c r="D6902">
        <v>13.4</v>
      </c>
      <c r="E6902" t="s">
        <v>17</v>
      </c>
      <c r="F6902">
        <v>25.08</v>
      </c>
      <c r="G6902">
        <v>28.36</v>
      </c>
      <c r="H6902" t="s">
        <v>17</v>
      </c>
      <c r="I6902" t="str">
        <f>"063384005270"</f>
        <v>063384005270</v>
      </c>
    </row>
    <row r="6903" spans="1:9" x14ac:dyDescent="0.25">
      <c r="A6903" t="s">
        <v>6010</v>
      </c>
      <c r="B6903" t="s">
        <v>13</v>
      </c>
      <c r="C6903">
        <v>32</v>
      </c>
      <c r="D6903">
        <v>31</v>
      </c>
      <c r="E6903" t="s">
        <v>17</v>
      </c>
      <c r="F6903">
        <v>24.78</v>
      </c>
      <c r="G6903">
        <v>23.74</v>
      </c>
      <c r="H6903" t="s">
        <v>17</v>
      </c>
      <c r="I6903" t="str">
        <f>"061608008852"</f>
        <v>061608008852</v>
      </c>
    </row>
    <row r="6904" spans="1:9" x14ac:dyDescent="0.25">
      <c r="A6904" t="s">
        <v>6010</v>
      </c>
      <c r="B6904" t="s">
        <v>13</v>
      </c>
      <c r="C6904">
        <v>21.18</v>
      </c>
      <c r="D6904">
        <v>19.07</v>
      </c>
      <c r="E6904" t="s">
        <v>17</v>
      </c>
      <c r="F6904">
        <v>22.99</v>
      </c>
      <c r="G6904">
        <v>24.28</v>
      </c>
      <c r="H6904" t="s">
        <v>17</v>
      </c>
      <c r="I6904" t="str">
        <f>"062265002788"</f>
        <v>062265002788</v>
      </c>
    </row>
    <row r="6905" spans="1:9" x14ac:dyDescent="0.25">
      <c r="A6905" t="s">
        <v>6011</v>
      </c>
      <c r="B6905" t="s">
        <v>13</v>
      </c>
      <c r="C6905">
        <v>41.3</v>
      </c>
      <c r="D6905">
        <v>40.299999999999997</v>
      </c>
      <c r="E6905" t="s">
        <v>17</v>
      </c>
      <c r="F6905">
        <v>23.92</v>
      </c>
      <c r="G6905">
        <v>23.47</v>
      </c>
      <c r="H6905" t="s">
        <v>17</v>
      </c>
      <c r="I6905" t="str">
        <f>"063898006538"</f>
        <v>063898006538</v>
      </c>
    </row>
    <row r="6906" spans="1:9" x14ac:dyDescent="0.25">
      <c r="A6906" t="s">
        <v>6012</v>
      </c>
      <c r="B6906" t="s">
        <v>13</v>
      </c>
      <c r="C6906">
        <v>18.7</v>
      </c>
      <c r="D6906">
        <v>18.7</v>
      </c>
      <c r="E6906" t="s">
        <v>17</v>
      </c>
      <c r="F6906">
        <v>25.94</v>
      </c>
      <c r="G6906">
        <v>26.58</v>
      </c>
      <c r="H6906" t="s">
        <v>17</v>
      </c>
      <c r="I6906" t="str">
        <f>"061389009542"</f>
        <v>061389009542</v>
      </c>
    </row>
    <row r="6907" spans="1:9" x14ac:dyDescent="0.25">
      <c r="A6907" t="s">
        <v>6013</v>
      </c>
      <c r="B6907" t="s">
        <v>13</v>
      </c>
      <c r="C6907">
        <v>29.71</v>
      </c>
      <c r="D6907">
        <v>30</v>
      </c>
      <c r="E6907" t="s">
        <v>17</v>
      </c>
      <c r="F6907">
        <v>29.62</v>
      </c>
      <c r="G6907">
        <v>30.27</v>
      </c>
      <c r="H6907" t="s">
        <v>17</v>
      </c>
      <c r="I6907" t="str">
        <f>"068450010572"</f>
        <v>068450010572</v>
      </c>
    </row>
    <row r="6908" spans="1:9" x14ac:dyDescent="0.25">
      <c r="A6908" t="s">
        <v>6014</v>
      </c>
      <c r="B6908" t="s">
        <v>13</v>
      </c>
      <c r="C6908">
        <v>8</v>
      </c>
      <c r="D6908">
        <v>8.5</v>
      </c>
      <c r="E6908" t="s">
        <v>17</v>
      </c>
      <c r="F6908">
        <v>23.5</v>
      </c>
      <c r="G6908">
        <v>22.82</v>
      </c>
      <c r="H6908" t="s">
        <v>17</v>
      </c>
      <c r="I6908" t="str">
        <f>"060408009307"</f>
        <v>060408009307</v>
      </c>
    </row>
    <row r="6909" spans="1:9" x14ac:dyDescent="0.25">
      <c r="A6909" t="s">
        <v>6015</v>
      </c>
      <c r="B6909" t="s">
        <v>13</v>
      </c>
      <c r="C6909">
        <v>36.200000000000003</v>
      </c>
      <c r="D6909">
        <v>35.200000000000003</v>
      </c>
      <c r="E6909" t="s">
        <v>17</v>
      </c>
      <c r="F6909">
        <v>24.28</v>
      </c>
      <c r="G6909">
        <v>24.23</v>
      </c>
      <c r="H6909" t="s">
        <v>17</v>
      </c>
      <c r="I6909" t="str">
        <f>"063438005576"</f>
        <v>063438005576</v>
      </c>
    </row>
    <row r="6910" spans="1:9" x14ac:dyDescent="0.25">
      <c r="A6910" t="s">
        <v>6016</v>
      </c>
      <c r="B6910" t="s">
        <v>13</v>
      </c>
      <c r="C6910">
        <v>4.0999999999999996</v>
      </c>
      <c r="D6910">
        <v>2.8</v>
      </c>
      <c r="E6910" t="s">
        <v>17</v>
      </c>
      <c r="F6910">
        <v>15.37</v>
      </c>
      <c r="G6910">
        <v>26.07</v>
      </c>
      <c r="H6910" t="s">
        <v>17</v>
      </c>
      <c r="I6910" t="str">
        <f>"060006908608"</f>
        <v>060006908608</v>
      </c>
    </row>
    <row r="6911" spans="1:9" x14ac:dyDescent="0.25">
      <c r="A6911" t="s">
        <v>6017</v>
      </c>
      <c r="B6911" t="s">
        <v>13</v>
      </c>
      <c r="C6911">
        <v>3</v>
      </c>
      <c r="D6911">
        <v>3</v>
      </c>
      <c r="E6911" t="s">
        <v>17</v>
      </c>
      <c r="F6911">
        <v>23</v>
      </c>
      <c r="G6911">
        <v>23.33</v>
      </c>
      <c r="H6911" t="s">
        <v>17</v>
      </c>
      <c r="I6911" t="str">
        <f>"062784004225"</f>
        <v>062784004225</v>
      </c>
    </row>
    <row r="6912" spans="1:9" x14ac:dyDescent="0.25">
      <c r="A6912" t="s">
        <v>6017</v>
      </c>
      <c r="B6912" t="s">
        <v>13</v>
      </c>
      <c r="C6912">
        <v>21</v>
      </c>
      <c r="D6912">
        <v>29</v>
      </c>
      <c r="E6912" t="s">
        <v>17</v>
      </c>
      <c r="F6912">
        <v>28.33</v>
      </c>
      <c r="G6912">
        <v>30.86</v>
      </c>
      <c r="H6912" t="s">
        <v>17</v>
      </c>
      <c r="I6912" t="str">
        <f>"064116011529"</f>
        <v>064116011529</v>
      </c>
    </row>
    <row r="6913" spans="1:9" x14ac:dyDescent="0.25">
      <c r="A6913" t="s">
        <v>6017</v>
      </c>
      <c r="B6913" t="s">
        <v>13</v>
      </c>
      <c r="C6913">
        <v>17</v>
      </c>
      <c r="D6913">
        <v>20.149999999999999</v>
      </c>
      <c r="E6913" t="s">
        <v>17</v>
      </c>
      <c r="F6913">
        <v>25.65</v>
      </c>
      <c r="G6913">
        <v>23.97</v>
      </c>
      <c r="H6913" t="s">
        <v>17</v>
      </c>
      <c r="I6913" t="str">
        <f>"060657008801"</f>
        <v>060657008801</v>
      </c>
    </row>
    <row r="6914" spans="1:9" x14ac:dyDescent="0.25">
      <c r="A6914" t="s">
        <v>6017</v>
      </c>
      <c r="B6914" t="s">
        <v>13</v>
      </c>
      <c r="C6914">
        <v>27.02</v>
      </c>
      <c r="D6914">
        <v>28.8</v>
      </c>
      <c r="E6914" t="s">
        <v>17</v>
      </c>
      <c r="F6914">
        <v>28.28</v>
      </c>
      <c r="G6914">
        <v>27.57</v>
      </c>
      <c r="H6914" t="s">
        <v>17</v>
      </c>
      <c r="I6914" t="str">
        <f>"060744006094"</f>
        <v>060744006094</v>
      </c>
    </row>
    <row r="6915" spans="1:9" x14ac:dyDescent="0.25">
      <c r="A6915" t="s">
        <v>6018</v>
      </c>
      <c r="B6915" t="s">
        <v>13</v>
      </c>
      <c r="C6915">
        <v>36.14</v>
      </c>
      <c r="D6915">
        <v>35.14</v>
      </c>
      <c r="E6915" t="s">
        <v>17</v>
      </c>
      <c r="F6915">
        <v>20.56</v>
      </c>
      <c r="G6915">
        <v>22.68</v>
      </c>
      <c r="H6915" t="s">
        <v>17</v>
      </c>
      <c r="I6915" t="str">
        <f>"062784004226"</f>
        <v>062784004226</v>
      </c>
    </row>
    <row r="6916" spans="1:9" x14ac:dyDescent="0.25">
      <c r="A6916" t="s">
        <v>6019</v>
      </c>
      <c r="B6916" t="s">
        <v>13</v>
      </c>
      <c r="C6916">
        <v>85.51</v>
      </c>
      <c r="D6916">
        <v>89.56</v>
      </c>
      <c r="E6916" t="s">
        <v>17</v>
      </c>
      <c r="F6916">
        <v>23.8</v>
      </c>
      <c r="G6916">
        <v>23.64</v>
      </c>
      <c r="H6916" t="s">
        <v>17</v>
      </c>
      <c r="I6916" t="str">
        <f>"061182001305"</f>
        <v>061182001305</v>
      </c>
    </row>
    <row r="6917" spans="1:9" x14ac:dyDescent="0.25">
      <c r="A6917" t="s">
        <v>6020</v>
      </c>
      <c r="B6917" t="s">
        <v>13</v>
      </c>
      <c r="C6917">
        <v>42.21</v>
      </c>
      <c r="D6917">
        <v>40.85</v>
      </c>
      <c r="E6917" t="s">
        <v>17</v>
      </c>
      <c r="F6917">
        <v>17.27</v>
      </c>
      <c r="G6917">
        <v>17.53</v>
      </c>
      <c r="H6917" t="s">
        <v>17</v>
      </c>
      <c r="I6917" t="str">
        <f>"062637003962"</f>
        <v>062637003962</v>
      </c>
    </row>
    <row r="6918" spans="1:9" x14ac:dyDescent="0.25">
      <c r="A6918" t="s">
        <v>6020</v>
      </c>
      <c r="B6918" t="s">
        <v>13</v>
      </c>
      <c r="C6918">
        <v>11.23</v>
      </c>
      <c r="D6918">
        <v>13.33</v>
      </c>
      <c r="E6918" t="s">
        <v>17</v>
      </c>
      <c r="F6918">
        <v>25.02</v>
      </c>
      <c r="G6918">
        <v>20.260000000000002</v>
      </c>
      <c r="H6918" t="s">
        <v>17</v>
      </c>
      <c r="I6918" t="str">
        <f>"061873002274"</f>
        <v>061873002274</v>
      </c>
    </row>
    <row r="6919" spans="1:9" x14ac:dyDescent="0.25">
      <c r="A6919" t="s">
        <v>6021</v>
      </c>
      <c r="B6919" t="s">
        <v>13</v>
      </c>
      <c r="C6919">
        <v>36</v>
      </c>
      <c r="D6919">
        <v>35.799999999999997</v>
      </c>
      <c r="E6919" t="s">
        <v>17</v>
      </c>
      <c r="F6919">
        <v>26</v>
      </c>
      <c r="G6919">
        <v>26.7</v>
      </c>
      <c r="H6919" t="s">
        <v>17</v>
      </c>
      <c r="I6919" t="str">
        <f>"061288001462"</f>
        <v>061288001462</v>
      </c>
    </row>
    <row r="6920" spans="1:9" x14ac:dyDescent="0.25">
      <c r="A6920" t="s">
        <v>6021</v>
      </c>
      <c r="B6920" t="s">
        <v>13</v>
      </c>
      <c r="C6920">
        <v>25</v>
      </c>
      <c r="D6920">
        <v>25.5</v>
      </c>
      <c r="E6920" t="s">
        <v>17</v>
      </c>
      <c r="F6920">
        <v>31.8</v>
      </c>
      <c r="G6920">
        <v>31.25</v>
      </c>
      <c r="H6920" t="s">
        <v>17</v>
      </c>
      <c r="I6920" t="str">
        <f>"060790003752"</f>
        <v>060790003752</v>
      </c>
    </row>
    <row r="6921" spans="1:9" x14ac:dyDescent="0.25">
      <c r="A6921" t="s">
        <v>6022</v>
      </c>
      <c r="B6921" t="s">
        <v>13</v>
      </c>
      <c r="C6921">
        <v>19</v>
      </c>
      <c r="D6921">
        <v>17</v>
      </c>
      <c r="E6921" t="s">
        <v>17</v>
      </c>
      <c r="F6921">
        <v>28.37</v>
      </c>
      <c r="G6921">
        <v>26.82</v>
      </c>
      <c r="H6921" t="s">
        <v>17</v>
      </c>
      <c r="I6921" t="str">
        <f>"062785009415"</f>
        <v>062785009415</v>
      </c>
    </row>
    <row r="6922" spans="1:9" x14ac:dyDescent="0.25">
      <c r="A6922" t="s">
        <v>6022</v>
      </c>
      <c r="B6922" t="s">
        <v>13</v>
      </c>
      <c r="C6922">
        <v>25</v>
      </c>
      <c r="D6922">
        <v>24.9</v>
      </c>
      <c r="E6922" t="s">
        <v>17</v>
      </c>
      <c r="F6922">
        <v>24.68</v>
      </c>
      <c r="G6922">
        <v>24.54</v>
      </c>
      <c r="H6922" t="s">
        <v>17</v>
      </c>
      <c r="I6922" t="str">
        <f>"062718010904"</f>
        <v>062718010904</v>
      </c>
    </row>
    <row r="6923" spans="1:9" x14ac:dyDescent="0.25">
      <c r="A6923" t="s">
        <v>6023</v>
      </c>
      <c r="B6923" t="s">
        <v>13</v>
      </c>
      <c r="C6923">
        <v>92.94</v>
      </c>
      <c r="D6923">
        <v>89</v>
      </c>
      <c r="E6923" t="s">
        <v>17</v>
      </c>
      <c r="F6923">
        <v>25.54</v>
      </c>
      <c r="G6923">
        <v>25.56</v>
      </c>
      <c r="H6923" t="s">
        <v>17</v>
      </c>
      <c r="I6923" t="str">
        <f>"060001412417"</f>
        <v>060001412417</v>
      </c>
    </row>
    <row r="6924" spans="1:9" x14ac:dyDescent="0.25">
      <c r="A6924" t="s">
        <v>6024</v>
      </c>
      <c r="B6924" t="s">
        <v>13</v>
      </c>
      <c r="C6924">
        <v>3.8</v>
      </c>
      <c r="D6924">
        <v>6</v>
      </c>
      <c r="E6924" t="s">
        <v>17</v>
      </c>
      <c r="F6924">
        <v>18.16</v>
      </c>
      <c r="G6924">
        <v>19.829999999999998</v>
      </c>
      <c r="H6924" t="s">
        <v>17</v>
      </c>
      <c r="I6924" t="str">
        <f>"060819005854"</f>
        <v>060819005854</v>
      </c>
    </row>
    <row r="6925" spans="1:9" x14ac:dyDescent="0.25">
      <c r="A6925" t="s">
        <v>6025</v>
      </c>
      <c r="B6925" t="s">
        <v>13</v>
      </c>
      <c r="C6925">
        <v>40.299999999999997</v>
      </c>
      <c r="D6925">
        <v>40.450000000000003</v>
      </c>
      <c r="E6925" t="s">
        <v>17</v>
      </c>
      <c r="F6925">
        <v>18.34</v>
      </c>
      <c r="G6925">
        <v>17.87</v>
      </c>
      <c r="H6925" t="s">
        <v>17</v>
      </c>
      <c r="I6925" t="str">
        <f>"062457003685"</f>
        <v>062457003685</v>
      </c>
    </row>
    <row r="6926" spans="1:9" x14ac:dyDescent="0.25">
      <c r="A6926" t="s">
        <v>6026</v>
      </c>
      <c r="B6926" t="s">
        <v>13</v>
      </c>
      <c r="C6926">
        <v>17</v>
      </c>
      <c r="D6926">
        <v>18</v>
      </c>
      <c r="E6926" t="s">
        <v>17</v>
      </c>
      <c r="F6926">
        <v>25.18</v>
      </c>
      <c r="G6926">
        <v>24.78</v>
      </c>
      <c r="H6926" t="s">
        <v>17</v>
      </c>
      <c r="I6926" t="str">
        <f>"064030006659"</f>
        <v>064030006659</v>
      </c>
    </row>
    <row r="6927" spans="1:9" x14ac:dyDescent="0.25">
      <c r="A6927" t="s">
        <v>6027</v>
      </c>
      <c r="B6927" t="s">
        <v>13</v>
      </c>
      <c r="C6927">
        <v>1.17</v>
      </c>
      <c r="D6927">
        <v>1.17</v>
      </c>
      <c r="E6927" t="s">
        <v>17</v>
      </c>
      <c r="F6927">
        <v>4.2699999999999996</v>
      </c>
      <c r="G6927">
        <v>1.71</v>
      </c>
      <c r="H6927" t="s">
        <v>17</v>
      </c>
      <c r="I6927" t="str">
        <f>"063680507971"</f>
        <v>063680507971</v>
      </c>
    </row>
    <row r="6928" spans="1:9" x14ac:dyDescent="0.25">
      <c r="A6928" t="s">
        <v>6028</v>
      </c>
      <c r="B6928" t="s">
        <v>13</v>
      </c>
      <c r="C6928">
        <v>32.200000000000003</v>
      </c>
      <c r="D6928">
        <v>31.96</v>
      </c>
      <c r="E6928" t="s">
        <v>17</v>
      </c>
      <c r="F6928">
        <v>24.47</v>
      </c>
      <c r="G6928">
        <v>23.62</v>
      </c>
      <c r="H6928" t="s">
        <v>17</v>
      </c>
      <c r="I6928" t="str">
        <f>"060627011240"</f>
        <v>060627011240</v>
      </c>
    </row>
    <row r="6929" spans="1:9" x14ac:dyDescent="0.25">
      <c r="A6929" t="s">
        <v>6029</v>
      </c>
      <c r="B6929" t="s">
        <v>13</v>
      </c>
      <c r="C6929">
        <v>35</v>
      </c>
      <c r="D6929">
        <v>36</v>
      </c>
      <c r="E6929" t="s">
        <v>17</v>
      </c>
      <c r="F6929">
        <v>26.23</v>
      </c>
      <c r="G6929">
        <v>25.56</v>
      </c>
      <c r="H6929" t="s">
        <v>17</v>
      </c>
      <c r="I6929" t="str">
        <f>"062454011715"</f>
        <v>062454011715</v>
      </c>
    </row>
    <row r="6930" spans="1:9" x14ac:dyDescent="0.25">
      <c r="A6930" t="s">
        <v>6030</v>
      </c>
      <c r="B6930" t="s">
        <v>13</v>
      </c>
      <c r="C6930">
        <v>21.2</v>
      </c>
      <c r="D6930">
        <v>20.7</v>
      </c>
      <c r="E6930" t="s">
        <v>17</v>
      </c>
      <c r="F6930">
        <v>27.55</v>
      </c>
      <c r="G6930">
        <v>26.62</v>
      </c>
      <c r="H6930" t="s">
        <v>17</v>
      </c>
      <c r="I6930" t="str">
        <f>"060561010235"</f>
        <v>060561010235</v>
      </c>
    </row>
    <row r="6931" spans="1:9" x14ac:dyDescent="0.25">
      <c r="A6931" t="s">
        <v>6031</v>
      </c>
      <c r="B6931" t="s">
        <v>13</v>
      </c>
      <c r="C6931">
        <v>38.22</v>
      </c>
      <c r="D6931">
        <v>37.21</v>
      </c>
      <c r="E6931" t="s">
        <v>17</v>
      </c>
      <c r="F6931">
        <v>28.81</v>
      </c>
      <c r="G6931">
        <v>30.15</v>
      </c>
      <c r="H6931" t="s">
        <v>17</v>
      </c>
      <c r="I6931" t="str">
        <f>"062259004805"</f>
        <v>062259004805</v>
      </c>
    </row>
    <row r="6932" spans="1:9" x14ac:dyDescent="0.25">
      <c r="A6932" t="s">
        <v>6032</v>
      </c>
      <c r="B6932" t="s">
        <v>13</v>
      </c>
      <c r="C6932">
        <v>20.67</v>
      </c>
      <c r="D6932">
        <v>20.53</v>
      </c>
      <c r="E6932" t="s">
        <v>17</v>
      </c>
      <c r="F6932">
        <v>27.19</v>
      </c>
      <c r="G6932">
        <v>27.33</v>
      </c>
      <c r="H6932" t="s">
        <v>17</v>
      </c>
      <c r="I6932" t="str">
        <f>"061392009545"</f>
        <v>061392009545</v>
      </c>
    </row>
    <row r="6933" spans="1:9" x14ac:dyDescent="0.25">
      <c r="A6933" t="s">
        <v>6032</v>
      </c>
      <c r="B6933" t="s">
        <v>13</v>
      </c>
      <c r="C6933">
        <v>29</v>
      </c>
      <c r="D6933">
        <v>32.799999999999997</v>
      </c>
      <c r="E6933" t="s">
        <v>17</v>
      </c>
      <c r="F6933">
        <v>20.21</v>
      </c>
      <c r="G6933">
        <v>18.93</v>
      </c>
      <c r="H6933" t="s">
        <v>17</v>
      </c>
      <c r="I6933" t="str">
        <f>"063432005529"</f>
        <v>063432005529</v>
      </c>
    </row>
    <row r="6934" spans="1:9" x14ac:dyDescent="0.25">
      <c r="A6934" t="s">
        <v>6033</v>
      </c>
      <c r="B6934" t="s">
        <v>13</v>
      </c>
      <c r="C6934">
        <v>61.2</v>
      </c>
      <c r="D6934">
        <v>60.6</v>
      </c>
      <c r="E6934" t="s">
        <v>17</v>
      </c>
      <c r="F6934">
        <v>23.94</v>
      </c>
      <c r="G6934">
        <v>23.27</v>
      </c>
      <c r="H6934" t="s">
        <v>17</v>
      </c>
      <c r="I6934" t="str">
        <f>"062785007253"</f>
        <v>062785007253</v>
      </c>
    </row>
    <row r="6935" spans="1:9" x14ac:dyDescent="0.25">
      <c r="A6935" t="s">
        <v>6034</v>
      </c>
      <c r="B6935" t="s">
        <v>13</v>
      </c>
      <c r="C6935">
        <v>6</v>
      </c>
      <c r="D6935">
        <v>4</v>
      </c>
      <c r="E6935" t="s">
        <v>17</v>
      </c>
      <c r="F6935">
        <v>27.5</v>
      </c>
      <c r="G6935">
        <v>27.25</v>
      </c>
      <c r="H6935" t="s">
        <v>17</v>
      </c>
      <c r="I6935" t="str">
        <f>"062785011539"</f>
        <v>062785011539</v>
      </c>
    </row>
    <row r="6936" spans="1:9" x14ac:dyDescent="0.25">
      <c r="A6936" t="s">
        <v>6035</v>
      </c>
      <c r="B6936" t="s">
        <v>13</v>
      </c>
      <c r="C6936" t="s">
        <v>17</v>
      </c>
      <c r="D6936" t="s">
        <v>14</v>
      </c>
      <c r="E6936" t="s">
        <v>14</v>
      </c>
      <c r="F6936" t="s">
        <v>17</v>
      </c>
      <c r="G6936" t="s">
        <v>14</v>
      </c>
      <c r="H6936" t="s">
        <v>14</v>
      </c>
      <c r="I6936" t="str">
        <f>"062785013539"</f>
        <v>062785013539</v>
      </c>
    </row>
    <row r="6937" spans="1:9" x14ac:dyDescent="0.25">
      <c r="A6937" t="s">
        <v>6036</v>
      </c>
      <c r="B6937" t="s">
        <v>13</v>
      </c>
      <c r="C6937">
        <v>4</v>
      </c>
      <c r="D6937" t="s">
        <v>14</v>
      </c>
      <c r="E6937" t="s">
        <v>14</v>
      </c>
      <c r="F6937">
        <v>16</v>
      </c>
      <c r="G6937" t="s">
        <v>14</v>
      </c>
      <c r="H6937" t="s">
        <v>14</v>
      </c>
      <c r="I6937" t="str">
        <f>"063384012998"</f>
        <v>063384012998</v>
      </c>
    </row>
    <row r="6938" spans="1:9" x14ac:dyDescent="0.25">
      <c r="A6938" t="s">
        <v>6037</v>
      </c>
      <c r="B6938" t="s">
        <v>13</v>
      </c>
      <c r="C6938">
        <v>25</v>
      </c>
      <c r="D6938">
        <v>25.59</v>
      </c>
      <c r="E6938" t="s">
        <v>17</v>
      </c>
      <c r="F6938">
        <v>27.76</v>
      </c>
      <c r="G6938">
        <v>28.37</v>
      </c>
      <c r="H6938" t="s">
        <v>17</v>
      </c>
      <c r="I6938" t="str">
        <f>"060846009348"</f>
        <v>060846009348</v>
      </c>
    </row>
    <row r="6939" spans="1:9" x14ac:dyDescent="0.25">
      <c r="A6939" t="s">
        <v>6037</v>
      </c>
      <c r="B6939" t="s">
        <v>13</v>
      </c>
      <c r="C6939">
        <v>15</v>
      </c>
      <c r="D6939">
        <v>16</v>
      </c>
      <c r="E6939" t="s">
        <v>17</v>
      </c>
      <c r="F6939">
        <v>27.6</v>
      </c>
      <c r="G6939">
        <v>25.94</v>
      </c>
      <c r="H6939" t="s">
        <v>17</v>
      </c>
      <c r="I6939" t="str">
        <f>"063384005271"</f>
        <v>063384005271</v>
      </c>
    </row>
    <row r="6940" spans="1:9" x14ac:dyDescent="0.25">
      <c r="A6940" t="s">
        <v>6037</v>
      </c>
      <c r="B6940" t="s">
        <v>13</v>
      </c>
      <c r="C6940">
        <v>20.5</v>
      </c>
      <c r="D6940">
        <v>23</v>
      </c>
      <c r="E6940" t="s">
        <v>17</v>
      </c>
      <c r="F6940">
        <v>24.63</v>
      </c>
      <c r="G6940">
        <v>22.83</v>
      </c>
      <c r="H6940" t="s">
        <v>17</v>
      </c>
      <c r="I6940" t="str">
        <f>"062781004218"</f>
        <v>062781004218</v>
      </c>
    </row>
    <row r="6941" spans="1:9" x14ac:dyDescent="0.25">
      <c r="A6941" t="s">
        <v>6038</v>
      </c>
      <c r="B6941" t="s">
        <v>13</v>
      </c>
      <c r="C6941">
        <v>86.64</v>
      </c>
      <c r="D6941">
        <v>86.22</v>
      </c>
      <c r="E6941" t="s">
        <v>17</v>
      </c>
      <c r="F6941">
        <v>26.6</v>
      </c>
      <c r="G6941">
        <v>26.22</v>
      </c>
      <c r="H6941" t="s">
        <v>17</v>
      </c>
      <c r="I6941" t="str">
        <f>"061207007279"</f>
        <v>061207007279</v>
      </c>
    </row>
    <row r="6942" spans="1:9" x14ac:dyDescent="0.25">
      <c r="A6942" t="s">
        <v>6039</v>
      </c>
      <c r="B6942" t="s">
        <v>13</v>
      </c>
      <c r="C6942" t="str">
        <f>"0.50"</f>
        <v>0.50</v>
      </c>
      <c r="D6942">
        <v>1.5</v>
      </c>
      <c r="E6942" t="s">
        <v>17</v>
      </c>
      <c r="F6942">
        <v>34</v>
      </c>
      <c r="G6942">
        <v>12</v>
      </c>
      <c r="H6942" t="s">
        <v>17</v>
      </c>
      <c r="I6942" t="str">
        <f>"062787004227"</f>
        <v>062787004227</v>
      </c>
    </row>
    <row r="6943" spans="1:9" x14ac:dyDescent="0.25">
      <c r="A6943" t="s">
        <v>6040</v>
      </c>
      <c r="B6943" t="s">
        <v>13</v>
      </c>
      <c r="C6943">
        <v>23.5</v>
      </c>
      <c r="D6943">
        <v>24</v>
      </c>
      <c r="E6943" t="s">
        <v>17</v>
      </c>
      <c r="F6943">
        <v>30.6</v>
      </c>
      <c r="G6943">
        <v>30.42</v>
      </c>
      <c r="H6943" t="s">
        <v>17</v>
      </c>
      <c r="I6943" t="str">
        <f>"061839002261"</f>
        <v>061839002261</v>
      </c>
    </row>
    <row r="6944" spans="1:9" x14ac:dyDescent="0.25">
      <c r="A6944" t="s">
        <v>6041</v>
      </c>
      <c r="B6944" t="s">
        <v>13</v>
      </c>
      <c r="C6944" t="s">
        <v>17</v>
      </c>
      <c r="D6944" t="s">
        <v>14</v>
      </c>
      <c r="E6944" t="s">
        <v>14</v>
      </c>
      <c r="F6944" t="s">
        <v>17</v>
      </c>
      <c r="G6944" t="s">
        <v>14</v>
      </c>
      <c r="H6944" t="s">
        <v>14</v>
      </c>
      <c r="I6944" t="str">
        <f>"060001213085"</f>
        <v>060001213085</v>
      </c>
    </row>
    <row r="6945" spans="1:9" x14ac:dyDescent="0.25">
      <c r="A6945" t="s">
        <v>6042</v>
      </c>
      <c r="B6945" t="s">
        <v>13</v>
      </c>
      <c r="C6945">
        <v>5.25</v>
      </c>
      <c r="D6945">
        <v>5.25</v>
      </c>
      <c r="E6945" t="s">
        <v>17</v>
      </c>
      <c r="F6945">
        <v>9.14</v>
      </c>
      <c r="G6945">
        <v>8</v>
      </c>
      <c r="H6945" t="s">
        <v>17</v>
      </c>
      <c r="I6945" t="str">
        <f>"062958012221"</f>
        <v>062958012221</v>
      </c>
    </row>
    <row r="6946" spans="1:9" x14ac:dyDescent="0.25">
      <c r="A6946" t="s">
        <v>6043</v>
      </c>
      <c r="B6946" t="s">
        <v>13</v>
      </c>
      <c r="C6946">
        <v>20</v>
      </c>
      <c r="D6946">
        <v>19</v>
      </c>
      <c r="E6946" t="s">
        <v>17</v>
      </c>
      <c r="F6946">
        <v>22.4</v>
      </c>
      <c r="G6946">
        <v>22.74</v>
      </c>
      <c r="H6946" t="s">
        <v>17</v>
      </c>
      <c r="I6946" t="str">
        <f>"062790004228"</f>
        <v>062790004228</v>
      </c>
    </row>
    <row r="6947" spans="1:9" x14ac:dyDescent="0.25">
      <c r="A6947" t="s">
        <v>6043</v>
      </c>
      <c r="B6947" t="s">
        <v>13</v>
      </c>
      <c r="C6947">
        <v>20</v>
      </c>
      <c r="D6947">
        <v>20.5</v>
      </c>
      <c r="E6947" t="s">
        <v>17</v>
      </c>
      <c r="F6947">
        <v>22.1</v>
      </c>
      <c r="G6947">
        <v>22.24</v>
      </c>
      <c r="H6947" t="s">
        <v>17</v>
      </c>
      <c r="I6947" t="str">
        <f>"060633010661"</f>
        <v>060633010661</v>
      </c>
    </row>
    <row r="6948" spans="1:9" x14ac:dyDescent="0.25">
      <c r="A6948" t="s">
        <v>6044</v>
      </c>
      <c r="B6948" t="s">
        <v>13</v>
      </c>
      <c r="C6948">
        <v>46.13</v>
      </c>
      <c r="D6948">
        <v>48.45</v>
      </c>
      <c r="E6948" t="s">
        <v>17</v>
      </c>
      <c r="F6948">
        <v>28.77</v>
      </c>
      <c r="G6948">
        <v>28.5</v>
      </c>
      <c r="H6948" t="s">
        <v>17</v>
      </c>
      <c r="I6948" t="str">
        <f>"063153011134"</f>
        <v>063153011134</v>
      </c>
    </row>
    <row r="6949" spans="1:9" x14ac:dyDescent="0.25">
      <c r="A6949" t="s">
        <v>6045</v>
      </c>
      <c r="B6949" t="s">
        <v>13</v>
      </c>
      <c r="C6949">
        <v>18.8</v>
      </c>
      <c r="D6949">
        <v>19.8</v>
      </c>
      <c r="E6949" t="s">
        <v>17</v>
      </c>
      <c r="F6949">
        <v>21.38</v>
      </c>
      <c r="G6949">
        <v>20.71</v>
      </c>
      <c r="H6949" t="s">
        <v>17</v>
      </c>
      <c r="I6949" t="str">
        <f>"062793004229"</f>
        <v>062793004229</v>
      </c>
    </row>
    <row r="6950" spans="1:9" x14ac:dyDescent="0.25">
      <c r="A6950" t="s">
        <v>6045</v>
      </c>
      <c r="B6950" t="s">
        <v>13</v>
      </c>
      <c r="C6950">
        <v>26.43</v>
      </c>
      <c r="D6950">
        <v>30.6</v>
      </c>
      <c r="E6950" t="s">
        <v>17</v>
      </c>
      <c r="F6950">
        <v>27.28</v>
      </c>
      <c r="G6950">
        <v>24.38</v>
      </c>
      <c r="H6950" t="s">
        <v>17</v>
      </c>
      <c r="I6950" t="str">
        <f>"062814004342"</f>
        <v>062814004342</v>
      </c>
    </row>
    <row r="6951" spans="1:9" x14ac:dyDescent="0.25">
      <c r="A6951" t="s">
        <v>6046</v>
      </c>
      <c r="B6951" t="s">
        <v>13</v>
      </c>
      <c r="C6951">
        <v>2</v>
      </c>
      <c r="D6951">
        <v>3</v>
      </c>
      <c r="E6951" t="s">
        <v>17</v>
      </c>
      <c r="F6951">
        <v>23.5</v>
      </c>
      <c r="G6951">
        <v>12</v>
      </c>
      <c r="H6951" t="s">
        <v>17</v>
      </c>
      <c r="I6951" t="str">
        <f>"062785007799"</f>
        <v>062785007799</v>
      </c>
    </row>
    <row r="6952" spans="1:9" x14ac:dyDescent="0.25">
      <c r="A6952" t="s">
        <v>6047</v>
      </c>
      <c r="B6952" t="s">
        <v>13</v>
      </c>
      <c r="C6952">
        <v>5.0599999999999996</v>
      </c>
      <c r="D6952">
        <v>5.56</v>
      </c>
      <c r="E6952" t="s">
        <v>17</v>
      </c>
      <c r="F6952">
        <v>22.53</v>
      </c>
      <c r="G6952">
        <v>16.37</v>
      </c>
      <c r="H6952" t="s">
        <v>17</v>
      </c>
      <c r="I6952" t="str">
        <f>"064356011216"</f>
        <v>064356011216</v>
      </c>
    </row>
    <row r="6953" spans="1:9" x14ac:dyDescent="0.25">
      <c r="A6953" t="s">
        <v>6048</v>
      </c>
      <c r="B6953" t="s">
        <v>13</v>
      </c>
      <c r="C6953">
        <v>14</v>
      </c>
      <c r="D6953">
        <v>16</v>
      </c>
      <c r="E6953" t="s">
        <v>17</v>
      </c>
      <c r="F6953">
        <v>29.93</v>
      </c>
      <c r="G6953">
        <v>29.06</v>
      </c>
      <c r="H6953" t="s">
        <v>17</v>
      </c>
      <c r="I6953" t="str">
        <f>"061336008837"</f>
        <v>061336008837</v>
      </c>
    </row>
    <row r="6954" spans="1:9" x14ac:dyDescent="0.25">
      <c r="A6954" t="s">
        <v>6049</v>
      </c>
      <c r="B6954" t="s">
        <v>13</v>
      </c>
      <c r="C6954">
        <v>2.5</v>
      </c>
      <c r="D6954">
        <v>2.1</v>
      </c>
      <c r="E6954" t="s">
        <v>17</v>
      </c>
      <c r="F6954">
        <v>34.799999999999997</v>
      </c>
      <c r="G6954">
        <v>34.29</v>
      </c>
      <c r="H6954" t="s">
        <v>17</v>
      </c>
      <c r="I6954" t="str">
        <f>"060837008450"</f>
        <v>060837008450</v>
      </c>
    </row>
    <row r="6955" spans="1:9" x14ac:dyDescent="0.25">
      <c r="A6955" t="s">
        <v>6050</v>
      </c>
      <c r="B6955" t="s">
        <v>13</v>
      </c>
      <c r="C6955">
        <v>3</v>
      </c>
      <c r="D6955">
        <v>2.6</v>
      </c>
      <c r="E6955" t="s">
        <v>17</v>
      </c>
      <c r="F6955">
        <v>23.33</v>
      </c>
      <c r="G6955">
        <v>26.92</v>
      </c>
      <c r="H6955" t="s">
        <v>17</v>
      </c>
      <c r="I6955" t="str">
        <f>"060006206752"</f>
        <v>060006206752</v>
      </c>
    </row>
    <row r="6956" spans="1:9" x14ac:dyDescent="0.25">
      <c r="A6956" t="s">
        <v>6051</v>
      </c>
      <c r="B6956" t="s">
        <v>13</v>
      </c>
      <c r="C6956">
        <v>26.2</v>
      </c>
      <c r="D6956">
        <v>25.3</v>
      </c>
      <c r="E6956" t="s">
        <v>17</v>
      </c>
      <c r="F6956">
        <v>19.43</v>
      </c>
      <c r="G6956">
        <v>20.32</v>
      </c>
      <c r="H6956" t="s">
        <v>17</v>
      </c>
      <c r="I6956" t="str">
        <f>"060133205103"</f>
        <v>060133205103</v>
      </c>
    </row>
    <row r="6957" spans="1:9" x14ac:dyDescent="0.25">
      <c r="A6957" t="s">
        <v>6052</v>
      </c>
      <c r="B6957" t="s">
        <v>13</v>
      </c>
      <c r="C6957">
        <v>17.62</v>
      </c>
      <c r="D6957">
        <v>16.12</v>
      </c>
      <c r="E6957" t="s">
        <v>17</v>
      </c>
      <c r="F6957">
        <v>25.09</v>
      </c>
      <c r="G6957">
        <v>23.45</v>
      </c>
      <c r="H6957" t="s">
        <v>17</v>
      </c>
      <c r="I6957" t="str">
        <f>"062910004491"</f>
        <v>062910004491</v>
      </c>
    </row>
    <row r="6958" spans="1:9" x14ac:dyDescent="0.25">
      <c r="A6958" t="s">
        <v>6053</v>
      </c>
      <c r="B6958" t="s">
        <v>13</v>
      </c>
      <c r="C6958">
        <v>68.849999999999994</v>
      </c>
      <c r="D6958">
        <v>68</v>
      </c>
      <c r="E6958" t="s">
        <v>17</v>
      </c>
      <c r="F6958">
        <v>22.95</v>
      </c>
      <c r="G6958">
        <v>23.72</v>
      </c>
      <c r="H6958" t="s">
        <v>17</v>
      </c>
      <c r="I6958" t="str">
        <f>"060006204231"</f>
        <v>060006204231</v>
      </c>
    </row>
    <row r="6959" spans="1:9" x14ac:dyDescent="0.25">
      <c r="A6959" t="s">
        <v>6054</v>
      </c>
      <c r="B6959" t="s">
        <v>13</v>
      </c>
      <c r="C6959">
        <v>33.369999999999997</v>
      </c>
      <c r="D6959">
        <v>33.96</v>
      </c>
      <c r="E6959" t="s">
        <v>17</v>
      </c>
      <c r="F6959">
        <v>24.63</v>
      </c>
      <c r="G6959">
        <v>24.44</v>
      </c>
      <c r="H6959" t="s">
        <v>17</v>
      </c>
      <c r="I6959" t="str">
        <f>"060006204236"</f>
        <v>060006204236</v>
      </c>
    </row>
    <row r="6960" spans="1:9" x14ac:dyDescent="0.25">
      <c r="A6960" t="s">
        <v>6055</v>
      </c>
      <c r="B6960" t="s">
        <v>13</v>
      </c>
      <c r="C6960">
        <v>1</v>
      </c>
      <c r="D6960">
        <v>1</v>
      </c>
      <c r="E6960" t="s">
        <v>17</v>
      </c>
      <c r="F6960">
        <v>18</v>
      </c>
      <c r="G6960">
        <v>17</v>
      </c>
      <c r="H6960" t="s">
        <v>17</v>
      </c>
      <c r="I6960" t="str">
        <f>"069100311572"</f>
        <v>069100311572</v>
      </c>
    </row>
    <row r="6961" spans="1:9" x14ac:dyDescent="0.25">
      <c r="A6961" t="s">
        <v>6056</v>
      </c>
      <c r="B6961" t="s">
        <v>13</v>
      </c>
      <c r="C6961">
        <v>23.83</v>
      </c>
      <c r="D6961">
        <v>21.93</v>
      </c>
      <c r="E6961" t="s">
        <v>17</v>
      </c>
      <c r="F6961">
        <v>19.97</v>
      </c>
      <c r="G6961">
        <v>19.7</v>
      </c>
      <c r="H6961" t="s">
        <v>17</v>
      </c>
      <c r="I6961" t="str">
        <f>"061308009810"</f>
        <v>061308009810</v>
      </c>
    </row>
    <row r="6962" spans="1:9" x14ac:dyDescent="0.25">
      <c r="A6962" t="s">
        <v>6057</v>
      </c>
      <c r="B6962" t="s">
        <v>13</v>
      </c>
      <c r="C6962">
        <v>16</v>
      </c>
      <c r="D6962">
        <v>14</v>
      </c>
      <c r="E6962" t="s">
        <v>17</v>
      </c>
      <c r="F6962">
        <v>21.63</v>
      </c>
      <c r="G6962">
        <v>24.57</v>
      </c>
      <c r="H6962" t="s">
        <v>17</v>
      </c>
      <c r="I6962" t="str">
        <f>"060408009306"</f>
        <v>060408009306</v>
      </c>
    </row>
    <row r="6963" spans="1:9" x14ac:dyDescent="0.25">
      <c r="A6963" t="s">
        <v>6058</v>
      </c>
      <c r="B6963" t="s">
        <v>13</v>
      </c>
      <c r="C6963" t="s">
        <v>14</v>
      </c>
      <c r="D6963" t="s">
        <v>14</v>
      </c>
      <c r="E6963" t="s">
        <v>17</v>
      </c>
      <c r="F6963" t="s">
        <v>14</v>
      </c>
      <c r="G6963" t="s">
        <v>14</v>
      </c>
      <c r="H6963" t="s">
        <v>17</v>
      </c>
      <c r="I6963" t="str">
        <f>"062805011562"</f>
        <v>062805011562</v>
      </c>
    </row>
    <row r="6964" spans="1:9" x14ac:dyDescent="0.25">
      <c r="A6964" t="s">
        <v>6059</v>
      </c>
      <c r="B6964" t="s">
        <v>13</v>
      </c>
      <c r="C6964">
        <v>11</v>
      </c>
      <c r="D6964">
        <v>8</v>
      </c>
      <c r="E6964" t="s">
        <v>17</v>
      </c>
      <c r="F6964">
        <v>22.18</v>
      </c>
      <c r="G6964">
        <v>21.5</v>
      </c>
      <c r="H6964" t="s">
        <v>17</v>
      </c>
      <c r="I6964" t="str">
        <f>"062805002893"</f>
        <v>062805002893</v>
      </c>
    </row>
    <row r="6965" spans="1:9" x14ac:dyDescent="0.25">
      <c r="A6965" t="s">
        <v>6060</v>
      </c>
      <c r="B6965" t="s">
        <v>13</v>
      </c>
      <c r="C6965">
        <v>9.5</v>
      </c>
      <c r="D6965">
        <v>10</v>
      </c>
      <c r="E6965" t="s">
        <v>17</v>
      </c>
      <c r="F6965">
        <v>19.05</v>
      </c>
      <c r="G6965">
        <v>15.8</v>
      </c>
      <c r="H6965" t="s">
        <v>17</v>
      </c>
      <c r="I6965" t="str">
        <f>"062805012041"</f>
        <v>062805012041</v>
      </c>
    </row>
    <row r="6966" spans="1:9" x14ac:dyDescent="0.25">
      <c r="A6966" t="s">
        <v>6061</v>
      </c>
      <c r="B6966" t="s">
        <v>13</v>
      </c>
      <c r="C6966">
        <v>5.5</v>
      </c>
      <c r="D6966">
        <v>2.0099999999999998</v>
      </c>
      <c r="E6966" t="s">
        <v>17</v>
      </c>
      <c r="F6966">
        <v>2.5499999999999998</v>
      </c>
      <c r="G6966">
        <v>5.97</v>
      </c>
      <c r="H6966" t="s">
        <v>17</v>
      </c>
      <c r="I6966" t="str">
        <f>"062805010719"</f>
        <v>062805010719</v>
      </c>
    </row>
    <row r="6967" spans="1:9" x14ac:dyDescent="0.25">
      <c r="A6967" t="s">
        <v>6062</v>
      </c>
      <c r="B6967" t="s">
        <v>13</v>
      </c>
      <c r="C6967">
        <v>77.42</v>
      </c>
      <c r="D6967">
        <v>70.819999999999993</v>
      </c>
      <c r="E6967" t="s">
        <v>17</v>
      </c>
      <c r="F6967">
        <v>20.68</v>
      </c>
      <c r="G6967">
        <v>24.43</v>
      </c>
      <c r="H6967" t="s">
        <v>17</v>
      </c>
      <c r="I6967" t="str">
        <f>"062805004304"</f>
        <v>062805004304</v>
      </c>
    </row>
    <row r="6968" spans="1:9" x14ac:dyDescent="0.25">
      <c r="A6968" t="s">
        <v>6063</v>
      </c>
      <c r="B6968" t="s">
        <v>13</v>
      </c>
      <c r="C6968">
        <v>18.809999999999999</v>
      </c>
      <c r="D6968">
        <v>14.85</v>
      </c>
      <c r="E6968" t="s">
        <v>17</v>
      </c>
      <c r="F6968">
        <v>17.28</v>
      </c>
      <c r="G6968">
        <v>19.53</v>
      </c>
      <c r="H6968" t="s">
        <v>17</v>
      </c>
      <c r="I6968" t="str">
        <f>"062805012049"</f>
        <v>062805012049</v>
      </c>
    </row>
    <row r="6969" spans="1:9" x14ac:dyDescent="0.25">
      <c r="A6969" t="s">
        <v>6064</v>
      </c>
      <c r="B6969" t="s">
        <v>13</v>
      </c>
      <c r="C6969">
        <v>31.41</v>
      </c>
      <c r="D6969">
        <v>34.130000000000003</v>
      </c>
      <c r="E6969" t="s">
        <v>17</v>
      </c>
      <c r="F6969">
        <v>23.05</v>
      </c>
      <c r="G6969">
        <v>18.25</v>
      </c>
      <c r="H6969" t="s">
        <v>17</v>
      </c>
      <c r="I6969" t="str">
        <f>"062805010729"</f>
        <v>062805010729</v>
      </c>
    </row>
    <row r="6970" spans="1:9" x14ac:dyDescent="0.25">
      <c r="A6970" t="s">
        <v>6065</v>
      </c>
      <c r="B6970" t="s">
        <v>13</v>
      </c>
      <c r="C6970">
        <v>23.4</v>
      </c>
      <c r="D6970">
        <v>24.4</v>
      </c>
      <c r="E6970" t="s">
        <v>17</v>
      </c>
      <c r="F6970">
        <v>26.45</v>
      </c>
      <c r="G6970">
        <v>25.37</v>
      </c>
      <c r="H6970" t="s">
        <v>17</v>
      </c>
      <c r="I6970" t="str">
        <f>"062805010461"</f>
        <v>062805010461</v>
      </c>
    </row>
    <row r="6971" spans="1:9" x14ac:dyDescent="0.25">
      <c r="A6971" t="s">
        <v>6066</v>
      </c>
      <c r="B6971" t="s">
        <v>13</v>
      </c>
      <c r="C6971">
        <v>89.84</v>
      </c>
      <c r="D6971">
        <v>77.3</v>
      </c>
      <c r="E6971" t="s">
        <v>17</v>
      </c>
      <c r="F6971">
        <v>22.12</v>
      </c>
      <c r="G6971">
        <v>24.04</v>
      </c>
      <c r="H6971" t="s">
        <v>17</v>
      </c>
      <c r="I6971" t="str">
        <f>"062805004305"</f>
        <v>062805004305</v>
      </c>
    </row>
    <row r="6972" spans="1:9" x14ac:dyDescent="0.25">
      <c r="A6972" t="s">
        <v>6067</v>
      </c>
      <c r="B6972" t="s">
        <v>13</v>
      </c>
      <c r="C6972">
        <v>11.5</v>
      </c>
      <c r="D6972">
        <v>11</v>
      </c>
      <c r="E6972" t="s">
        <v>17</v>
      </c>
      <c r="F6972">
        <v>23.39</v>
      </c>
      <c r="G6972">
        <v>22.91</v>
      </c>
      <c r="H6972" t="s">
        <v>17</v>
      </c>
      <c r="I6972" t="str">
        <f>"062805011351"</f>
        <v>062805011351</v>
      </c>
    </row>
    <row r="6973" spans="1:9" x14ac:dyDescent="0.25">
      <c r="A6973" t="s">
        <v>6068</v>
      </c>
      <c r="B6973" t="s">
        <v>13</v>
      </c>
      <c r="C6973">
        <v>31</v>
      </c>
      <c r="D6973">
        <v>34</v>
      </c>
      <c r="E6973" t="s">
        <v>17</v>
      </c>
      <c r="F6973">
        <v>27.81</v>
      </c>
      <c r="G6973">
        <v>25.24</v>
      </c>
      <c r="H6973" t="s">
        <v>17</v>
      </c>
      <c r="I6973" t="str">
        <f>"060558009320"</f>
        <v>060558009320</v>
      </c>
    </row>
    <row r="6974" spans="1:9" x14ac:dyDescent="0.25">
      <c r="A6974" t="s">
        <v>6069</v>
      </c>
      <c r="B6974" t="s">
        <v>13</v>
      </c>
      <c r="C6974">
        <v>18</v>
      </c>
      <c r="D6974">
        <v>19</v>
      </c>
      <c r="E6974" t="s">
        <v>17</v>
      </c>
      <c r="F6974">
        <v>25.89</v>
      </c>
      <c r="G6974">
        <v>26.05</v>
      </c>
      <c r="H6974" t="s">
        <v>17</v>
      </c>
      <c r="I6974" t="str">
        <f>"062808004327"</f>
        <v>062808004327</v>
      </c>
    </row>
    <row r="6975" spans="1:9" x14ac:dyDescent="0.25">
      <c r="A6975" t="s">
        <v>6070</v>
      </c>
      <c r="B6975" t="s">
        <v>13</v>
      </c>
      <c r="C6975">
        <v>11.14</v>
      </c>
      <c r="D6975">
        <v>13.14</v>
      </c>
      <c r="E6975" t="s">
        <v>17</v>
      </c>
      <c r="F6975">
        <v>24.51</v>
      </c>
      <c r="G6975">
        <v>21.77</v>
      </c>
      <c r="H6975" t="s">
        <v>17</v>
      </c>
      <c r="I6975" t="str">
        <f>"060876000892"</f>
        <v>060876000892</v>
      </c>
    </row>
    <row r="6976" spans="1:9" x14ac:dyDescent="0.25">
      <c r="A6976" t="s">
        <v>6071</v>
      </c>
      <c r="B6976" t="s">
        <v>13</v>
      </c>
      <c r="C6976">
        <v>71.08</v>
      </c>
      <c r="D6976">
        <v>68.88</v>
      </c>
      <c r="E6976" t="s">
        <v>17</v>
      </c>
      <c r="F6976">
        <v>24.37</v>
      </c>
      <c r="G6976">
        <v>23.34</v>
      </c>
      <c r="H6976" t="s">
        <v>17</v>
      </c>
      <c r="I6976" t="str">
        <f>"063363005190"</f>
        <v>063363005190</v>
      </c>
    </row>
    <row r="6977" spans="1:9" x14ac:dyDescent="0.25">
      <c r="A6977" t="s">
        <v>6072</v>
      </c>
      <c r="B6977" t="s">
        <v>13</v>
      </c>
      <c r="C6977">
        <v>39.71</v>
      </c>
      <c r="D6977">
        <v>35.5</v>
      </c>
      <c r="E6977" t="s">
        <v>17</v>
      </c>
      <c r="F6977">
        <v>22.59</v>
      </c>
      <c r="G6977">
        <v>25.63</v>
      </c>
      <c r="H6977" t="s">
        <v>17</v>
      </c>
      <c r="I6977" t="str">
        <f>"062847006433"</f>
        <v>062847006433</v>
      </c>
    </row>
    <row r="6978" spans="1:9" x14ac:dyDescent="0.25">
      <c r="A6978" t="s">
        <v>6073</v>
      </c>
      <c r="B6978" t="s">
        <v>13</v>
      </c>
      <c r="C6978">
        <v>13.26</v>
      </c>
      <c r="D6978">
        <v>17</v>
      </c>
      <c r="E6978" t="s">
        <v>17</v>
      </c>
      <c r="F6978">
        <v>27.68</v>
      </c>
      <c r="G6978">
        <v>22.94</v>
      </c>
      <c r="H6978" t="s">
        <v>17</v>
      </c>
      <c r="I6978" t="str">
        <f>"063462005803"</f>
        <v>063462005803</v>
      </c>
    </row>
    <row r="6979" spans="1:9" x14ac:dyDescent="0.25">
      <c r="A6979" t="s">
        <v>6074</v>
      </c>
      <c r="B6979" t="s">
        <v>13</v>
      </c>
      <c r="C6979">
        <v>2.8</v>
      </c>
      <c r="D6979">
        <v>2.8</v>
      </c>
      <c r="E6979" t="s">
        <v>17</v>
      </c>
      <c r="F6979">
        <v>24.29</v>
      </c>
      <c r="G6979">
        <v>40.71</v>
      </c>
      <c r="H6979" t="s">
        <v>17</v>
      </c>
      <c r="I6979" t="str">
        <f>"060270005415"</f>
        <v>060270005415</v>
      </c>
    </row>
    <row r="6980" spans="1:9" x14ac:dyDescent="0.25">
      <c r="A6980" t="s">
        <v>6075</v>
      </c>
      <c r="B6980" t="s">
        <v>13</v>
      </c>
      <c r="C6980">
        <v>31.47</v>
      </c>
      <c r="D6980">
        <v>31.09</v>
      </c>
      <c r="E6980" t="s">
        <v>17</v>
      </c>
      <c r="F6980">
        <v>17.41</v>
      </c>
      <c r="G6980">
        <v>17.37</v>
      </c>
      <c r="H6980" t="s">
        <v>17</v>
      </c>
      <c r="I6980" t="str">
        <f>"062223002643"</f>
        <v>062223002643</v>
      </c>
    </row>
    <row r="6981" spans="1:9" x14ac:dyDescent="0.25">
      <c r="A6981" t="s">
        <v>6076</v>
      </c>
      <c r="B6981" t="s">
        <v>13</v>
      </c>
      <c r="C6981">
        <v>10</v>
      </c>
      <c r="D6981">
        <v>10</v>
      </c>
      <c r="E6981" t="s">
        <v>17</v>
      </c>
      <c r="F6981">
        <v>24.8</v>
      </c>
      <c r="G6981">
        <v>25</v>
      </c>
      <c r="H6981" t="s">
        <v>17</v>
      </c>
      <c r="I6981" t="str">
        <f>"060195010558"</f>
        <v>060195010558</v>
      </c>
    </row>
    <row r="6982" spans="1:9" x14ac:dyDescent="0.25">
      <c r="A6982" t="s">
        <v>6077</v>
      </c>
      <c r="B6982" t="s">
        <v>13</v>
      </c>
      <c r="C6982">
        <v>8.01</v>
      </c>
      <c r="D6982">
        <v>8.01</v>
      </c>
      <c r="E6982" t="s">
        <v>17</v>
      </c>
      <c r="F6982">
        <v>12.98</v>
      </c>
      <c r="G6982">
        <v>13.61</v>
      </c>
      <c r="H6982" t="s">
        <v>17</v>
      </c>
      <c r="I6982" t="str">
        <f>"069103710670"</f>
        <v>069103710670</v>
      </c>
    </row>
    <row r="6983" spans="1:9" x14ac:dyDescent="0.25">
      <c r="A6983" t="s">
        <v>6078</v>
      </c>
      <c r="B6983" t="s">
        <v>13</v>
      </c>
      <c r="C6983" t="str">
        <f>"0.50"</f>
        <v>0.50</v>
      </c>
      <c r="D6983" t="str">
        <f>"0.50"</f>
        <v>0.50</v>
      </c>
      <c r="E6983" t="s">
        <v>17</v>
      </c>
      <c r="F6983">
        <v>4</v>
      </c>
      <c r="G6983">
        <v>10</v>
      </c>
      <c r="H6983" t="s">
        <v>17</v>
      </c>
      <c r="I6983" t="str">
        <f>"061104011493"</f>
        <v>061104011493</v>
      </c>
    </row>
    <row r="6984" spans="1:9" x14ac:dyDescent="0.25">
      <c r="A6984" t="s">
        <v>6079</v>
      </c>
      <c r="B6984" t="s">
        <v>13</v>
      </c>
      <c r="C6984">
        <v>3.26</v>
      </c>
      <c r="D6984">
        <v>3.26</v>
      </c>
      <c r="E6984" t="s">
        <v>17</v>
      </c>
      <c r="F6984">
        <v>15.03</v>
      </c>
      <c r="G6984">
        <v>13.5</v>
      </c>
      <c r="H6984" t="s">
        <v>17</v>
      </c>
      <c r="I6984" t="str">
        <f>"061983002384"</f>
        <v>061983002384</v>
      </c>
    </row>
    <row r="6985" spans="1:9" x14ac:dyDescent="0.25">
      <c r="A6985" t="s">
        <v>6080</v>
      </c>
      <c r="B6985" t="s">
        <v>13</v>
      </c>
      <c r="C6985">
        <v>24</v>
      </c>
      <c r="D6985">
        <v>27.38</v>
      </c>
      <c r="E6985" t="s">
        <v>17</v>
      </c>
      <c r="F6985">
        <v>24.33</v>
      </c>
      <c r="G6985">
        <v>22.68</v>
      </c>
      <c r="H6985" t="s">
        <v>17</v>
      </c>
      <c r="I6985" t="str">
        <f>"062586003888"</f>
        <v>062586003888</v>
      </c>
    </row>
    <row r="6986" spans="1:9" x14ac:dyDescent="0.25">
      <c r="A6986" t="s">
        <v>6080</v>
      </c>
      <c r="B6986" t="s">
        <v>13</v>
      </c>
      <c r="C6986">
        <v>35</v>
      </c>
      <c r="D6986">
        <v>37.049999999999997</v>
      </c>
      <c r="E6986" t="s">
        <v>17</v>
      </c>
      <c r="F6986">
        <v>19.66</v>
      </c>
      <c r="G6986">
        <v>17.649999999999999</v>
      </c>
      <c r="H6986" t="s">
        <v>17</v>
      </c>
      <c r="I6986" t="str">
        <f>"060907000925"</f>
        <v>060907000925</v>
      </c>
    </row>
    <row r="6987" spans="1:9" x14ac:dyDescent="0.25">
      <c r="A6987" t="s">
        <v>6081</v>
      </c>
      <c r="B6987" t="s">
        <v>13</v>
      </c>
      <c r="C6987">
        <v>3.5</v>
      </c>
      <c r="D6987">
        <v>3.5</v>
      </c>
      <c r="E6987" t="s">
        <v>17</v>
      </c>
      <c r="F6987">
        <v>31.71</v>
      </c>
      <c r="G6987">
        <v>25.14</v>
      </c>
      <c r="H6987" t="s">
        <v>17</v>
      </c>
      <c r="I6987" t="str">
        <f>"061353005258"</f>
        <v>061353005258</v>
      </c>
    </row>
    <row r="6988" spans="1:9" x14ac:dyDescent="0.25">
      <c r="A6988" t="s">
        <v>6082</v>
      </c>
      <c r="B6988" t="s">
        <v>13</v>
      </c>
      <c r="C6988">
        <v>30.17</v>
      </c>
      <c r="D6988">
        <v>32.15</v>
      </c>
      <c r="E6988" t="s">
        <v>17</v>
      </c>
      <c r="F6988">
        <v>20.05</v>
      </c>
      <c r="G6988">
        <v>19.41</v>
      </c>
      <c r="H6988" t="s">
        <v>17</v>
      </c>
      <c r="I6988" t="str">
        <f>"060231000116"</f>
        <v>060231000116</v>
      </c>
    </row>
    <row r="6989" spans="1:9" x14ac:dyDescent="0.25">
      <c r="A6989" t="s">
        <v>6083</v>
      </c>
      <c r="B6989" t="s">
        <v>13</v>
      </c>
      <c r="C6989">
        <v>46</v>
      </c>
      <c r="D6989">
        <v>44</v>
      </c>
      <c r="E6989" t="s">
        <v>17</v>
      </c>
      <c r="F6989">
        <v>33.15</v>
      </c>
      <c r="G6989">
        <v>33.950000000000003</v>
      </c>
      <c r="H6989" t="s">
        <v>17</v>
      </c>
      <c r="I6989" t="str">
        <f>"069102407578"</f>
        <v>069102407578</v>
      </c>
    </row>
    <row r="6990" spans="1:9" x14ac:dyDescent="0.25">
      <c r="A6990" t="s">
        <v>6084</v>
      </c>
      <c r="B6990" t="s">
        <v>13</v>
      </c>
      <c r="C6990">
        <v>43.69</v>
      </c>
      <c r="D6990">
        <v>41.79</v>
      </c>
      <c r="E6990" t="s">
        <v>17</v>
      </c>
      <c r="F6990">
        <v>17.88</v>
      </c>
      <c r="G6990">
        <v>18.28</v>
      </c>
      <c r="H6990" t="s">
        <v>17</v>
      </c>
      <c r="I6990" t="str">
        <f>"061074012091"</f>
        <v>061074012091</v>
      </c>
    </row>
    <row r="6991" spans="1:9" x14ac:dyDescent="0.25">
      <c r="A6991" t="s">
        <v>6085</v>
      </c>
      <c r="B6991" t="s">
        <v>13</v>
      </c>
      <c r="C6991">
        <v>21</v>
      </c>
      <c r="D6991">
        <v>21</v>
      </c>
      <c r="E6991" t="s">
        <v>17</v>
      </c>
      <c r="F6991">
        <v>20.71</v>
      </c>
      <c r="G6991">
        <v>20.71</v>
      </c>
      <c r="H6991" t="s">
        <v>17</v>
      </c>
      <c r="I6991" t="str">
        <f>"063432005530"</f>
        <v>063432005530</v>
      </c>
    </row>
    <row r="6992" spans="1:9" x14ac:dyDescent="0.25">
      <c r="A6992" t="s">
        <v>6086</v>
      </c>
      <c r="B6992" t="s">
        <v>13</v>
      </c>
      <c r="C6992">
        <v>15.6</v>
      </c>
      <c r="D6992">
        <v>17</v>
      </c>
      <c r="E6992" t="s">
        <v>17</v>
      </c>
      <c r="F6992">
        <v>27.5</v>
      </c>
      <c r="G6992">
        <v>25.35</v>
      </c>
      <c r="H6992" t="s">
        <v>17</v>
      </c>
      <c r="I6992" t="str">
        <f>"062271010833"</f>
        <v>062271010833</v>
      </c>
    </row>
    <row r="6993" spans="1:9" x14ac:dyDescent="0.25">
      <c r="A6993" t="s">
        <v>6087</v>
      </c>
      <c r="B6993" t="s">
        <v>13</v>
      </c>
      <c r="C6993">
        <v>75.02</v>
      </c>
      <c r="D6993">
        <v>71.599999999999994</v>
      </c>
      <c r="E6993" t="s">
        <v>17</v>
      </c>
      <c r="F6993">
        <v>24.55</v>
      </c>
      <c r="G6993">
        <v>23.85</v>
      </c>
      <c r="H6993" t="s">
        <v>17</v>
      </c>
      <c r="I6993" t="str">
        <f>"063474011464"</f>
        <v>063474011464</v>
      </c>
    </row>
    <row r="6994" spans="1:9" x14ac:dyDescent="0.25">
      <c r="A6994" t="s">
        <v>6088</v>
      </c>
      <c r="B6994" t="s">
        <v>13</v>
      </c>
      <c r="C6994">
        <v>22.12</v>
      </c>
      <c r="D6994">
        <v>22.12</v>
      </c>
      <c r="E6994" t="s">
        <v>17</v>
      </c>
      <c r="F6994">
        <v>22.42</v>
      </c>
      <c r="G6994">
        <v>21.75</v>
      </c>
      <c r="H6994" t="s">
        <v>17</v>
      </c>
      <c r="I6994" t="str">
        <f>"061275001436"</f>
        <v>061275001436</v>
      </c>
    </row>
    <row r="6995" spans="1:9" x14ac:dyDescent="0.25">
      <c r="A6995" t="s">
        <v>6089</v>
      </c>
      <c r="B6995" t="s">
        <v>13</v>
      </c>
      <c r="C6995">
        <v>17.45</v>
      </c>
      <c r="D6995">
        <v>17.399999999999999</v>
      </c>
      <c r="E6995" t="s">
        <v>17</v>
      </c>
      <c r="F6995">
        <v>24.13</v>
      </c>
      <c r="G6995">
        <v>24.2</v>
      </c>
      <c r="H6995" t="s">
        <v>17</v>
      </c>
      <c r="I6995" t="str">
        <f>"062046002469"</f>
        <v>062046002469</v>
      </c>
    </row>
    <row r="6996" spans="1:9" x14ac:dyDescent="0.25">
      <c r="A6996" t="s">
        <v>6090</v>
      </c>
      <c r="B6996" t="s">
        <v>13</v>
      </c>
      <c r="C6996">
        <v>13.06</v>
      </c>
      <c r="D6996">
        <v>12</v>
      </c>
      <c r="E6996" t="s">
        <v>17</v>
      </c>
      <c r="F6996">
        <v>15.85</v>
      </c>
      <c r="G6996">
        <v>18.329999999999998</v>
      </c>
      <c r="H6996" t="s">
        <v>17</v>
      </c>
      <c r="I6996" t="str">
        <f>"062825004367"</f>
        <v>062825004367</v>
      </c>
    </row>
    <row r="6997" spans="1:9" x14ac:dyDescent="0.25">
      <c r="A6997" t="s">
        <v>6091</v>
      </c>
      <c r="B6997" t="s">
        <v>13</v>
      </c>
      <c r="C6997" t="s">
        <v>17</v>
      </c>
      <c r="D6997" t="s">
        <v>14</v>
      </c>
      <c r="E6997" t="s">
        <v>14</v>
      </c>
      <c r="F6997" t="s">
        <v>17</v>
      </c>
      <c r="G6997" t="s">
        <v>14</v>
      </c>
      <c r="H6997" t="s">
        <v>14</v>
      </c>
      <c r="I6997" t="str">
        <f>"062817013219"</f>
        <v>062817013219</v>
      </c>
    </row>
    <row r="6998" spans="1:9" x14ac:dyDescent="0.25">
      <c r="A6998" t="s">
        <v>6092</v>
      </c>
      <c r="B6998" t="s">
        <v>13</v>
      </c>
      <c r="C6998">
        <v>29.92</v>
      </c>
      <c r="D6998">
        <v>31.4</v>
      </c>
      <c r="E6998" t="s">
        <v>17</v>
      </c>
      <c r="F6998">
        <v>20.02</v>
      </c>
      <c r="G6998">
        <v>18.57</v>
      </c>
      <c r="H6998" t="s">
        <v>17</v>
      </c>
      <c r="I6998" t="str">
        <f>"060186007937"</f>
        <v>060186007937</v>
      </c>
    </row>
    <row r="6999" spans="1:9" x14ac:dyDescent="0.25">
      <c r="A6999" t="s">
        <v>6092</v>
      </c>
      <c r="B6999" t="s">
        <v>13</v>
      </c>
      <c r="C6999">
        <v>23</v>
      </c>
      <c r="D6999">
        <v>21.5</v>
      </c>
      <c r="E6999" t="s">
        <v>17</v>
      </c>
      <c r="F6999">
        <v>25.43</v>
      </c>
      <c r="G6999">
        <v>26.05</v>
      </c>
      <c r="H6999" t="s">
        <v>17</v>
      </c>
      <c r="I6999" t="str">
        <f>"062308003526"</f>
        <v>062308003526</v>
      </c>
    </row>
    <row r="7000" spans="1:9" x14ac:dyDescent="0.25">
      <c r="A7000" t="s">
        <v>6092</v>
      </c>
      <c r="B7000" t="s">
        <v>13</v>
      </c>
      <c r="C7000">
        <v>34</v>
      </c>
      <c r="D7000">
        <v>38</v>
      </c>
      <c r="E7000" t="s">
        <v>17</v>
      </c>
      <c r="F7000">
        <v>25.47</v>
      </c>
      <c r="G7000">
        <v>21.76</v>
      </c>
      <c r="H7000" t="s">
        <v>17</v>
      </c>
      <c r="I7000" t="str">
        <f>"061185001320"</f>
        <v>061185001320</v>
      </c>
    </row>
    <row r="7001" spans="1:9" x14ac:dyDescent="0.25">
      <c r="A7001" t="s">
        <v>6093</v>
      </c>
      <c r="B7001" t="s">
        <v>13</v>
      </c>
      <c r="C7001">
        <v>56.26</v>
      </c>
      <c r="D7001">
        <v>58.1</v>
      </c>
      <c r="E7001" t="s">
        <v>17</v>
      </c>
      <c r="F7001">
        <v>26.13</v>
      </c>
      <c r="G7001">
        <v>25.51</v>
      </c>
      <c r="H7001" t="s">
        <v>17</v>
      </c>
      <c r="I7001" t="str">
        <f>"061806002233"</f>
        <v>061806002233</v>
      </c>
    </row>
    <row r="7002" spans="1:9" x14ac:dyDescent="0.25">
      <c r="A7002" t="s">
        <v>6094</v>
      </c>
      <c r="B7002" t="s">
        <v>13</v>
      </c>
      <c r="C7002">
        <v>22.5</v>
      </c>
      <c r="D7002">
        <v>41.05</v>
      </c>
      <c r="E7002" t="s">
        <v>17</v>
      </c>
      <c r="F7002">
        <v>31.11</v>
      </c>
      <c r="G7002">
        <v>29.82</v>
      </c>
      <c r="H7002" t="s">
        <v>17</v>
      </c>
      <c r="I7002" t="str">
        <f>"063522010382"</f>
        <v>063522010382</v>
      </c>
    </row>
    <row r="7003" spans="1:9" x14ac:dyDescent="0.25">
      <c r="A7003" t="s">
        <v>6095</v>
      </c>
      <c r="B7003" t="s">
        <v>13</v>
      </c>
      <c r="C7003">
        <v>34</v>
      </c>
      <c r="D7003">
        <v>34</v>
      </c>
      <c r="E7003" t="s">
        <v>17</v>
      </c>
      <c r="F7003">
        <v>22.94</v>
      </c>
      <c r="G7003">
        <v>22.38</v>
      </c>
      <c r="H7003" t="s">
        <v>17</v>
      </c>
      <c r="I7003" t="str">
        <f>"062817004354"</f>
        <v>062817004354</v>
      </c>
    </row>
    <row r="7004" spans="1:9" x14ac:dyDescent="0.25">
      <c r="A7004" t="s">
        <v>6096</v>
      </c>
      <c r="B7004" t="s">
        <v>13</v>
      </c>
      <c r="C7004">
        <v>28.5</v>
      </c>
      <c r="D7004">
        <v>27</v>
      </c>
      <c r="E7004" t="s">
        <v>17</v>
      </c>
      <c r="F7004">
        <v>22.88</v>
      </c>
      <c r="G7004">
        <v>22.7</v>
      </c>
      <c r="H7004" t="s">
        <v>17</v>
      </c>
      <c r="I7004" t="str">
        <f>"061893002294"</f>
        <v>061893002294</v>
      </c>
    </row>
    <row r="7005" spans="1:9" x14ac:dyDescent="0.25">
      <c r="A7005" t="s">
        <v>6097</v>
      </c>
      <c r="B7005" t="s">
        <v>13</v>
      </c>
      <c r="C7005">
        <v>18.5</v>
      </c>
      <c r="D7005">
        <v>19.75</v>
      </c>
      <c r="E7005" t="s">
        <v>17</v>
      </c>
      <c r="F7005">
        <v>23.03</v>
      </c>
      <c r="G7005">
        <v>23.29</v>
      </c>
      <c r="H7005" t="s">
        <v>17</v>
      </c>
      <c r="I7005" t="str">
        <f>"062308003527"</f>
        <v>062308003527</v>
      </c>
    </row>
    <row r="7006" spans="1:9" x14ac:dyDescent="0.25">
      <c r="A7006" t="s">
        <v>6098</v>
      </c>
      <c r="B7006" t="s">
        <v>13</v>
      </c>
      <c r="C7006">
        <v>87.74</v>
      </c>
      <c r="D7006">
        <v>84.77</v>
      </c>
      <c r="E7006" t="s">
        <v>17</v>
      </c>
      <c r="F7006">
        <v>25.67</v>
      </c>
      <c r="G7006">
        <v>28.04</v>
      </c>
      <c r="H7006" t="s">
        <v>17</v>
      </c>
      <c r="I7006" t="str">
        <f>"062825004368"</f>
        <v>062825004368</v>
      </c>
    </row>
    <row r="7007" spans="1:9" x14ac:dyDescent="0.25">
      <c r="A7007" t="s">
        <v>6099</v>
      </c>
      <c r="B7007" t="s">
        <v>13</v>
      </c>
      <c r="C7007">
        <v>47.7</v>
      </c>
      <c r="D7007">
        <v>48.5</v>
      </c>
      <c r="E7007" t="s">
        <v>17</v>
      </c>
      <c r="F7007">
        <v>25.26</v>
      </c>
      <c r="G7007">
        <v>24.33</v>
      </c>
      <c r="H7007" t="s">
        <v>17</v>
      </c>
      <c r="I7007" t="str">
        <f>"061488000754"</f>
        <v>061488000754</v>
      </c>
    </row>
    <row r="7008" spans="1:9" x14ac:dyDescent="0.25">
      <c r="A7008" t="s">
        <v>6100</v>
      </c>
      <c r="B7008" t="s">
        <v>13</v>
      </c>
      <c r="C7008">
        <v>46.06</v>
      </c>
      <c r="D7008">
        <v>43.01</v>
      </c>
      <c r="E7008" t="s">
        <v>17</v>
      </c>
      <c r="F7008">
        <v>22.95</v>
      </c>
      <c r="G7008">
        <v>25.09</v>
      </c>
      <c r="H7008" t="s">
        <v>17</v>
      </c>
      <c r="I7008" t="str">
        <f>"062958004572"</f>
        <v>062958004572</v>
      </c>
    </row>
    <row r="7009" spans="1:9" x14ac:dyDescent="0.25">
      <c r="A7009" t="s">
        <v>6101</v>
      </c>
      <c r="B7009" t="s">
        <v>13</v>
      </c>
      <c r="C7009">
        <v>59</v>
      </c>
      <c r="D7009">
        <v>56.4</v>
      </c>
      <c r="E7009" t="s">
        <v>17</v>
      </c>
      <c r="F7009">
        <v>31.17</v>
      </c>
      <c r="G7009">
        <v>31.08</v>
      </c>
      <c r="H7009" t="s">
        <v>17</v>
      </c>
      <c r="I7009" t="str">
        <f>"063531008546"</f>
        <v>063531008546</v>
      </c>
    </row>
    <row r="7010" spans="1:9" x14ac:dyDescent="0.25">
      <c r="A7010" t="s">
        <v>6102</v>
      </c>
      <c r="B7010" t="s">
        <v>13</v>
      </c>
      <c r="C7010">
        <v>16</v>
      </c>
      <c r="D7010">
        <v>17</v>
      </c>
      <c r="E7010" t="s">
        <v>17</v>
      </c>
      <c r="F7010">
        <v>26.44</v>
      </c>
      <c r="G7010">
        <v>23.35</v>
      </c>
      <c r="H7010" t="s">
        <v>17</v>
      </c>
      <c r="I7010" t="str">
        <f>"069107808012"</f>
        <v>069107808012</v>
      </c>
    </row>
    <row r="7011" spans="1:9" x14ac:dyDescent="0.25">
      <c r="A7011" t="s">
        <v>6103</v>
      </c>
      <c r="B7011" t="s">
        <v>13</v>
      </c>
      <c r="C7011">
        <v>5</v>
      </c>
      <c r="D7011">
        <v>5.01</v>
      </c>
      <c r="E7011" t="s">
        <v>17</v>
      </c>
      <c r="F7011">
        <v>23.6</v>
      </c>
      <c r="G7011">
        <v>24.75</v>
      </c>
      <c r="H7011" t="s">
        <v>17</v>
      </c>
      <c r="I7011" t="str">
        <f>"062271003235"</f>
        <v>062271003235</v>
      </c>
    </row>
    <row r="7012" spans="1:9" x14ac:dyDescent="0.25">
      <c r="A7012" t="s">
        <v>6104</v>
      </c>
      <c r="B7012" t="s">
        <v>13</v>
      </c>
      <c r="C7012">
        <v>20</v>
      </c>
      <c r="D7012">
        <v>20</v>
      </c>
      <c r="E7012" t="s">
        <v>17</v>
      </c>
      <c r="F7012">
        <v>29.35</v>
      </c>
      <c r="G7012">
        <v>27.35</v>
      </c>
      <c r="H7012" t="s">
        <v>17</v>
      </c>
      <c r="I7012" t="str">
        <f>"063417005376"</f>
        <v>063417005376</v>
      </c>
    </row>
    <row r="7013" spans="1:9" x14ac:dyDescent="0.25">
      <c r="A7013" t="s">
        <v>6105</v>
      </c>
      <c r="B7013" t="s">
        <v>13</v>
      </c>
      <c r="C7013" t="s">
        <v>17</v>
      </c>
      <c r="D7013">
        <v>1</v>
      </c>
      <c r="E7013" t="s">
        <v>17</v>
      </c>
      <c r="F7013" t="s">
        <v>17</v>
      </c>
      <c r="G7013">
        <v>6</v>
      </c>
      <c r="H7013" t="s">
        <v>17</v>
      </c>
      <c r="I7013" t="str">
        <f>"060645012070"</f>
        <v>060645012070</v>
      </c>
    </row>
    <row r="7014" spans="1:9" x14ac:dyDescent="0.25">
      <c r="A7014" t="s">
        <v>6106</v>
      </c>
      <c r="B7014" t="s">
        <v>13</v>
      </c>
      <c r="C7014">
        <v>21</v>
      </c>
      <c r="D7014">
        <v>24</v>
      </c>
      <c r="E7014" t="s">
        <v>17</v>
      </c>
      <c r="F7014">
        <v>24.9</v>
      </c>
      <c r="G7014">
        <v>21</v>
      </c>
      <c r="H7014" t="s">
        <v>17</v>
      </c>
      <c r="I7014" t="str">
        <f>"062949009600"</f>
        <v>062949009600</v>
      </c>
    </row>
    <row r="7015" spans="1:9" x14ac:dyDescent="0.25">
      <c r="A7015" t="s">
        <v>6106</v>
      </c>
      <c r="B7015" t="s">
        <v>13</v>
      </c>
      <c r="C7015">
        <v>30.07</v>
      </c>
      <c r="D7015">
        <v>28.81</v>
      </c>
      <c r="E7015" t="s">
        <v>17</v>
      </c>
      <c r="F7015">
        <v>20.12</v>
      </c>
      <c r="G7015">
        <v>20.239999999999998</v>
      </c>
      <c r="H7015" t="s">
        <v>17</v>
      </c>
      <c r="I7015" t="str">
        <f>"062961004592"</f>
        <v>062961004592</v>
      </c>
    </row>
    <row r="7016" spans="1:9" x14ac:dyDescent="0.25">
      <c r="A7016" t="s">
        <v>6106</v>
      </c>
      <c r="B7016" t="s">
        <v>13</v>
      </c>
      <c r="C7016">
        <v>15.5</v>
      </c>
      <c r="D7016">
        <v>18.5</v>
      </c>
      <c r="E7016" t="s">
        <v>17</v>
      </c>
      <c r="F7016">
        <v>24.45</v>
      </c>
      <c r="G7016">
        <v>21.51</v>
      </c>
      <c r="H7016" t="s">
        <v>17</v>
      </c>
      <c r="I7016" t="str">
        <f>"063255005048"</f>
        <v>063255005048</v>
      </c>
    </row>
    <row r="7017" spans="1:9" x14ac:dyDescent="0.25">
      <c r="A7017" t="s">
        <v>6107</v>
      </c>
      <c r="B7017" t="s">
        <v>13</v>
      </c>
      <c r="C7017" t="s">
        <v>14</v>
      </c>
      <c r="D7017">
        <v>1</v>
      </c>
      <c r="E7017" t="s">
        <v>17</v>
      </c>
      <c r="F7017" t="s">
        <v>17</v>
      </c>
      <c r="G7017" t="s">
        <v>17</v>
      </c>
      <c r="H7017" t="s">
        <v>17</v>
      </c>
      <c r="I7017" t="str">
        <f>"062827012603"</f>
        <v>062827012603</v>
      </c>
    </row>
    <row r="7018" spans="1:9" x14ac:dyDescent="0.25">
      <c r="A7018" t="s">
        <v>6108</v>
      </c>
      <c r="B7018" t="s">
        <v>13</v>
      </c>
      <c r="C7018">
        <v>17.5</v>
      </c>
      <c r="D7018">
        <v>16</v>
      </c>
      <c r="E7018" t="s">
        <v>17</v>
      </c>
      <c r="F7018">
        <v>25.89</v>
      </c>
      <c r="G7018">
        <v>24</v>
      </c>
      <c r="H7018" t="s">
        <v>17</v>
      </c>
      <c r="I7018" t="str">
        <f>"061422001632"</f>
        <v>061422001632</v>
      </c>
    </row>
    <row r="7019" spans="1:9" x14ac:dyDescent="0.25">
      <c r="A7019" t="s">
        <v>6109</v>
      </c>
      <c r="B7019" t="s">
        <v>13</v>
      </c>
      <c r="C7019">
        <v>10</v>
      </c>
      <c r="D7019">
        <v>9.5</v>
      </c>
      <c r="E7019" t="s">
        <v>17</v>
      </c>
      <c r="F7019">
        <v>28.2</v>
      </c>
      <c r="G7019">
        <v>30.74</v>
      </c>
      <c r="H7019" t="s">
        <v>17</v>
      </c>
      <c r="I7019" t="str">
        <f>"062832004386"</f>
        <v>062832004386</v>
      </c>
    </row>
    <row r="7020" spans="1:9" x14ac:dyDescent="0.25">
      <c r="A7020" t="s">
        <v>6110</v>
      </c>
      <c r="B7020" t="s">
        <v>13</v>
      </c>
      <c r="C7020">
        <v>16.149999999999999</v>
      </c>
      <c r="D7020">
        <v>15.07</v>
      </c>
      <c r="E7020" t="s">
        <v>17</v>
      </c>
      <c r="F7020">
        <v>21.05</v>
      </c>
      <c r="G7020">
        <v>21.23</v>
      </c>
      <c r="H7020" t="s">
        <v>17</v>
      </c>
      <c r="I7020" t="str">
        <f>"062487003713"</f>
        <v>062487003713</v>
      </c>
    </row>
    <row r="7021" spans="1:9" x14ac:dyDescent="0.25">
      <c r="A7021" t="s">
        <v>6111</v>
      </c>
      <c r="B7021" t="s">
        <v>13</v>
      </c>
      <c r="C7021">
        <v>22.4</v>
      </c>
      <c r="D7021">
        <v>22.53</v>
      </c>
      <c r="E7021" t="s">
        <v>17</v>
      </c>
      <c r="F7021">
        <v>21.43</v>
      </c>
      <c r="G7021">
        <v>21.75</v>
      </c>
      <c r="H7021" t="s">
        <v>17</v>
      </c>
      <c r="I7021" t="str">
        <f>"062718004096"</f>
        <v>062718004096</v>
      </c>
    </row>
    <row r="7022" spans="1:9" x14ac:dyDescent="0.25">
      <c r="A7022" t="s">
        <v>6112</v>
      </c>
      <c r="B7022" t="s">
        <v>13</v>
      </c>
      <c r="C7022">
        <v>22</v>
      </c>
      <c r="D7022">
        <v>22</v>
      </c>
      <c r="E7022" t="s">
        <v>17</v>
      </c>
      <c r="F7022">
        <v>32.18</v>
      </c>
      <c r="G7022">
        <v>31.45</v>
      </c>
      <c r="H7022" t="s">
        <v>17</v>
      </c>
      <c r="I7022" t="str">
        <f>"061146007107"</f>
        <v>061146007107</v>
      </c>
    </row>
    <row r="7023" spans="1:9" x14ac:dyDescent="0.25">
      <c r="A7023" t="s">
        <v>6112</v>
      </c>
      <c r="B7023" t="s">
        <v>13</v>
      </c>
      <c r="C7023">
        <v>32.380000000000003</v>
      </c>
      <c r="D7023">
        <v>31.38</v>
      </c>
      <c r="E7023" t="s">
        <v>17</v>
      </c>
      <c r="F7023">
        <v>31.07</v>
      </c>
      <c r="G7023">
        <v>31.58</v>
      </c>
      <c r="H7023" t="s">
        <v>17</v>
      </c>
      <c r="I7023" t="str">
        <f>"060639012036"</f>
        <v>060639012036</v>
      </c>
    </row>
    <row r="7024" spans="1:9" x14ac:dyDescent="0.25">
      <c r="A7024" t="s">
        <v>6113</v>
      </c>
      <c r="B7024" t="s">
        <v>13</v>
      </c>
      <c r="C7024">
        <v>10</v>
      </c>
      <c r="D7024">
        <v>8.6</v>
      </c>
      <c r="E7024" t="s">
        <v>14</v>
      </c>
      <c r="F7024">
        <v>24.5</v>
      </c>
      <c r="G7024">
        <v>23.49</v>
      </c>
      <c r="H7024" t="s">
        <v>14</v>
      </c>
      <c r="I7024" t="str">
        <f>"063432012786"</f>
        <v>063432012786</v>
      </c>
    </row>
    <row r="7025" spans="1:9" x14ac:dyDescent="0.25">
      <c r="A7025" t="s">
        <v>6114</v>
      </c>
      <c r="B7025" t="s">
        <v>13</v>
      </c>
      <c r="C7025">
        <v>32.67</v>
      </c>
      <c r="D7025">
        <v>31.83</v>
      </c>
      <c r="E7025" t="s">
        <v>17</v>
      </c>
      <c r="F7025">
        <v>28.07</v>
      </c>
      <c r="G7025">
        <v>29.15</v>
      </c>
      <c r="H7025" t="s">
        <v>17</v>
      </c>
      <c r="I7025" t="str">
        <f>"061392001596"</f>
        <v>061392001596</v>
      </c>
    </row>
    <row r="7026" spans="1:9" x14ac:dyDescent="0.25">
      <c r="A7026" t="s">
        <v>6115</v>
      </c>
      <c r="B7026" t="s">
        <v>13</v>
      </c>
      <c r="C7026" t="s">
        <v>14</v>
      </c>
      <c r="D7026" t="s">
        <v>14</v>
      </c>
      <c r="E7026" t="s">
        <v>17</v>
      </c>
      <c r="F7026" t="s">
        <v>14</v>
      </c>
      <c r="G7026" t="s">
        <v>14</v>
      </c>
      <c r="H7026" t="s">
        <v>17</v>
      </c>
      <c r="I7026" t="str">
        <f>"062262002781"</f>
        <v>062262002781</v>
      </c>
    </row>
    <row r="7027" spans="1:9" x14ac:dyDescent="0.25">
      <c r="A7027" t="s">
        <v>6115</v>
      </c>
      <c r="B7027" t="s">
        <v>13</v>
      </c>
      <c r="C7027">
        <v>8</v>
      </c>
      <c r="D7027">
        <v>7</v>
      </c>
      <c r="E7027" t="s">
        <v>14</v>
      </c>
      <c r="F7027">
        <v>24.38</v>
      </c>
      <c r="G7027">
        <v>26.86</v>
      </c>
      <c r="H7027" t="s">
        <v>14</v>
      </c>
      <c r="I7027" t="str">
        <f>"062871002781"</f>
        <v>062871002781</v>
      </c>
    </row>
    <row r="7028" spans="1:9" x14ac:dyDescent="0.25">
      <c r="A7028" t="s">
        <v>6116</v>
      </c>
      <c r="B7028" t="s">
        <v>13</v>
      </c>
      <c r="C7028">
        <v>12</v>
      </c>
      <c r="D7028">
        <v>12</v>
      </c>
      <c r="E7028" t="s">
        <v>17</v>
      </c>
      <c r="F7028">
        <v>27.17</v>
      </c>
      <c r="G7028">
        <v>25.5</v>
      </c>
      <c r="H7028" t="s">
        <v>17</v>
      </c>
      <c r="I7028" t="str">
        <f>"063255005049"</f>
        <v>063255005049</v>
      </c>
    </row>
    <row r="7029" spans="1:9" x14ac:dyDescent="0.25">
      <c r="A7029" t="s">
        <v>6116</v>
      </c>
      <c r="B7029" t="s">
        <v>13</v>
      </c>
      <c r="C7029">
        <v>15</v>
      </c>
      <c r="D7029">
        <v>14</v>
      </c>
      <c r="E7029" t="s">
        <v>17</v>
      </c>
      <c r="F7029">
        <v>31.27</v>
      </c>
      <c r="G7029">
        <v>28.36</v>
      </c>
      <c r="H7029" t="s">
        <v>17</v>
      </c>
      <c r="I7029" t="str">
        <f>"060588000532"</f>
        <v>060588000532</v>
      </c>
    </row>
    <row r="7030" spans="1:9" x14ac:dyDescent="0.25">
      <c r="A7030" t="s">
        <v>6117</v>
      </c>
      <c r="B7030" t="s">
        <v>13</v>
      </c>
      <c r="C7030">
        <v>19</v>
      </c>
      <c r="D7030">
        <v>18</v>
      </c>
      <c r="E7030" t="s">
        <v>17</v>
      </c>
      <c r="F7030">
        <v>24.58</v>
      </c>
      <c r="G7030">
        <v>27.83</v>
      </c>
      <c r="H7030" t="s">
        <v>17</v>
      </c>
      <c r="I7030" t="str">
        <f>"062301003511"</f>
        <v>062301003511</v>
      </c>
    </row>
    <row r="7031" spans="1:9" x14ac:dyDescent="0.25">
      <c r="A7031" t="s">
        <v>6118</v>
      </c>
      <c r="B7031" t="s">
        <v>13</v>
      </c>
      <c r="C7031">
        <v>23.5</v>
      </c>
      <c r="D7031">
        <v>23.5</v>
      </c>
      <c r="E7031" t="s">
        <v>17</v>
      </c>
      <c r="F7031">
        <v>21.83</v>
      </c>
      <c r="G7031">
        <v>21.15</v>
      </c>
      <c r="H7031" t="s">
        <v>17</v>
      </c>
      <c r="I7031" t="str">
        <f>"062745009595"</f>
        <v>062745009595</v>
      </c>
    </row>
    <row r="7032" spans="1:9" x14ac:dyDescent="0.25">
      <c r="A7032" t="s">
        <v>6119</v>
      </c>
      <c r="B7032" t="s">
        <v>13</v>
      </c>
      <c r="C7032">
        <v>19.489999999999998</v>
      </c>
      <c r="D7032">
        <v>21.92</v>
      </c>
      <c r="E7032" t="s">
        <v>17</v>
      </c>
      <c r="F7032">
        <v>29.04</v>
      </c>
      <c r="G7032">
        <v>27.1</v>
      </c>
      <c r="H7032" t="s">
        <v>17</v>
      </c>
      <c r="I7032" t="str">
        <f>"062865008245"</f>
        <v>062865008245</v>
      </c>
    </row>
    <row r="7033" spans="1:9" x14ac:dyDescent="0.25">
      <c r="A7033" t="s">
        <v>6119</v>
      </c>
      <c r="B7033" t="s">
        <v>13</v>
      </c>
      <c r="C7033">
        <v>16.899999999999999</v>
      </c>
      <c r="D7033">
        <v>18.899999999999999</v>
      </c>
      <c r="E7033" t="s">
        <v>17</v>
      </c>
      <c r="F7033">
        <v>21.95</v>
      </c>
      <c r="G7033">
        <v>20.58</v>
      </c>
      <c r="H7033" t="s">
        <v>17</v>
      </c>
      <c r="I7033" t="str">
        <f>"062772004192"</f>
        <v>062772004192</v>
      </c>
    </row>
    <row r="7034" spans="1:9" x14ac:dyDescent="0.25">
      <c r="A7034" t="s">
        <v>6119</v>
      </c>
      <c r="B7034" t="s">
        <v>13</v>
      </c>
      <c r="C7034">
        <v>21</v>
      </c>
      <c r="D7034">
        <v>21</v>
      </c>
      <c r="E7034" t="s">
        <v>17</v>
      </c>
      <c r="F7034">
        <v>19.14</v>
      </c>
      <c r="G7034">
        <v>17.809999999999999</v>
      </c>
      <c r="H7034" t="s">
        <v>17</v>
      </c>
      <c r="I7034" t="str">
        <f>"064119006821"</f>
        <v>064119006821</v>
      </c>
    </row>
    <row r="7035" spans="1:9" x14ac:dyDescent="0.25">
      <c r="A7035" t="s">
        <v>6120</v>
      </c>
      <c r="B7035" t="s">
        <v>13</v>
      </c>
      <c r="C7035">
        <v>16.5</v>
      </c>
      <c r="D7035">
        <v>27.1</v>
      </c>
      <c r="E7035" t="s">
        <v>17</v>
      </c>
      <c r="F7035">
        <v>15.76</v>
      </c>
      <c r="G7035">
        <v>11.14</v>
      </c>
      <c r="H7035" t="s">
        <v>17</v>
      </c>
      <c r="I7035" t="str">
        <f>"062292010662"</f>
        <v>062292010662</v>
      </c>
    </row>
    <row r="7036" spans="1:9" x14ac:dyDescent="0.25">
      <c r="A7036" t="s">
        <v>6121</v>
      </c>
      <c r="B7036" t="s">
        <v>13</v>
      </c>
      <c r="C7036">
        <v>22.61</v>
      </c>
      <c r="D7036">
        <v>25.65</v>
      </c>
      <c r="E7036" t="s">
        <v>17</v>
      </c>
      <c r="F7036">
        <v>24.24</v>
      </c>
      <c r="G7036">
        <v>20.9</v>
      </c>
      <c r="H7036" t="s">
        <v>17</v>
      </c>
      <c r="I7036" t="str">
        <f>"061149007599"</f>
        <v>061149007599</v>
      </c>
    </row>
    <row r="7037" spans="1:9" x14ac:dyDescent="0.25">
      <c r="A7037" t="s">
        <v>6122</v>
      </c>
      <c r="B7037" t="s">
        <v>13</v>
      </c>
      <c r="C7037">
        <v>22.5</v>
      </c>
      <c r="D7037">
        <v>23.25</v>
      </c>
      <c r="E7037" t="s">
        <v>17</v>
      </c>
      <c r="F7037">
        <v>23.91</v>
      </c>
      <c r="G7037">
        <v>22.45</v>
      </c>
      <c r="H7037" t="s">
        <v>17</v>
      </c>
      <c r="I7037" t="str">
        <f>"060369000336"</f>
        <v>060369000336</v>
      </c>
    </row>
    <row r="7038" spans="1:9" x14ac:dyDescent="0.25">
      <c r="A7038" t="s">
        <v>6123</v>
      </c>
      <c r="B7038" t="s">
        <v>13</v>
      </c>
      <c r="C7038">
        <v>31.9</v>
      </c>
      <c r="D7038">
        <v>32.6</v>
      </c>
      <c r="E7038" t="s">
        <v>17</v>
      </c>
      <c r="F7038">
        <v>27.05</v>
      </c>
      <c r="G7038">
        <v>25.4</v>
      </c>
      <c r="H7038" t="s">
        <v>17</v>
      </c>
      <c r="I7038" t="str">
        <f>"063171008944"</f>
        <v>063171008944</v>
      </c>
    </row>
    <row r="7039" spans="1:9" x14ac:dyDescent="0.25">
      <c r="A7039" t="s">
        <v>6124</v>
      </c>
      <c r="B7039" t="s">
        <v>13</v>
      </c>
      <c r="C7039">
        <v>25</v>
      </c>
      <c r="D7039">
        <v>28</v>
      </c>
      <c r="E7039" t="s">
        <v>17</v>
      </c>
      <c r="F7039">
        <v>28.72</v>
      </c>
      <c r="G7039">
        <v>25.71</v>
      </c>
      <c r="H7039" t="s">
        <v>17</v>
      </c>
      <c r="I7039" t="str">
        <f>"060006404872"</f>
        <v>060006404872</v>
      </c>
    </row>
    <row r="7040" spans="1:9" x14ac:dyDescent="0.25">
      <c r="A7040" t="s">
        <v>6124</v>
      </c>
      <c r="B7040" t="s">
        <v>13</v>
      </c>
      <c r="C7040">
        <v>28.35</v>
      </c>
      <c r="D7040">
        <v>29.75</v>
      </c>
      <c r="E7040" t="s">
        <v>17</v>
      </c>
      <c r="F7040">
        <v>25.96</v>
      </c>
      <c r="G7040">
        <v>25.82</v>
      </c>
      <c r="H7040" t="s">
        <v>17</v>
      </c>
      <c r="I7040" t="str">
        <f>"060261006092"</f>
        <v>060261006092</v>
      </c>
    </row>
    <row r="7041" spans="1:9" x14ac:dyDescent="0.25">
      <c r="A7041" t="s">
        <v>6125</v>
      </c>
      <c r="B7041" t="s">
        <v>13</v>
      </c>
      <c r="C7041">
        <v>25.2</v>
      </c>
      <c r="D7041">
        <v>21.4</v>
      </c>
      <c r="E7041" t="s">
        <v>17</v>
      </c>
      <c r="F7041">
        <v>25.83</v>
      </c>
      <c r="G7041">
        <v>26.21</v>
      </c>
      <c r="H7041" t="s">
        <v>17</v>
      </c>
      <c r="I7041" t="str">
        <f>"060978001041"</f>
        <v>060978001041</v>
      </c>
    </row>
    <row r="7042" spans="1:9" x14ac:dyDescent="0.25">
      <c r="A7042" t="s">
        <v>6126</v>
      </c>
      <c r="B7042" t="s">
        <v>13</v>
      </c>
      <c r="C7042">
        <v>62</v>
      </c>
      <c r="D7042">
        <v>72.010000000000005</v>
      </c>
      <c r="E7042" t="s">
        <v>17</v>
      </c>
      <c r="F7042">
        <v>20.260000000000002</v>
      </c>
      <c r="G7042">
        <v>19.32</v>
      </c>
      <c r="H7042" t="s">
        <v>17</v>
      </c>
      <c r="I7042" t="str">
        <f>"062271003236"</f>
        <v>062271003236</v>
      </c>
    </row>
    <row r="7043" spans="1:9" x14ac:dyDescent="0.25">
      <c r="A7043" t="s">
        <v>6127</v>
      </c>
      <c r="B7043" t="s">
        <v>13</v>
      </c>
      <c r="C7043">
        <v>23.1</v>
      </c>
      <c r="D7043">
        <v>24</v>
      </c>
      <c r="E7043" t="s">
        <v>17</v>
      </c>
      <c r="F7043">
        <v>23.98</v>
      </c>
      <c r="G7043">
        <v>22</v>
      </c>
      <c r="H7043" t="s">
        <v>17</v>
      </c>
      <c r="I7043" t="str">
        <f>"062409003634"</f>
        <v>062409003634</v>
      </c>
    </row>
    <row r="7044" spans="1:9" x14ac:dyDescent="0.25">
      <c r="A7044" t="s">
        <v>6128</v>
      </c>
      <c r="B7044" t="s">
        <v>13</v>
      </c>
      <c r="C7044">
        <v>26.6</v>
      </c>
      <c r="D7044">
        <v>26.6</v>
      </c>
      <c r="E7044" t="s">
        <v>17</v>
      </c>
      <c r="F7044">
        <v>27.26</v>
      </c>
      <c r="G7044">
        <v>24.29</v>
      </c>
      <c r="H7044" t="s">
        <v>17</v>
      </c>
      <c r="I7044" t="str">
        <f>"061440001683"</f>
        <v>061440001683</v>
      </c>
    </row>
    <row r="7045" spans="1:9" x14ac:dyDescent="0.25">
      <c r="A7045" t="s">
        <v>6129</v>
      </c>
      <c r="B7045" t="s">
        <v>13</v>
      </c>
      <c r="C7045">
        <v>12</v>
      </c>
      <c r="D7045">
        <v>12</v>
      </c>
      <c r="E7045" t="s">
        <v>17</v>
      </c>
      <c r="F7045">
        <v>24.67</v>
      </c>
      <c r="G7045">
        <v>25.17</v>
      </c>
      <c r="H7045" t="s">
        <v>17</v>
      </c>
      <c r="I7045" t="str">
        <f>"060603009325"</f>
        <v>060603009325</v>
      </c>
    </row>
    <row r="7046" spans="1:9" x14ac:dyDescent="0.25">
      <c r="A7046" t="s">
        <v>6130</v>
      </c>
      <c r="B7046" t="s">
        <v>13</v>
      </c>
      <c r="C7046">
        <v>28.92</v>
      </c>
      <c r="D7046">
        <v>30.62</v>
      </c>
      <c r="E7046" t="s">
        <v>17</v>
      </c>
      <c r="F7046">
        <v>23.69</v>
      </c>
      <c r="G7046">
        <v>21.72</v>
      </c>
      <c r="H7046" t="s">
        <v>17</v>
      </c>
      <c r="I7046" t="str">
        <f>"061275003928"</f>
        <v>061275003928</v>
      </c>
    </row>
    <row r="7047" spans="1:9" x14ac:dyDescent="0.25">
      <c r="A7047" t="s">
        <v>6131</v>
      </c>
      <c r="B7047" t="s">
        <v>13</v>
      </c>
      <c r="C7047">
        <v>36.200000000000003</v>
      </c>
      <c r="D7047">
        <v>36.6</v>
      </c>
      <c r="E7047" t="s">
        <v>17</v>
      </c>
      <c r="F7047">
        <v>19.97</v>
      </c>
      <c r="G7047">
        <v>20</v>
      </c>
      <c r="H7047" t="s">
        <v>17</v>
      </c>
      <c r="I7047" t="str">
        <f>"061062001178"</f>
        <v>061062001178</v>
      </c>
    </row>
    <row r="7048" spans="1:9" x14ac:dyDescent="0.25">
      <c r="A7048" t="s">
        <v>6132</v>
      </c>
      <c r="B7048" t="s">
        <v>13</v>
      </c>
      <c r="C7048">
        <v>55</v>
      </c>
      <c r="D7048">
        <v>57.18</v>
      </c>
      <c r="E7048" t="s">
        <v>17</v>
      </c>
      <c r="F7048">
        <v>28.91</v>
      </c>
      <c r="G7048">
        <v>27.84</v>
      </c>
      <c r="H7048" t="s">
        <v>17</v>
      </c>
      <c r="I7048" t="str">
        <f>"062271003089"</f>
        <v>062271003089</v>
      </c>
    </row>
    <row r="7049" spans="1:9" x14ac:dyDescent="0.25">
      <c r="A7049" t="s">
        <v>6133</v>
      </c>
      <c r="B7049" t="s">
        <v>13</v>
      </c>
      <c r="C7049">
        <v>15.4</v>
      </c>
      <c r="D7049">
        <v>16</v>
      </c>
      <c r="E7049" t="s">
        <v>17</v>
      </c>
      <c r="F7049">
        <v>24.22</v>
      </c>
      <c r="G7049">
        <v>23.56</v>
      </c>
      <c r="H7049" t="s">
        <v>17</v>
      </c>
      <c r="I7049" t="str">
        <f>"063045004738"</f>
        <v>063045004738</v>
      </c>
    </row>
    <row r="7050" spans="1:9" x14ac:dyDescent="0.25">
      <c r="A7050" t="s">
        <v>6134</v>
      </c>
      <c r="B7050" t="s">
        <v>13</v>
      </c>
      <c r="C7050">
        <v>30.5</v>
      </c>
      <c r="D7050">
        <v>32</v>
      </c>
      <c r="E7050" t="s">
        <v>17</v>
      </c>
      <c r="F7050">
        <v>21.05</v>
      </c>
      <c r="G7050">
        <v>21.38</v>
      </c>
      <c r="H7050" t="s">
        <v>17</v>
      </c>
      <c r="I7050" t="str">
        <f>"062667004048"</f>
        <v>062667004048</v>
      </c>
    </row>
    <row r="7051" spans="1:9" x14ac:dyDescent="0.25">
      <c r="A7051" t="s">
        <v>6135</v>
      </c>
      <c r="B7051" t="s">
        <v>13</v>
      </c>
      <c r="C7051">
        <v>19.29</v>
      </c>
      <c r="D7051">
        <v>20.58</v>
      </c>
      <c r="E7051" t="s">
        <v>17</v>
      </c>
      <c r="F7051">
        <v>24.83</v>
      </c>
      <c r="G7051">
        <v>25.27</v>
      </c>
      <c r="H7051" t="s">
        <v>17</v>
      </c>
      <c r="I7051" t="str">
        <f>"063386005310"</f>
        <v>063386005310</v>
      </c>
    </row>
    <row r="7052" spans="1:9" x14ac:dyDescent="0.25">
      <c r="A7052" t="s">
        <v>6136</v>
      </c>
      <c r="B7052" t="s">
        <v>13</v>
      </c>
      <c r="C7052">
        <v>65.39</v>
      </c>
      <c r="D7052">
        <v>66.87</v>
      </c>
      <c r="E7052" t="s">
        <v>17</v>
      </c>
      <c r="F7052">
        <v>29.06</v>
      </c>
      <c r="G7052">
        <v>26.14</v>
      </c>
      <c r="H7052" t="s">
        <v>17</v>
      </c>
      <c r="I7052" t="str">
        <f>"063864011768"</f>
        <v>063864011768</v>
      </c>
    </row>
    <row r="7053" spans="1:9" x14ac:dyDescent="0.25">
      <c r="A7053" t="s">
        <v>6137</v>
      </c>
      <c r="B7053" t="s">
        <v>13</v>
      </c>
      <c r="C7053">
        <v>25.45</v>
      </c>
      <c r="D7053">
        <v>27.1</v>
      </c>
      <c r="E7053" t="s">
        <v>17</v>
      </c>
      <c r="F7053">
        <v>13.28</v>
      </c>
      <c r="G7053">
        <v>14.43</v>
      </c>
      <c r="H7053" t="s">
        <v>17</v>
      </c>
      <c r="I7053" t="str">
        <f>"062637003963"</f>
        <v>062637003963</v>
      </c>
    </row>
    <row r="7054" spans="1:9" x14ac:dyDescent="0.25">
      <c r="A7054" t="s">
        <v>6138</v>
      </c>
      <c r="B7054" t="s">
        <v>13</v>
      </c>
      <c r="C7054">
        <v>8.1</v>
      </c>
      <c r="D7054">
        <v>7.7</v>
      </c>
      <c r="E7054" t="s">
        <v>17</v>
      </c>
      <c r="F7054">
        <v>11.48</v>
      </c>
      <c r="G7054">
        <v>13.38</v>
      </c>
      <c r="H7054" t="s">
        <v>17</v>
      </c>
      <c r="I7054" t="str">
        <f>"063570006098"</f>
        <v>063570006098</v>
      </c>
    </row>
    <row r="7055" spans="1:9" x14ac:dyDescent="0.25">
      <c r="A7055" t="s">
        <v>6139</v>
      </c>
      <c r="B7055" t="s">
        <v>13</v>
      </c>
      <c r="C7055">
        <v>8</v>
      </c>
      <c r="D7055">
        <v>9.5</v>
      </c>
      <c r="E7055" t="s">
        <v>17</v>
      </c>
      <c r="F7055">
        <v>20.38</v>
      </c>
      <c r="G7055">
        <v>21.26</v>
      </c>
      <c r="H7055" t="s">
        <v>17</v>
      </c>
      <c r="I7055" t="str">
        <f>"062271010872"</f>
        <v>062271010872</v>
      </c>
    </row>
    <row r="7056" spans="1:9" x14ac:dyDescent="0.25">
      <c r="A7056" t="s">
        <v>6140</v>
      </c>
      <c r="B7056" t="s">
        <v>13</v>
      </c>
      <c r="C7056">
        <v>33</v>
      </c>
      <c r="D7056">
        <v>33</v>
      </c>
      <c r="E7056" t="s">
        <v>17</v>
      </c>
      <c r="F7056">
        <v>24.45</v>
      </c>
      <c r="G7056">
        <v>23.42</v>
      </c>
      <c r="H7056" t="s">
        <v>17</v>
      </c>
      <c r="I7056" t="str">
        <f>"060861005253"</f>
        <v>060861005253</v>
      </c>
    </row>
    <row r="7057" spans="1:9" x14ac:dyDescent="0.25">
      <c r="A7057" t="s">
        <v>6141</v>
      </c>
      <c r="B7057" t="s">
        <v>13</v>
      </c>
      <c r="C7057">
        <v>20.5</v>
      </c>
      <c r="D7057">
        <v>21.82</v>
      </c>
      <c r="E7057" t="s">
        <v>17</v>
      </c>
      <c r="F7057">
        <v>26.98</v>
      </c>
      <c r="G7057">
        <v>25.44</v>
      </c>
      <c r="H7057" t="s">
        <v>17</v>
      </c>
      <c r="I7057" t="str">
        <f>"061308006167"</f>
        <v>061308006167</v>
      </c>
    </row>
    <row r="7058" spans="1:9" x14ac:dyDescent="0.25">
      <c r="A7058" t="s">
        <v>6142</v>
      </c>
      <c r="B7058" t="s">
        <v>13</v>
      </c>
      <c r="C7058">
        <v>28.1</v>
      </c>
      <c r="D7058">
        <v>31.21</v>
      </c>
      <c r="E7058" t="s">
        <v>17</v>
      </c>
      <c r="F7058">
        <v>25.52</v>
      </c>
      <c r="G7058">
        <v>23.68</v>
      </c>
      <c r="H7058" t="s">
        <v>17</v>
      </c>
      <c r="I7058" t="str">
        <f>"062586005039"</f>
        <v>062586005039</v>
      </c>
    </row>
    <row r="7059" spans="1:9" x14ac:dyDescent="0.25">
      <c r="A7059" t="s">
        <v>6143</v>
      </c>
      <c r="B7059" t="s">
        <v>13</v>
      </c>
      <c r="C7059">
        <v>25</v>
      </c>
      <c r="D7059">
        <v>26</v>
      </c>
      <c r="E7059" t="s">
        <v>17</v>
      </c>
      <c r="F7059">
        <v>22.6</v>
      </c>
      <c r="G7059">
        <v>22.77</v>
      </c>
      <c r="H7059" t="s">
        <v>17</v>
      </c>
      <c r="I7059" t="str">
        <f>"062271003237"</f>
        <v>062271003237</v>
      </c>
    </row>
    <row r="7060" spans="1:9" x14ac:dyDescent="0.25">
      <c r="A7060" t="s">
        <v>6144</v>
      </c>
      <c r="B7060" t="s">
        <v>13</v>
      </c>
      <c r="C7060">
        <v>34</v>
      </c>
      <c r="D7060">
        <v>33.01</v>
      </c>
      <c r="E7060" t="s">
        <v>17</v>
      </c>
      <c r="F7060">
        <v>24.12</v>
      </c>
      <c r="G7060">
        <v>23.36</v>
      </c>
      <c r="H7060" t="s">
        <v>17</v>
      </c>
      <c r="I7060" t="str">
        <f>"062271003238"</f>
        <v>062271003238</v>
      </c>
    </row>
    <row r="7061" spans="1:9" x14ac:dyDescent="0.25">
      <c r="A7061" t="s">
        <v>6145</v>
      </c>
      <c r="B7061" t="s">
        <v>13</v>
      </c>
      <c r="C7061">
        <v>17</v>
      </c>
      <c r="D7061">
        <v>18</v>
      </c>
      <c r="E7061" t="s">
        <v>17</v>
      </c>
      <c r="F7061">
        <v>23.12</v>
      </c>
      <c r="G7061">
        <v>21.56</v>
      </c>
      <c r="H7061" t="s">
        <v>17</v>
      </c>
      <c r="I7061" t="str">
        <f>"062271003241"</f>
        <v>062271003241</v>
      </c>
    </row>
    <row r="7062" spans="1:9" x14ac:dyDescent="0.25">
      <c r="A7062" t="s">
        <v>6146</v>
      </c>
      <c r="B7062" t="s">
        <v>13</v>
      </c>
      <c r="C7062">
        <v>16</v>
      </c>
      <c r="D7062">
        <v>20</v>
      </c>
      <c r="E7062" t="s">
        <v>17</v>
      </c>
      <c r="F7062">
        <v>21.88</v>
      </c>
      <c r="G7062">
        <v>18.899999999999999</v>
      </c>
      <c r="H7062" t="s">
        <v>17</v>
      </c>
      <c r="I7062" t="str">
        <f>"062271003242"</f>
        <v>062271003242</v>
      </c>
    </row>
    <row r="7063" spans="1:9" x14ac:dyDescent="0.25">
      <c r="A7063" t="s">
        <v>6147</v>
      </c>
      <c r="B7063" t="s">
        <v>13</v>
      </c>
      <c r="C7063">
        <v>21</v>
      </c>
      <c r="D7063">
        <v>20</v>
      </c>
      <c r="E7063" t="s">
        <v>17</v>
      </c>
      <c r="F7063">
        <v>23</v>
      </c>
      <c r="G7063">
        <v>24</v>
      </c>
      <c r="H7063" t="s">
        <v>17</v>
      </c>
      <c r="I7063" t="str">
        <f>"062271003243"</f>
        <v>062271003243</v>
      </c>
    </row>
    <row r="7064" spans="1:9" x14ac:dyDescent="0.25">
      <c r="A7064" t="s">
        <v>6148</v>
      </c>
      <c r="B7064" t="s">
        <v>13</v>
      </c>
      <c r="C7064">
        <v>46</v>
      </c>
      <c r="D7064">
        <v>46.01</v>
      </c>
      <c r="E7064" t="s">
        <v>17</v>
      </c>
      <c r="F7064">
        <v>20.57</v>
      </c>
      <c r="G7064">
        <v>19.91</v>
      </c>
      <c r="H7064" t="s">
        <v>17</v>
      </c>
      <c r="I7064" t="str">
        <f>"062271003246"</f>
        <v>062271003246</v>
      </c>
    </row>
    <row r="7065" spans="1:9" x14ac:dyDescent="0.25">
      <c r="A7065" t="s">
        <v>6149</v>
      </c>
      <c r="B7065" t="s">
        <v>13</v>
      </c>
      <c r="C7065">
        <v>19</v>
      </c>
      <c r="D7065">
        <v>20</v>
      </c>
      <c r="E7065" t="s">
        <v>17</v>
      </c>
      <c r="F7065">
        <v>23.32</v>
      </c>
      <c r="G7065">
        <v>22.25</v>
      </c>
      <c r="H7065" t="s">
        <v>17</v>
      </c>
      <c r="I7065" t="str">
        <f>"062271003248"</f>
        <v>062271003248</v>
      </c>
    </row>
    <row r="7066" spans="1:9" x14ac:dyDescent="0.25">
      <c r="A7066" t="s">
        <v>6150</v>
      </c>
      <c r="B7066" t="s">
        <v>13</v>
      </c>
      <c r="C7066">
        <v>34</v>
      </c>
      <c r="D7066">
        <v>33</v>
      </c>
      <c r="E7066" t="s">
        <v>17</v>
      </c>
      <c r="F7066">
        <v>23.32</v>
      </c>
      <c r="G7066">
        <v>22.82</v>
      </c>
      <c r="H7066" t="s">
        <v>17</v>
      </c>
      <c r="I7066" t="str">
        <f>"062271003249"</f>
        <v>062271003249</v>
      </c>
    </row>
    <row r="7067" spans="1:9" x14ac:dyDescent="0.25">
      <c r="A7067" t="s">
        <v>6151</v>
      </c>
      <c r="B7067" t="s">
        <v>13</v>
      </c>
      <c r="C7067">
        <v>22</v>
      </c>
      <c r="D7067">
        <v>28</v>
      </c>
      <c r="E7067" t="s">
        <v>17</v>
      </c>
      <c r="F7067">
        <v>22.5</v>
      </c>
      <c r="G7067">
        <v>18.21</v>
      </c>
      <c r="H7067" t="s">
        <v>17</v>
      </c>
      <c r="I7067" t="str">
        <f>"062271003250"</f>
        <v>062271003250</v>
      </c>
    </row>
    <row r="7068" spans="1:9" x14ac:dyDescent="0.25">
      <c r="A7068" t="s">
        <v>6152</v>
      </c>
      <c r="B7068" t="s">
        <v>13</v>
      </c>
      <c r="C7068">
        <v>29</v>
      </c>
      <c r="D7068">
        <v>28.5</v>
      </c>
      <c r="E7068" t="s">
        <v>17</v>
      </c>
      <c r="F7068">
        <v>25.07</v>
      </c>
      <c r="G7068">
        <v>23.82</v>
      </c>
      <c r="H7068" t="s">
        <v>17</v>
      </c>
      <c r="I7068" t="str">
        <f>"062271003251"</f>
        <v>062271003251</v>
      </c>
    </row>
    <row r="7069" spans="1:9" x14ac:dyDescent="0.25">
      <c r="A7069" t="s">
        <v>6153</v>
      </c>
      <c r="B7069" t="s">
        <v>13</v>
      </c>
      <c r="C7069">
        <v>6</v>
      </c>
      <c r="D7069">
        <v>5</v>
      </c>
      <c r="E7069" t="s">
        <v>17</v>
      </c>
      <c r="F7069">
        <v>16.829999999999998</v>
      </c>
      <c r="G7069">
        <v>20</v>
      </c>
      <c r="H7069" t="s">
        <v>17</v>
      </c>
      <c r="I7069" t="str">
        <f>"069103112462"</f>
        <v>069103112462</v>
      </c>
    </row>
    <row r="7070" spans="1:9" x14ac:dyDescent="0.25">
      <c r="A7070" t="s">
        <v>6154</v>
      </c>
      <c r="B7070" t="s">
        <v>13</v>
      </c>
      <c r="C7070">
        <v>22</v>
      </c>
      <c r="D7070">
        <v>20.84</v>
      </c>
      <c r="E7070" t="s">
        <v>17</v>
      </c>
      <c r="F7070">
        <v>24.5</v>
      </c>
      <c r="G7070">
        <v>24.28</v>
      </c>
      <c r="H7070" t="s">
        <v>17</v>
      </c>
      <c r="I7070" t="str">
        <f>"063738006323"</f>
        <v>063738006323</v>
      </c>
    </row>
    <row r="7071" spans="1:9" x14ac:dyDescent="0.25">
      <c r="A7071" t="s">
        <v>6155</v>
      </c>
      <c r="B7071" t="s">
        <v>13</v>
      </c>
      <c r="C7071">
        <v>9.5</v>
      </c>
      <c r="D7071">
        <v>10.5</v>
      </c>
      <c r="E7071" t="s">
        <v>17</v>
      </c>
      <c r="F7071">
        <v>7.47</v>
      </c>
      <c r="G7071">
        <v>3.62</v>
      </c>
      <c r="H7071" t="s">
        <v>17</v>
      </c>
      <c r="I7071" t="str">
        <f>"069107812747"</f>
        <v>069107812747</v>
      </c>
    </row>
    <row r="7072" spans="1:9" x14ac:dyDescent="0.25">
      <c r="A7072" t="s">
        <v>6156</v>
      </c>
      <c r="B7072" t="s">
        <v>13</v>
      </c>
      <c r="C7072">
        <v>113.53</v>
      </c>
      <c r="D7072">
        <v>115.51</v>
      </c>
      <c r="E7072" t="s">
        <v>17</v>
      </c>
      <c r="F7072">
        <v>24.04</v>
      </c>
      <c r="G7072">
        <v>24.58</v>
      </c>
      <c r="H7072" t="s">
        <v>17</v>
      </c>
      <c r="I7072" t="str">
        <f>"060816000795"</f>
        <v>060816000795</v>
      </c>
    </row>
    <row r="7073" spans="1:9" x14ac:dyDescent="0.25">
      <c r="A7073" t="s">
        <v>6157</v>
      </c>
      <c r="B7073" t="s">
        <v>13</v>
      </c>
      <c r="C7073">
        <v>35.25</v>
      </c>
      <c r="D7073">
        <v>34.75</v>
      </c>
      <c r="E7073" t="s">
        <v>17</v>
      </c>
      <c r="F7073">
        <v>27.35</v>
      </c>
      <c r="G7073">
        <v>27.4</v>
      </c>
      <c r="H7073" t="s">
        <v>17</v>
      </c>
      <c r="I7073" t="str">
        <f>"060558009727"</f>
        <v>060558009727</v>
      </c>
    </row>
    <row r="7074" spans="1:9" x14ac:dyDescent="0.25">
      <c r="A7074" t="s">
        <v>6158</v>
      </c>
      <c r="B7074" t="s">
        <v>13</v>
      </c>
      <c r="C7074">
        <v>1</v>
      </c>
      <c r="D7074" t="s">
        <v>14</v>
      </c>
      <c r="E7074" t="s">
        <v>14</v>
      </c>
      <c r="F7074">
        <v>24</v>
      </c>
      <c r="G7074" t="s">
        <v>14</v>
      </c>
      <c r="H7074" t="s">
        <v>14</v>
      </c>
      <c r="I7074" t="str">
        <f>"063729013055"</f>
        <v>063729013055</v>
      </c>
    </row>
    <row r="7075" spans="1:9" x14ac:dyDescent="0.25">
      <c r="A7075" t="s">
        <v>6159</v>
      </c>
      <c r="B7075" t="s">
        <v>13</v>
      </c>
      <c r="C7075">
        <v>17</v>
      </c>
      <c r="D7075">
        <v>9</v>
      </c>
      <c r="E7075" t="s">
        <v>17</v>
      </c>
      <c r="F7075">
        <v>26.47</v>
      </c>
      <c r="G7075">
        <v>45</v>
      </c>
      <c r="H7075" t="s">
        <v>17</v>
      </c>
      <c r="I7075" t="str">
        <f>"060002505922"</f>
        <v>060002505922</v>
      </c>
    </row>
    <row r="7076" spans="1:9" x14ac:dyDescent="0.25">
      <c r="A7076" t="s">
        <v>6160</v>
      </c>
      <c r="B7076" t="s">
        <v>13</v>
      </c>
      <c r="C7076" t="s">
        <v>14</v>
      </c>
      <c r="D7076" t="s">
        <v>14</v>
      </c>
      <c r="E7076" t="s">
        <v>17</v>
      </c>
      <c r="F7076" t="s">
        <v>14</v>
      </c>
      <c r="G7076" t="s">
        <v>14</v>
      </c>
      <c r="H7076" t="s">
        <v>17</v>
      </c>
      <c r="I7076" t="str">
        <f>"063536006026"</f>
        <v>063536006026</v>
      </c>
    </row>
    <row r="7077" spans="1:9" x14ac:dyDescent="0.25">
      <c r="A7077" t="s">
        <v>6160</v>
      </c>
      <c r="B7077" t="s">
        <v>13</v>
      </c>
      <c r="C7077">
        <v>5</v>
      </c>
      <c r="D7077">
        <v>7.37</v>
      </c>
      <c r="E7077" t="s">
        <v>14</v>
      </c>
      <c r="F7077">
        <v>27.2</v>
      </c>
      <c r="G7077">
        <v>20.22</v>
      </c>
      <c r="H7077" t="s">
        <v>14</v>
      </c>
      <c r="I7077" t="str">
        <f>"060141406026"</f>
        <v>060141406026</v>
      </c>
    </row>
    <row r="7078" spans="1:9" x14ac:dyDescent="0.25">
      <c r="A7078" t="s">
        <v>6161</v>
      </c>
      <c r="B7078" t="s">
        <v>13</v>
      </c>
      <c r="C7078">
        <v>15</v>
      </c>
      <c r="D7078">
        <v>15.5</v>
      </c>
      <c r="E7078" t="s">
        <v>17</v>
      </c>
      <c r="F7078">
        <v>27.33</v>
      </c>
      <c r="G7078">
        <v>26.26</v>
      </c>
      <c r="H7078" t="s">
        <v>17</v>
      </c>
      <c r="I7078" t="str">
        <f>"062271003252"</f>
        <v>062271003252</v>
      </c>
    </row>
    <row r="7079" spans="1:9" x14ac:dyDescent="0.25">
      <c r="A7079" t="s">
        <v>6162</v>
      </c>
      <c r="B7079" t="s">
        <v>13</v>
      </c>
      <c r="C7079">
        <v>18.13</v>
      </c>
      <c r="D7079">
        <v>19.13</v>
      </c>
      <c r="E7079" t="s">
        <v>17</v>
      </c>
      <c r="F7079">
        <v>26.59</v>
      </c>
      <c r="G7079">
        <v>26.82</v>
      </c>
      <c r="H7079" t="s">
        <v>17</v>
      </c>
      <c r="I7079" t="str">
        <f>"062910004492"</f>
        <v>062910004492</v>
      </c>
    </row>
    <row r="7080" spans="1:9" x14ac:dyDescent="0.25">
      <c r="A7080" t="s">
        <v>6162</v>
      </c>
      <c r="B7080" t="s">
        <v>13</v>
      </c>
      <c r="C7080">
        <v>8.7100000000000009</v>
      </c>
      <c r="D7080">
        <v>9.5</v>
      </c>
      <c r="E7080" t="s">
        <v>17</v>
      </c>
      <c r="F7080">
        <v>19.75</v>
      </c>
      <c r="G7080">
        <v>20.63</v>
      </c>
      <c r="H7080" t="s">
        <v>17</v>
      </c>
      <c r="I7080" t="str">
        <f>"062256004416"</f>
        <v>062256004416</v>
      </c>
    </row>
    <row r="7081" spans="1:9" x14ac:dyDescent="0.25">
      <c r="A7081" t="s">
        <v>6163</v>
      </c>
      <c r="B7081" t="s">
        <v>13</v>
      </c>
      <c r="C7081">
        <v>130.38</v>
      </c>
      <c r="D7081">
        <v>115.28</v>
      </c>
      <c r="E7081" t="s">
        <v>17</v>
      </c>
      <c r="F7081">
        <v>15.05</v>
      </c>
      <c r="G7081">
        <v>17.71</v>
      </c>
      <c r="H7081" t="s">
        <v>17</v>
      </c>
      <c r="I7081" t="str">
        <f>"060369008715"</f>
        <v>060369008715</v>
      </c>
    </row>
    <row r="7082" spans="1:9" x14ac:dyDescent="0.25">
      <c r="A7082" t="s">
        <v>6164</v>
      </c>
      <c r="B7082" t="s">
        <v>13</v>
      </c>
      <c r="C7082">
        <v>139.84</v>
      </c>
      <c r="D7082">
        <v>107.68</v>
      </c>
      <c r="E7082" t="s">
        <v>17</v>
      </c>
      <c r="F7082">
        <v>14.92</v>
      </c>
      <c r="G7082">
        <v>18.760000000000002</v>
      </c>
      <c r="H7082" t="s">
        <v>17</v>
      </c>
      <c r="I7082" t="str">
        <f>"060369012018"</f>
        <v>060369012018</v>
      </c>
    </row>
    <row r="7083" spans="1:9" x14ac:dyDescent="0.25">
      <c r="A7083" t="s">
        <v>6165</v>
      </c>
      <c r="B7083" t="s">
        <v>13</v>
      </c>
      <c r="C7083">
        <v>12.47</v>
      </c>
      <c r="D7083">
        <v>5.76</v>
      </c>
      <c r="E7083" t="s">
        <v>17</v>
      </c>
      <c r="F7083">
        <v>9.94</v>
      </c>
      <c r="G7083">
        <v>20.309999999999999</v>
      </c>
      <c r="H7083" t="s">
        <v>17</v>
      </c>
      <c r="I7083" t="str">
        <f>"060744011221"</f>
        <v>060744011221</v>
      </c>
    </row>
    <row r="7084" spans="1:9" x14ac:dyDescent="0.25">
      <c r="A7084" t="s">
        <v>6166</v>
      </c>
      <c r="B7084" t="s">
        <v>13</v>
      </c>
      <c r="C7084">
        <v>1.92</v>
      </c>
      <c r="D7084" t="s">
        <v>14</v>
      </c>
      <c r="E7084" t="s">
        <v>14</v>
      </c>
      <c r="F7084" t="s">
        <v>14</v>
      </c>
      <c r="G7084" t="s">
        <v>14</v>
      </c>
      <c r="H7084" t="s">
        <v>14</v>
      </c>
      <c r="I7084" t="str">
        <f>"064221013118"</f>
        <v>064221013118</v>
      </c>
    </row>
    <row r="7085" spans="1:9" x14ac:dyDescent="0.25">
      <c r="A7085" t="s">
        <v>6167</v>
      </c>
      <c r="B7085" t="s">
        <v>13</v>
      </c>
      <c r="C7085">
        <v>74.61</v>
      </c>
      <c r="D7085">
        <v>42.24</v>
      </c>
      <c r="E7085" t="s">
        <v>17</v>
      </c>
      <c r="F7085">
        <v>12.41</v>
      </c>
      <c r="G7085">
        <v>19.010000000000002</v>
      </c>
      <c r="H7085" t="s">
        <v>17</v>
      </c>
      <c r="I7085" t="str">
        <f>"061704012461"</f>
        <v>061704012461</v>
      </c>
    </row>
    <row r="7086" spans="1:9" x14ac:dyDescent="0.25">
      <c r="A7086" t="s">
        <v>6168</v>
      </c>
      <c r="B7086" t="s">
        <v>13</v>
      </c>
      <c r="C7086">
        <v>130.53</v>
      </c>
      <c r="D7086">
        <v>104.68</v>
      </c>
      <c r="E7086" t="s">
        <v>17</v>
      </c>
      <c r="F7086">
        <v>15.38</v>
      </c>
      <c r="G7086">
        <v>20.93</v>
      </c>
      <c r="H7086" t="s">
        <v>17</v>
      </c>
      <c r="I7086" t="str">
        <f>"064251008070"</f>
        <v>064251008070</v>
      </c>
    </row>
    <row r="7087" spans="1:9" x14ac:dyDescent="0.25">
      <c r="A7087" t="s">
        <v>6169</v>
      </c>
      <c r="B7087" t="s">
        <v>13</v>
      </c>
      <c r="C7087">
        <v>8</v>
      </c>
      <c r="D7087">
        <v>8</v>
      </c>
      <c r="E7087" t="s">
        <v>17</v>
      </c>
      <c r="F7087">
        <v>18.5</v>
      </c>
      <c r="G7087">
        <v>20.75</v>
      </c>
      <c r="H7087" t="s">
        <v>17</v>
      </c>
      <c r="I7087" t="str">
        <f>"069107810894"</f>
        <v>069107810894</v>
      </c>
    </row>
    <row r="7088" spans="1:9" x14ac:dyDescent="0.25">
      <c r="A7088" t="s">
        <v>6170</v>
      </c>
      <c r="B7088" t="s">
        <v>13</v>
      </c>
      <c r="C7088">
        <v>6.5</v>
      </c>
      <c r="D7088">
        <v>6</v>
      </c>
      <c r="E7088" t="s">
        <v>17</v>
      </c>
      <c r="F7088">
        <v>3.85</v>
      </c>
      <c r="G7088">
        <v>3.33</v>
      </c>
      <c r="H7088" t="s">
        <v>17</v>
      </c>
      <c r="I7088" t="str">
        <f>"069101104487"</f>
        <v>069101104487</v>
      </c>
    </row>
    <row r="7089" spans="1:9" x14ac:dyDescent="0.25">
      <c r="A7089" t="s">
        <v>6171</v>
      </c>
      <c r="B7089" t="s">
        <v>13</v>
      </c>
      <c r="C7089">
        <v>5.6</v>
      </c>
      <c r="D7089">
        <v>9.2899999999999991</v>
      </c>
      <c r="E7089" t="s">
        <v>17</v>
      </c>
      <c r="F7089">
        <v>18.57</v>
      </c>
      <c r="G7089">
        <v>23.9</v>
      </c>
      <c r="H7089" t="s">
        <v>17</v>
      </c>
      <c r="I7089" t="str">
        <f>"063315010029"</f>
        <v>063315010029</v>
      </c>
    </row>
    <row r="7090" spans="1:9" x14ac:dyDescent="0.25">
      <c r="A7090" t="s">
        <v>6172</v>
      </c>
      <c r="B7090" t="s">
        <v>13</v>
      </c>
      <c r="C7090" t="s">
        <v>17</v>
      </c>
      <c r="D7090" t="s">
        <v>14</v>
      </c>
      <c r="E7090" t="s">
        <v>14</v>
      </c>
      <c r="F7090" t="s">
        <v>17</v>
      </c>
      <c r="G7090" t="s">
        <v>14</v>
      </c>
      <c r="H7090" t="s">
        <v>14</v>
      </c>
      <c r="I7090" t="str">
        <f>"069107813536"</f>
        <v>069107813536</v>
      </c>
    </row>
    <row r="7091" spans="1:9" x14ac:dyDescent="0.25">
      <c r="A7091" t="s">
        <v>6173</v>
      </c>
      <c r="B7091" t="s">
        <v>13</v>
      </c>
      <c r="C7091" t="s">
        <v>14</v>
      </c>
      <c r="D7091" t="s">
        <v>14</v>
      </c>
      <c r="E7091" t="s">
        <v>17</v>
      </c>
      <c r="F7091" t="s">
        <v>14</v>
      </c>
      <c r="G7091" t="s">
        <v>14</v>
      </c>
      <c r="H7091" t="s">
        <v>17</v>
      </c>
      <c r="I7091" t="str">
        <f>"060001606467"</f>
        <v>060001606467</v>
      </c>
    </row>
    <row r="7092" spans="1:9" x14ac:dyDescent="0.25">
      <c r="A7092" t="s">
        <v>6174</v>
      </c>
      <c r="B7092" t="s">
        <v>13</v>
      </c>
      <c r="C7092">
        <v>102.8</v>
      </c>
      <c r="D7092">
        <v>65.34</v>
      </c>
      <c r="E7092" t="s">
        <v>17</v>
      </c>
      <c r="F7092">
        <v>11.55</v>
      </c>
      <c r="G7092">
        <v>19.670000000000002</v>
      </c>
      <c r="H7092" t="s">
        <v>17</v>
      </c>
      <c r="I7092" t="str">
        <f>"063442507165"</f>
        <v>063442507165</v>
      </c>
    </row>
    <row r="7093" spans="1:9" x14ac:dyDescent="0.25">
      <c r="A7093" t="s">
        <v>6175</v>
      </c>
      <c r="B7093" t="s">
        <v>13</v>
      </c>
      <c r="C7093">
        <v>97.39</v>
      </c>
      <c r="D7093">
        <v>64.069999999999993</v>
      </c>
      <c r="E7093" t="s">
        <v>17</v>
      </c>
      <c r="F7093">
        <v>11.88</v>
      </c>
      <c r="G7093">
        <v>19.45</v>
      </c>
      <c r="H7093" t="s">
        <v>17</v>
      </c>
      <c r="I7093" t="str">
        <f>"060645007514"</f>
        <v>060645007514</v>
      </c>
    </row>
    <row r="7094" spans="1:9" x14ac:dyDescent="0.25">
      <c r="A7094" t="s">
        <v>6176</v>
      </c>
      <c r="B7094" t="s">
        <v>13</v>
      </c>
      <c r="C7094">
        <v>56.41</v>
      </c>
      <c r="D7094">
        <v>14.64</v>
      </c>
      <c r="E7094" t="s">
        <v>17</v>
      </c>
      <c r="F7094">
        <v>6.06</v>
      </c>
      <c r="G7094">
        <v>22.06</v>
      </c>
      <c r="H7094" t="s">
        <v>17</v>
      </c>
      <c r="I7094" t="str">
        <f>"061704012508"</f>
        <v>061704012508</v>
      </c>
    </row>
    <row r="7095" spans="1:9" x14ac:dyDescent="0.25">
      <c r="A7095" t="s">
        <v>6177</v>
      </c>
      <c r="B7095" t="s">
        <v>13</v>
      </c>
      <c r="C7095">
        <v>62.78</v>
      </c>
      <c r="D7095">
        <v>27.5</v>
      </c>
      <c r="E7095" t="s">
        <v>17</v>
      </c>
      <c r="F7095">
        <v>11.36</v>
      </c>
      <c r="G7095">
        <v>20.399999999999999</v>
      </c>
      <c r="H7095" t="s">
        <v>17</v>
      </c>
      <c r="I7095" t="str">
        <f>"063417012457"</f>
        <v>063417012457</v>
      </c>
    </row>
    <row r="7096" spans="1:9" x14ac:dyDescent="0.25">
      <c r="A7096" t="s">
        <v>6178</v>
      </c>
      <c r="B7096" t="s">
        <v>13</v>
      </c>
      <c r="C7096">
        <v>81.02</v>
      </c>
      <c r="D7096">
        <v>50.96</v>
      </c>
      <c r="E7096" t="s">
        <v>17</v>
      </c>
      <c r="F7096">
        <v>14.75</v>
      </c>
      <c r="G7096">
        <v>21.02</v>
      </c>
      <c r="H7096" t="s">
        <v>17</v>
      </c>
      <c r="I7096" t="str">
        <f>"063462008578"</f>
        <v>063462008578</v>
      </c>
    </row>
    <row r="7097" spans="1:9" x14ac:dyDescent="0.25">
      <c r="A7097" t="s">
        <v>6179</v>
      </c>
      <c r="B7097" t="s">
        <v>13</v>
      </c>
      <c r="C7097">
        <v>255.75</v>
      </c>
      <c r="D7097">
        <v>159.88</v>
      </c>
      <c r="E7097" t="s">
        <v>17</v>
      </c>
      <c r="F7097">
        <v>12.09</v>
      </c>
      <c r="G7097">
        <v>21.23</v>
      </c>
      <c r="H7097" t="s">
        <v>17</v>
      </c>
      <c r="I7097" t="str">
        <f>"063697202619"</f>
        <v>063697202619</v>
      </c>
    </row>
    <row r="7098" spans="1:9" x14ac:dyDescent="0.25">
      <c r="A7098" t="s">
        <v>6180</v>
      </c>
      <c r="B7098" t="s">
        <v>13</v>
      </c>
      <c r="C7098">
        <v>12.4</v>
      </c>
      <c r="D7098">
        <v>15</v>
      </c>
      <c r="E7098" t="s">
        <v>17</v>
      </c>
      <c r="F7098">
        <v>16.13</v>
      </c>
      <c r="G7098">
        <v>17.07</v>
      </c>
      <c r="H7098" t="s">
        <v>17</v>
      </c>
      <c r="I7098" t="str">
        <f>"063864007709"</f>
        <v>063864007709</v>
      </c>
    </row>
    <row r="7099" spans="1:9" x14ac:dyDescent="0.25">
      <c r="A7099" t="s">
        <v>6181</v>
      </c>
      <c r="B7099" t="s">
        <v>13</v>
      </c>
      <c r="C7099">
        <v>13</v>
      </c>
      <c r="D7099">
        <v>13.5</v>
      </c>
      <c r="E7099" t="s">
        <v>17</v>
      </c>
      <c r="F7099">
        <v>24.54</v>
      </c>
      <c r="G7099">
        <v>24.59</v>
      </c>
      <c r="H7099" t="s">
        <v>17</v>
      </c>
      <c r="I7099" t="str">
        <f>"062853004417"</f>
        <v>062853004417</v>
      </c>
    </row>
    <row r="7100" spans="1:9" x14ac:dyDescent="0.25">
      <c r="A7100" t="s">
        <v>6182</v>
      </c>
      <c r="B7100" t="s">
        <v>13</v>
      </c>
      <c r="C7100">
        <v>4</v>
      </c>
      <c r="D7100" t="s">
        <v>14</v>
      </c>
      <c r="E7100" t="s">
        <v>14</v>
      </c>
      <c r="F7100">
        <v>35.5</v>
      </c>
      <c r="G7100" t="s">
        <v>14</v>
      </c>
      <c r="H7100" t="s">
        <v>14</v>
      </c>
      <c r="I7100" t="str">
        <f>"069105213123"</f>
        <v>069105213123</v>
      </c>
    </row>
    <row r="7101" spans="1:9" x14ac:dyDescent="0.25">
      <c r="A7101" t="s">
        <v>6183</v>
      </c>
      <c r="B7101" t="s">
        <v>13</v>
      </c>
      <c r="C7101">
        <v>22.83</v>
      </c>
      <c r="D7101">
        <v>24.25</v>
      </c>
      <c r="E7101" t="s">
        <v>17</v>
      </c>
      <c r="F7101">
        <v>24.31</v>
      </c>
      <c r="G7101">
        <v>22.6</v>
      </c>
      <c r="H7101" t="s">
        <v>17</v>
      </c>
      <c r="I7101" t="str">
        <f>"063531010992"</f>
        <v>063531010992</v>
      </c>
    </row>
    <row r="7102" spans="1:9" x14ac:dyDescent="0.25">
      <c r="A7102" t="s">
        <v>6184</v>
      </c>
      <c r="B7102" t="s">
        <v>13</v>
      </c>
      <c r="C7102">
        <v>56.9</v>
      </c>
      <c r="D7102">
        <v>59.9</v>
      </c>
      <c r="E7102" t="s">
        <v>17</v>
      </c>
      <c r="F7102">
        <v>8.0299999999999994</v>
      </c>
      <c r="G7102">
        <v>7.98</v>
      </c>
      <c r="H7102" t="s">
        <v>17</v>
      </c>
      <c r="I7102" t="str">
        <f>"069102407991"</f>
        <v>069102407991</v>
      </c>
    </row>
    <row r="7103" spans="1:9" x14ac:dyDescent="0.25">
      <c r="A7103" t="s">
        <v>6185</v>
      </c>
      <c r="B7103" t="s">
        <v>13</v>
      </c>
      <c r="C7103">
        <v>26.8</v>
      </c>
      <c r="D7103">
        <v>25.9</v>
      </c>
      <c r="E7103" t="s">
        <v>17</v>
      </c>
      <c r="F7103">
        <v>23.88</v>
      </c>
      <c r="G7103">
        <v>23.13</v>
      </c>
      <c r="H7103" t="s">
        <v>17</v>
      </c>
      <c r="I7103" t="str">
        <f>"061970010782"</f>
        <v>061970010782</v>
      </c>
    </row>
    <row r="7104" spans="1:9" x14ac:dyDescent="0.25">
      <c r="A7104" t="s">
        <v>6186</v>
      </c>
      <c r="B7104" t="s">
        <v>13</v>
      </c>
      <c r="C7104">
        <v>32</v>
      </c>
      <c r="D7104">
        <v>36</v>
      </c>
      <c r="E7104" t="s">
        <v>17</v>
      </c>
      <c r="F7104">
        <v>25.56</v>
      </c>
      <c r="G7104">
        <v>25.36</v>
      </c>
      <c r="H7104" t="s">
        <v>17</v>
      </c>
      <c r="I7104" t="str">
        <f>"060985010581"</f>
        <v>060985010581</v>
      </c>
    </row>
    <row r="7105" spans="1:9" x14ac:dyDescent="0.25">
      <c r="A7105" t="s">
        <v>6187</v>
      </c>
      <c r="B7105" t="s">
        <v>13</v>
      </c>
      <c r="C7105">
        <v>29.4</v>
      </c>
      <c r="D7105">
        <v>29.6</v>
      </c>
      <c r="E7105" t="s">
        <v>17</v>
      </c>
      <c r="F7105">
        <v>25.65</v>
      </c>
      <c r="G7105">
        <v>25.07</v>
      </c>
      <c r="H7105" t="s">
        <v>17</v>
      </c>
      <c r="I7105" t="str">
        <f>"061288001463"</f>
        <v>061288001463</v>
      </c>
    </row>
    <row r="7106" spans="1:9" x14ac:dyDescent="0.25">
      <c r="A7106" t="s">
        <v>6188</v>
      </c>
      <c r="B7106" t="s">
        <v>13</v>
      </c>
      <c r="C7106">
        <v>85.65</v>
      </c>
      <c r="D7106">
        <v>89.25</v>
      </c>
      <c r="E7106" t="s">
        <v>17</v>
      </c>
      <c r="F7106">
        <v>25.46</v>
      </c>
      <c r="G7106">
        <v>25.59</v>
      </c>
      <c r="H7106" t="s">
        <v>17</v>
      </c>
      <c r="I7106" t="str">
        <f>"061291001466"</f>
        <v>061291001466</v>
      </c>
    </row>
    <row r="7107" spans="1:9" x14ac:dyDescent="0.25">
      <c r="A7107" t="s">
        <v>6189</v>
      </c>
      <c r="B7107" t="s">
        <v>13</v>
      </c>
      <c r="C7107">
        <v>17</v>
      </c>
      <c r="D7107">
        <v>17.899999999999999</v>
      </c>
      <c r="E7107" t="s">
        <v>17</v>
      </c>
      <c r="F7107">
        <v>24.65</v>
      </c>
      <c r="G7107">
        <v>25.14</v>
      </c>
      <c r="H7107" t="s">
        <v>17</v>
      </c>
      <c r="I7107" t="str">
        <f>"064245006945"</f>
        <v>064245006945</v>
      </c>
    </row>
    <row r="7108" spans="1:9" x14ac:dyDescent="0.25">
      <c r="A7108" t="s">
        <v>6189</v>
      </c>
      <c r="B7108" t="s">
        <v>13</v>
      </c>
      <c r="C7108">
        <v>27.6</v>
      </c>
      <c r="D7108">
        <v>27</v>
      </c>
      <c r="E7108" t="s">
        <v>17</v>
      </c>
      <c r="F7108">
        <v>26.16</v>
      </c>
      <c r="G7108">
        <v>26.63</v>
      </c>
      <c r="H7108" t="s">
        <v>17</v>
      </c>
      <c r="I7108" t="str">
        <f>"060261011958"</f>
        <v>060261011958</v>
      </c>
    </row>
    <row r="7109" spans="1:9" x14ac:dyDescent="0.25">
      <c r="A7109" t="s">
        <v>6190</v>
      </c>
      <c r="B7109" t="s">
        <v>13</v>
      </c>
      <c r="C7109">
        <v>12</v>
      </c>
      <c r="D7109">
        <v>12</v>
      </c>
      <c r="E7109" t="s">
        <v>17</v>
      </c>
      <c r="F7109">
        <v>15.08</v>
      </c>
      <c r="G7109">
        <v>14.25</v>
      </c>
      <c r="H7109" t="s">
        <v>17</v>
      </c>
      <c r="I7109" t="str">
        <f>"060985011708"</f>
        <v>060985011708</v>
      </c>
    </row>
    <row r="7110" spans="1:9" x14ac:dyDescent="0.25">
      <c r="A7110" t="s">
        <v>6191</v>
      </c>
      <c r="B7110" t="s">
        <v>13</v>
      </c>
      <c r="C7110">
        <v>26</v>
      </c>
      <c r="D7110">
        <v>27</v>
      </c>
      <c r="E7110" t="s">
        <v>17</v>
      </c>
      <c r="F7110">
        <v>23.58</v>
      </c>
      <c r="G7110">
        <v>24.11</v>
      </c>
      <c r="H7110" t="s">
        <v>17</v>
      </c>
      <c r="I7110" t="str">
        <f>"061632502059"</f>
        <v>061632502059</v>
      </c>
    </row>
    <row r="7111" spans="1:9" x14ac:dyDescent="0.25">
      <c r="A7111" t="s">
        <v>6192</v>
      </c>
      <c r="B7111" t="s">
        <v>13</v>
      </c>
      <c r="C7111">
        <v>76.05</v>
      </c>
      <c r="D7111">
        <v>82.39</v>
      </c>
      <c r="E7111" t="s">
        <v>17</v>
      </c>
      <c r="F7111">
        <v>25.12</v>
      </c>
      <c r="G7111">
        <v>25.36</v>
      </c>
      <c r="H7111" t="s">
        <v>17</v>
      </c>
      <c r="I7111" t="str">
        <f>"062865004441"</f>
        <v>062865004441</v>
      </c>
    </row>
    <row r="7112" spans="1:9" x14ac:dyDescent="0.25">
      <c r="A7112" t="s">
        <v>6193</v>
      </c>
      <c r="B7112" t="s">
        <v>13</v>
      </c>
      <c r="C7112">
        <v>13</v>
      </c>
      <c r="D7112">
        <v>9.5</v>
      </c>
      <c r="E7112" t="s">
        <v>17</v>
      </c>
      <c r="F7112" t="s">
        <v>14</v>
      </c>
      <c r="G7112" t="str">
        <f>"0.53"</f>
        <v>0.53</v>
      </c>
      <c r="H7112" t="s">
        <v>17</v>
      </c>
      <c r="I7112" t="str">
        <f>"062865010986"</f>
        <v>062865010986</v>
      </c>
    </row>
    <row r="7113" spans="1:9" x14ac:dyDescent="0.25">
      <c r="A7113" t="s">
        <v>6194</v>
      </c>
      <c r="B7113" t="s">
        <v>13</v>
      </c>
      <c r="C7113">
        <v>28.45</v>
      </c>
      <c r="D7113">
        <v>29.7</v>
      </c>
      <c r="E7113" t="s">
        <v>17</v>
      </c>
      <c r="F7113">
        <v>24.75</v>
      </c>
      <c r="G7113">
        <v>25.93</v>
      </c>
      <c r="H7113" t="s">
        <v>17</v>
      </c>
      <c r="I7113" t="str">
        <f>"061473001799"</f>
        <v>061473001799</v>
      </c>
    </row>
    <row r="7114" spans="1:9" x14ac:dyDescent="0.25">
      <c r="A7114" t="s">
        <v>6195</v>
      </c>
      <c r="B7114" t="s">
        <v>13</v>
      </c>
      <c r="C7114">
        <v>24.2</v>
      </c>
      <c r="D7114">
        <v>25.2</v>
      </c>
      <c r="E7114" t="s">
        <v>17</v>
      </c>
      <c r="F7114">
        <v>27.64</v>
      </c>
      <c r="G7114">
        <v>26.07</v>
      </c>
      <c r="H7114" t="s">
        <v>17</v>
      </c>
      <c r="I7114" t="str">
        <f>"063462005805"</f>
        <v>063462005805</v>
      </c>
    </row>
    <row r="7115" spans="1:9" x14ac:dyDescent="0.25">
      <c r="A7115" t="s">
        <v>6196</v>
      </c>
      <c r="B7115" t="s">
        <v>13</v>
      </c>
      <c r="C7115">
        <v>38.590000000000003</v>
      </c>
      <c r="D7115">
        <v>38.07</v>
      </c>
      <c r="E7115" t="s">
        <v>17</v>
      </c>
      <c r="F7115">
        <v>25.47</v>
      </c>
      <c r="G7115">
        <v>26.79</v>
      </c>
      <c r="H7115" t="s">
        <v>17</v>
      </c>
      <c r="I7115" t="str">
        <f>"060263000184"</f>
        <v>060263000184</v>
      </c>
    </row>
    <row r="7116" spans="1:9" x14ac:dyDescent="0.25">
      <c r="A7116" t="s">
        <v>6197</v>
      </c>
      <c r="B7116" t="s">
        <v>13</v>
      </c>
      <c r="C7116">
        <v>22.21</v>
      </c>
      <c r="D7116">
        <v>24.21</v>
      </c>
      <c r="E7116" t="s">
        <v>17</v>
      </c>
      <c r="F7116">
        <v>21.61</v>
      </c>
      <c r="G7116">
        <v>21.11</v>
      </c>
      <c r="H7116" t="s">
        <v>17</v>
      </c>
      <c r="I7116" t="str">
        <f>"064200006883"</f>
        <v>064200006883</v>
      </c>
    </row>
    <row r="7117" spans="1:9" x14ac:dyDescent="0.25">
      <c r="A7117" t="s">
        <v>6197</v>
      </c>
      <c r="B7117" t="s">
        <v>13</v>
      </c>
      <c r="C7117">
        <v>31.41</v>
      </c>
      <c r="D7117">
        <v>31</v>
      </c>
      <c r="E7117" t="s">
        <v>17</v>
      </c>
      <c r="F7117">
        <v>20.85</v>
      </c>
      <c r="G7117">
        <v>20.94</v>
      </c>
      <c r="H7117" t="s">
        <v>17</v>
      </c>
      <c r="I7117" t="str">
        <f>"061194001331"</f>
        <v>061194001331</v>
      </c>
    </row>
    <row r="7118" spans="1:9" x14ac:dyDescent="0.25">
      <c r="A7118" t="s">
        <v>6198</v>
      </c>
      <c r="B7118" t="s">
        <v>13</v>
      </c>
      <c r="C7118">
        <v>18</v>
      </c>
      <c r="D7118">
        <v>18.59</v>
      </c>
      <c r="E7118" t="s">
        <v>17</v>
      </c>
      <c r="F7118">
        <v>16.170000000000002</v>
      </c>
      <c r="G7118">
        <v>16.57</v>
      </c>
      <c r="H7118" t="s">
        <v>17</v>
      </c>
      <c r="I7118" t="str">
        <f>"063207004945"</f>
        <v>063207004945</v>
      </c>
    </row>
    <row r="7119" spans="1:9" x14ac:dyDescent="0.25">
      <c r="A7119" t="s">
        <v>6199</v>
      </c>
      <c r="B7119" t="s">
        <v>13</v>
      </c>
      <c r="C7119">
        <v>19.16</v>
      </c>
      <c r="D7119">
        <v>19.04</v>
      </c>
      <c r="E7119" t="s">
        <v>17</v>
      </c>
      <c r="F7119">
        <v>24.01</v>
      </c>
      <c r="G7119">
        <v>23.16</v>
      </c>
      <c r="H7119" t="s">
        <v>17</v>
      </c>
      <c r="I7119" t="str">
        <f>"062271012825"</f>
        <v>062271012825</v>
      </c>
    </row>
    <row r="7120" spans="1:9" x14ac:dyDescent="0.25">
      <c r="A7120" t="s">
        <v>6200</v>
      </c>
      <c r="B7120" t="s">
        <v>13</v>
      </c>
      <c r="C7120">
        <v>19.16</v>
      </c>
      <c r="D7120">
        <v>18.05</v>
      </c>
      <c r="E7120" t="s">
        <v>17</v>
      </c>
      <c r="F7120">
        <v>24.11</v>
      </c>
      <c r="G7120">
        <v>23.66</v>
      </c>
      <c r="H7120" t="s">
        <v>17</v>
      </c>
      <c r="I7120" t="str">
        <f>"062271012779"</f>
        <v>062271012779</v>
      </c>
    </row>
    <row r="7121" spans="1:9" x14ac:dyDescent="0.25">
      <c r="A7121" t="s">
        <v>6201</v>
      </c>
      <c r="B7121" t="s">
        <v>13</v>
      </c>
      <c r="C7121">
        <v>28.75</v>
      </c>
      <c r="D7121">
        <v>36.549999999999997</v>
      </c>
      <c r="E7121" t="s">
        <v>17</v>
      </c>
      <c r="F7121">
        <v>20.77</v>
      </c>
      <c r="G7121">
        <v>17.260000000000002</v>
      </c>
      <c r="H7121" t="s">
        <v>17</v>
      </c>
      <c r="I7121" t="str">
        <f>"061185001321"</f>
        <v>061185001321</v>
      </c>
    </row>
    <row r="7122" spans="1:9" x14ac:dyDescent="0.25">
      <c r="A7122" t="s">
        <v>6202</v>
      </c>
      <c r="B7122" t="s">
        <v>13</v>
      </c>
      <c r="C7122">
        <v>17</v>
      </c>
      <c r="D7122">
        <v>17</v>
      </c>
      <c r="E7122" t="s">
        <v>17</v>
      </c>
      <c r="F7122">
        <v>26.06</v>
      </c>
      <c r="G7122">
        <v>26.59</v>
      </c>
      <c r="H7122" t="s">
        <v>17</v>
      </c>
      <c r="I7122" t="str">
        <f>"063867001813"</f>
        <v>063867001813</v>
      </c>
    </row>
    <row r="7123" spans="1:9" x14ac:dyDescent="0.25">
      <c r="A7123" t="s">
        <v>6202</v>
      </c>
      <c r="B7123" t="s">
        <v>13</v>
      </c>
      <c r="C7123">
        <v>19.3</v>
      </c>
      <c r="D7123">
        <v>19.8</v>
      </c>
      <c r="E7123" t="s">
        <v>17</v>
      </c>
      <c r="F7123">
        <v>29.27</v>
      </c>
      <c r="G7123">
        <v>28.43</v>
      </c>
      <c r="H7123" t="s">
        <v>17</v>
      </c>
      <c r="I7123" t="str">
        <f>"060133205104"</f>
        <v>060133205104</v>
      </c>
    </row>
    <row r="7124" spans="1:9" x14ac:dyDescent="0.25">
      <c r="A7124" t="s">
        <v>6202</v>
      </c>
      <c r="B7124" t="s">
        <v>13</v>
      </c>
      <c r="C7124">
        <v>18.03</v>
      </c>
      <c r="D7124">
        <v>17.7</v>
      </c>
      <c r="E7124" t="s">
        <v>17</v>
      </c>
      <c r="F7124">
        <v>22.68</v>
      </c>
      <c r="G7124">
        <v>23.28</v>
      </c>
      <c r="H7124" t="s">
        <v>17</v>
      </c>
      <c r="I7124" t="str">
        <f>"064059006705"</f>
        <v>064059006705</v>
      </c>
    </row>
    <row r="7125" spans="1:9" x14ac:dyDescent="0.25">
      <c r="A7125" t="s">
        <v>6202</v>
      </c>
      <c r="B7125" t="s">
        <v>13</v>
      </c>
      <c r="C7125">
        <v>34</v>
      </c>
      <c r="D7125">
        <v>32.700000000000003</v>
      </c>
      <c r="E7125" t="s">
        <v>17</v>
      </c>
      <c r="F7125">
        <v>25.82</v>
      </c>
      <c r="G7125">
        <v>27.71</v>
      </c>
      <c r="H7125" t="s">
        <v>17</v>
      </c>
      <c r="I7125" t="str">
        <f>"062868004460"</f>
        <v>062868004460</v>
      </c>
    </row>
    <row r="7126" spans="1:9" x14ac:dyDescent="0.25">
      <c r="A7126" t="s">
        <v>6203</v>
      </c>
      <c r="B7126" t="s">
        <v>13</v>
      </c>
      <c r="C7126">
        <v>32.86</v>
      </c>
      <c r="D7126">
        <v>22.61</v>
      </c>
      <c r="E7126" t="s">
        <v>17</v>
      </c>
      <c r="F7126">
        <v>33.229999999999997</v>
      </c>
      <c r="G7126">
        <v>31.8</v>
      </c>
      <c r="H7126" t="s">
        <v>17</v>
      </c>
      <c r="I7126" t="str">
        <f>"064015012571"</f>
        <v>064015012571</v>
      </c>
    </row>
    <row r="7127" spans="1:9" x14ac:dyDescent="0.25">
      <c r="A7127" t="s">
        <v>6204</v>
      </c>
      <c r="B7127" t="s">
        <v>13</v>
      </c>
      <c r="C7127">
        <v>26.8</v>
      </c>
      <c r="D7127">
        <v>24.4</v>
      </c>
      <c r="E7127" t="s">
        <v>17</v>
      </c>
      <c r="F7127">
        <v>25.22</v>
      </c>
      <c r="G7127">
        <v>25.49</v>
      </c>
      <c r="H7127" t="s">
        <v>17</v>
      </c>
      <c r="I7127" t="str">
        <f>"060285011904"</f>
        <v>060285011904</v>
      </c>
    </row>
    <row r="7128" spans="1:9" x14ac:dyDescent="0.25">
      <c r="A7128" t="s">
        <v>6205</v>
      </c>
      <c r="B7128" t="s">
        <v>13</v>
      </c>
      <c r="C7128">
        <v>9.5</v>
      </c>
      <c r="D7128">
        <v>9.6</v>
      </c>
      <c r="E7128" t="s">
        <v>17</v>
      </c>
      <c r="F7128">
        <v>20.95</v>
      </c>
      <c r="G7128">
        <v>19.48</v>
      </c>
      <c r="H7128" t="s">
        <v>17</v>
      </c>
      <c r="I7128" t="str">
        <f>"064023008651"</f>
        <v>064023008651</v>
      </c>
    </row>
    <row r="7129" spans="1:9" x14ac:dyDescent="0.25">
      <c r="A7129" t="s">
        <v>6206</v>
      </c>
      <c r="B7129" t="s">
        <v>13</v>
      </c>
      <c r="C7129">
        <v>28.84</v>
      </c>
      <c r="D7129">
        <v>26.35</v>
      </c>
      <c r="E7129" t="s">
        <v>17</v>
      </c>
      <c r="F7129">
        <v>24.27</v>
      </c>
      <c r="G7129">
        <v>23.87</v>
      </c>
      <c r="H7129" t="s">
        <v>17</v>
      </c>
      <c r="I7129" t="str">
        <f>"062871012315"</f>
        <v>062871012315</v>
      </c>
    </row>
    <row r="7130" spans="1:9" x14ac:dyDescent="0.25">
      <c r="A7130" t="s">
        <v>6207</v>
      </c>
      <c r="B7130" t="s">
        <v>13</v>
      </c>
      <c r="C7130">
        <v>23.14</v>
      </c>
      <c r="D7130">
        <v>22.32</v>
      </c>
      <c r="E7130" t="s">
        <v>17</v>
      </c>
      <c r="F7130">
        <v>20.53</v>
      </c>
      <c r="G7130">
        <v>20.88</v>
      </c>
      <c r="H7130" t="s">
        <v>17</v>
      </c>
      <c r="I7130" t="str">
        <f>"062871004465"</f>
        <v>062871004465</v>
      </c>
    </row>
    <row r="7131" spans="1:9" x14ac:dyDescent="0.25">
      <c r="A7131" t="s">
        <v>6208</v>
      </c>
      <c r="B7131" t="s">
        <v>13</v>
      </c>
      <c r="C7131">
        <v>22</v>
      </c>
      <c r="D7131">
        <v>20.25</v>
      </c>
      <c r="E7131" t="s">
        <v>17</v>
      </c>
      <c r="F7131">
        <v>24.18</v>
      </c>
      <c r="G7131">
        <v>26.47</v>
      </c>
      <c r="H7131" t="s">
        <v>17</v>
      </c>
      <c r="I7131" t="str">
        <f>"062553003841"</f>
        <v>062553003841</v>
      </c>
    </row>
    <row r="7132" spans="1:9" x14ac:dyDescent="0.25">
      <c r="A7132" t="s">
        <v>6209</v>
      </c>
      <c r="B7132" t="s">
        <v>13</v>
      </c>
      <c r="C7132">
        <v>32.01</v>
      </c>
      <c r="D7132">
        <v>34</v>
      </c>
      <c r="E7132" t="s">
        <v>17</v>
      </c>
      <c r="F7132">
        <v>24.34</v>
      </c>
      <c r="G7132">
        <v>22.38</v>
      </c>
      <c r="H7132" t="s">
        <v>17</v>
      </c>
      <c r="I7132" t="str">
        <f>"062720004100"</f>
        <v>062720004100</v>
      </c>
    </row>
    <row r="7133" spans="1:9" x14ac:dyDescent="0.25">
      <c r="A7133" t="s">
        <v>6210</v>
      </c>
      <c r="B7133" t="s">
        <v>13</v>
      </c>
      <c r="C7133">
        <v>1.55</v>
      </c>
      <c r="D7133">
        <v>1.65</v>
      </c>
      <c r="E7133" t="s">
        <v>17</v>
      </c>
      <c r="F7133">
        <v>13.55</v>
      </c>
      <c r="G7133">
        <v>10.3</v>
      </c>
      <c r="H7133" t="s">
        <v>17</v>
      </c>
      <c r="I7133" t="str">
        <f>"062883004469"</f>
        <v>062883004469</v>
      </c>
    </row>
    <row r="7134" spans="1:9" x14ac:dyDescent="0.25">
      <c r="A7134" t="s">
        <v>6211</v>
      </c>
      <c r="B7134" t="s">
        <v>13</v>
      </c>
      <c r="C7134">
        <v>42.04</v>
      </c>
      <c r="D7134">
        <v>42.43</v>
      </c>
      <c r="E7134" t="s">
        <v>17</v>
      </c>
      <c r="F7134">
        <v>21.27</v>
      </c>
      <c r="G7134">
        <v>20.100000000000001</v>
      </c>
      <c r="H7134" t="s">
        <v>17</v>
      </c>
      <c r="I7134" t="str">
        <f>"062886004472"</f>
        <v>062886004472</v>
      </c>
    </row>
    <row r="7135" spans="1:9" x14ac:dyDescent="0.25">
      <c r="A7135" t="s">
        <v>6212</v>
      </c>
      <c r="B7135" t="s">
        <v>13</v>
      </c>
      <c r="C7135">
        <v>9.6999999999999993</v>
      </c>
      <c r="D7135">
        <v>8.6999999999999993</v>
      </c>
      <c r="E7135" t="s">
        <v>17</v>
      </c>
      <c r="F7135">
        <v>25.88</v>
      </c>
      <c r="G7135">
        <v>28.97</v>
      </c>
      <c r="H7135" t="s">
        <v>17</v>
      </c>
      <c r="I7135" t="str">
        <f>"063213008182"</f>
        <v>063213008182</v>
      </c>
    </row>
    <row r="7136" spans="1:9" x14ac:dyDescent="0.25">
      <c r="A7136" t="s">
        <v>6213</v>
      </c>
      <c r="B7136" t="s">
        <v>13</v>
      </c>
      <c r="C7136">
        <v>1</v>
      </c>
      <c r="D7136">
        <v>1</v>
      </c>
      <c r="E7136" t="s">
        <v>17</v>
      </c>
      <c r="F7136">
        <v>4</v>
      </c>
      <c r="G7136">
        <v>9</v>
      </c>
      <c r="H7136" t="s">
        <v>17</v>
      </c>
      <c r="I7136" t="str">
        <f>"060004508484"</f>
        <v>060004508484</v>
      </c>
    </row>
    <row r="7137" spans="1:9" x14ac:dyDescent="0.25">
      <c r="A7137" t="s">
        <v>6214</v>
      </c>
      <c r="B7137" t="s">
        <v>13</v>
      </c>
      <c r="C7137" t="s">
        <v>14</v>
      </c>
      <c r="D7137" t="s">
        <v>14</v>
      </c>
      <c r="E7137" t="s">
        <v>17</v>
      </c>
      <c r="F7137" t="s">
        <v>14</v>
      </c>
      <c r="G7137" t="s">
        <v>14</v>
      </c>
      <c r="H7137" t="s">
        <v>17</v>
      </c>
      <c r="I7137" t="str">
        <f>"060004510792"</f>
        <v>060004510792</v>
      </c>
    </row>
    <row r="7138" spans="1:9" x14ac:dyDescent="0.25">
      <c r="A7138" t="s">
        <v>6215</v>
      </c>
      <c r="B7138" t="s">
        <v>13</v>
      </c>
      <c r="C7138">
        <v>31.11</v>
      </c>
      <c r="D7138">
        <v>30.6</v>
      </c>
      <c r="E7138" t="s">
        <v>17</v>
      </c>
      <c r="F7138">
        <v>21.6</v>
      </c>
      <c r="G7138">
        <v>21.86</v>
      </c>
      <c r="H7138" t="s">
        <v>17</v>
      </c>
      <c r="I7138" t="str">
        <f>"060004507090"</f>
        <v>060004507090</v>
      </c>
    </row>
    <row r="7139" spans="1:9" x14ac:dyDescent="0.25">
      <c r="A7139" t="s">
        <v>6216</v>
      </c>
      <c r="B7139" t="s">
        <v>13</v>
      </c>
      <c r="C7139">
        <v>3</v>
      </c>
      <c r="D7139">
        <v>3</v>
      </c>
      <c r="E7139" t="s">
        <v>17</v>
      </c>
      <c r="F7139">
        <v>19.329999999999998</v>
      </c>
      <c r="G7139">
        <v>17.329999999999998</v>
      </c>
      <c r="H7139" t="s">
        <v>17</v>
      </c>
      <c r="I7139" t="str">
        <f>"061995002392"</f>
        <v>061995002392</v>
      </c>
    </row>
    <row r="7140" spans="1:9" x14ac:dyDescent="0.25">
      <c r="A7140" t="s">
        <v>6217</v>
      </c>
      <c r="B7140" t="s">
        <v>13</v>
      </c>
      <c r="C7140">
        <v>14</v>
      </c>
      <c r="D7140">
        <v>21.72</v>
      </c>
      <c r="E7140" t="s">
        <v>17</v>
      </c>
      <c r="F7140">
        <v>20.36</v>
      </c>
      <c r="G7140">
        <v>14.87</v>
      </c>
      <c r="H7140" t="s">
        <v>17</v>
      </c>
      <c r="I7140" t="str">
        <f>"063147004882"</f>
        <v>063147004882</v>
      </c>
    </row>
    <row r="7141" spans="1:9" x14ac:dyDescent="0.25">
      <c r="A7141" t="s">
        <v>6218</v>
      </c>
      <c r="B7141" t="s">
        <v>13</v>
      </c>
      <c r="C7141">
        <v>5.8</v>
      </c>
      <c r="D7141">
        <v>5.49</v>
      </c>
      <c r="E7141" t="s">
        <v>17</v>
      </c>
      <c r="F7141">
        <v>20.34</v>
      </c>
      <c r="G7141">
        <v>26.05</v>
      </c>
      <c r="H7141" t="s">
        <v>17</v>
      </c>
      <c r="I7141" t="str">
        <f>"062895004480"</f>
        <v>062895004480</v>
      </c>
    </row>
    <row r="7142" spans="1:9" x14ac:dyDescent="0.25">
      <c r="A7142" t="s">
        <v>6219</v>
      </c>
      <c r="B7142" t="s">
        <v>13</v>
      </c>
      <c r="C7142">
        <v>41.31</v>
      </c>
      <c r="D7142">
        <v>42.3</v>
      </c>
      <c r="E7142" t="s">
        <v>17</v>
      </c>
      <c r="F7142">
        <v>23.21</v>
      </c>
      <c r="G7142">
        <v>22.25</v>
      </c>
      <c r="H7142" t="s">
        <v>17</v>
      </c>
      <c r="I7142" t="str">
        <f>"061035001159"</f>
        <v>061035001159</v>
      </c>
    </row>
    <row r="7143" spans="1:9" x14ac:dyDescent="0.25">
      <c r="A7143" t="s">
        <v>6220</v>
      </c>
      <c r="B7143" t="s">
        <v>13</v>
      </c>
      <c r="C7143">
        <v>45.61</v>
      </c>
      <c r="D7143">
        <v>48.91</v>
      </c>
      <c r="E7143" t="s">
        <v>17</v>
      </c>
      <c r="F7143">
        <v>24.64</v>
      </c>
      <c r="G7143">
        <v>23.59</v>
      </c>
      <c r="H7143" t="s">
        <v>17</v>
      </c>
      <c r="I7143" t="str">
        <f>"062913004496"</f>
        <v>062913004496</v>
      </c>
    </row>
    <row r="7144" spans="1:9" x14ac:dyDescent="0.25">
      <c r="A7144" t="s">
        <v>6221</v>
      </c>
      <c r="B7144" t="s">
        <v>13</v>
      </c>
      <c r="C7144">
        <v>2.2000000000000002</v>
      </c>
      <c r="D7144">
        <v>2.93</v>
      </c>
      <c r="E7144" t="s">
        <v>17</v>
      </c>
      <c r="F7144">
        <v>10.45</v>
      </c>
      <c r="G7144">
        <v>14.33</v>
      </c>
      <c r="H7144" t="s">
        <v>17</v>
      </c>
      <c r="I7144" t="str">
        <f>"062913007947"</f>
        <v>062913007947</v>
      </c>
    </row>
    <row r="7145" spans="1:9" x14ac:dyDescent="0.25">
      <c r="A7145" t="s">
        <v>6222</v>
      </c>
      <c r="B7145" t="s">
        <v>13</v>
      </c>
      <c r="C7145">
        <v>2</v>
      </c>
      <c r="D7145">
        <v>1</v>
      </c>
      <c r="E7145" t="s">
        <v>17</v>
      </c>
      <c r="F7145">
        <v>5</v>
      </c>
      <c r="G7145">
        <v>7</v>
      </c>
      <c r="H7145" t="s">
        <v>17</v>
      </c>
      <c r="I7145" t="str">
        <f>"069101911685"</f>
        <v>069101911685</v>
      </c>
    </row>
    <row r="7146" spans="1:9" x14ac:dyDescent="0.25">
      <c r="A7146" t="s">
        <v>6223</v>
      </c>
      <c r="B7146" t="s">
        <v>13</v>
      </c>
      <c r="C7146">
        <v>16</v>
      </c>
      <c r="D7146">
        <v>15.5</v>
      </c>
      <c r="E7146" t="s">
        <v>17</v>
      </c>
      <c r="F7146">
        <v>20.56</v>
      </c>
      <c r="G7146">
        <v>19.48</v>
      </c>
      <c r="H7146" t="s">
        <v>17</v>
      </c>
      <c r="I7146" t="str">
        <f>"063441005635"</f>
        <v>063441005635</v>
      </c>
    </row>
    <row r="7147" spans="1:9" x14ac:dyDescent="0.25">
      <c r="A7147" t="s">
        <v>6224</v>
      </c>
      <c r="B7147" t="s">
        <v>13</v>
      </c>
      <c r="C7147">
        <v>21.65</v>
      </c>
      <c r="D7147">
        <v>19.75</v>
      </c>
      <c r="E7147" t="s">
        <v>17</v>
      </c>
      <c r="F7147">
        <v>23.37</v>
      </c>
      <c r="G7147">
        <v>22.99</v>
      </c>
      <c r="H7147" t="s">
        <v>17</v>
      </c>
      <c r="I7147" t="str">
        <f>"062046011430"</f>
        <v>062046011430</v>
      </c>
    </row>
    <row r="7148" spans="1:9" x14ac:dyDescent="0.25">
      <c r="A7148" t="s">
        <v>6225</v>
      </c>
      <c r="B7148" t="s">
        <v>13</v>
      </c>
      <c r="C7148">
        <v>12.4</v>
      </c>
      <c r="D7148">
        <v>14.9</v>
      </c>
      <c r="E7148" t="s">
        <v>17</v>
      </c>
      <c r="F7148">
        <v>19.27</v>
      </c>
      <c r="G7148">
        <v>16.11</v>
      </c>
      <c r="H7148" t="s">
        <v>17</v>
      </c>
      <c r="I7148" t="str">
        <f>"060002709488"</f>
        <v>060002709488</v>
      </c>
    </row>
    <row r="7149" spans="1:9" x14ac:dyDescent="0.25">
      <c r="A7149" t="s">
        <v>6226</v>
      </c>
      <c r="B7149" t="s">
        <v>13</v>
      </c>
      <c r="C7149">
        <v>34.33</v>
      </c>
      <c r="D7149">
        <v>34.909999999999997</v>
      </c>
      <c r="E7149" t="s">
        <v>17</v>
      </c>
      <c r="F7149">
        <v>24.67</v>
      </c>
      <c r="G7149">
        <v>24.06</v>
      </c>
      <c r="H7149" t="s">
        <v>17</v>
      </c>
      <c r="I7149" t="str">
        <f>"062271010861"</f>
        <v>062271010861</v>
      </c>
    </row>
    <row r="7150" spans="1:9" x14ac:dyDescent="0.25">
      <c r="A7150" t="s">
        <v>6227</v>
      </c>
      <c r="B7150" t="s">
        <v>13</v>
      </c>
      <c r="C7150">
        <v>21</v>
      </c>
      <c r="D7150">
        <v>26</v>
      </c>
      <c r="E7150" t="s">
        <v>17</v>
      </c>
      <c r="F7150">
        <v>21.1</v>
      </c>
      <c r="G7150">
        <v>18.149999999999999</v>
      </c>
      <c r="H7150" t="s">
        <v>17</v>
      </c>
      <c r="I7150" t="str">
        <f>"062513003757"</f>
        <v>062513003757</v>
      </c>
    </row>
    <row r="7151" spans="1:9" x14ac:dyDescent="0.25">
      <c r="A7151" t="s">
        <v>6228</v>
      </c>
      <c r="B7151" t="s">
        <v>13</v>
      </c>
      <c r="C7151">
        <v>28.25</v>
      </c>
      <c r="D7151">
        <v>37.340000000000003</v>
      </c>
      <c r="E7151" t="s">
        <v>17</v>
      </c>
      <c r="F7151">
        <v>22.76</v>
      </c>
      <c r="G7151">
        <v>21.05</v>
      </c>
      <c r="H7151" t="s">
        <v>17</v>
      </c>
      <c r="I7151" t="str">
        <f>"062271003475"</f>
        <v>062271003475</v>
      </c>
    </row>
    <row r="7152" spans="1:9" x14ac:dyDescent="0.25">
      <c r="A7152" t="s">
        <v>6229</v>
      </c>
      <c r="B7152" t="s">
        <v>13</v>
      </c>
      <c r="C7152">
        <v>33</v>
      </c>
      <c r="D7152">
        <v>31</v>
      </c>
      <c r="E7152" t="s">
        <v>17</v>
      </c>
      <c r="F7152">
        <v>23</v>
      </c>
      <c r="G7152">
        <v>22.19</v>
      </c>
      <c r="H7152" t="s">
        <v>17</v>
      </c>
      <c r="I7152" t="str">
        <f>"060015811511"</f>
        <v>060015811511</v>
      </c>
    </row>
    <row r="7153" spans="1:9" x14ac:dyDescent="0.25">
      <c r="A7153" t="s">
        <v>6230</v>
      </c>
      <c r="B7153" t="s">
        <v>13</v>
      </c>
      <c r="C7153">
        <v>25.17</v>
      </c>
      <c r="D7153">
        <v>25.75</v>
      </c>
      <c r="E7153" t="s">
        <v>17</v>
      </c>
      <c r="F7153">
        <v>22.8</v>
      </c>
      <c r="G7153">
        <v>23.34</v>
      </c>
      <c r="H7153" t="s">
        <v>17</v>
      </c>
      <c r="I7153" t="str">
        <f>"061218001370"</f>
        <v>061218001370</v>
      </c>
    </row>
    <row r="7154" spans="1:9" x14ac:dyDescent="0.25">
      <c r="A7154" t="s">
        <v>6231</v>
      </c>
      <c r="B7154" t="s">
        <v>13</v>
      </c>
      <c r="C7154">
        <v>26.2</v>
      </c>
      <c r="D7154">
        <v>24.4</v>
      </c>
      <c r="E7154" t="s">
        <v>17</v>
      </c>
      <c r="F7154">
        <v>22.94</v>
      </c>
      <c r="G7154">
        <v>24.1</v>
      </c>
      <c r="H7154" t="s">
        <v>17</v>
      </c>
      <c r="I7154" t="str">
        <f>"062271011313"</f>
        <v>062271011313</v>
      </c>
    </row>
    <row r="7155" spans="1:9" x14ac:dyDescent="0.25">
      <c r="A7155" t="s">
        <v>6232</v>
      </c>
      <c r="B7155" t="s">
        <v>13</v>
      </c>
      <c r="C7155">
        <v>29</v>
      </c>
      <c r="D7155">
        <v>28</v>
      </c>
      <c r="E7155" t="s">
        <v>17</v>
      </c>
      <c r="F7155">
        <v>30.03</v>
      </c>
      <c r="G7155">
        <v>30.32</v>
      </c>
      <c r="H7155" t="s">
        <v>17</v>
      </c>
      <c r="I7155" t="str">
        <f>"060195008530"</f>
        <v>060195008530</v>
      </c>
    </row>
    <row r="7156" spans="1:9" x14ac:dyDescent="0.25">
      <c r="A7156" t="s">
        <v>6233</v>
      </c>
      <c r="B7156" t="s">
        <v>13</v>
      </c>
      <c r="C7156">
        <v>15</v>
      </c>
      <c r="D7156">
        <v>17</v>
      </c>
      <c r="E7156" t="s">
        <v>17</v>
      </c>
      <c r="F7156">
        <v>24</v>
      </c>
      <c r="G7156">
        <v>22.65</v>
      </c>
      <c r="H7156" t="s">
        <v>17</v>
      </c>
      <c r="I7156" t="str">
        <f>"062271003254"</f>
        <v>062271003254</v>
      </c>
    </row>
    <row r="7157" spans="1:9" x14ac:dyDescent="0.25">
      <c r="A7157" t="s">
        <v>6234</v>
      </c>
      <c r="B7157" t="s">
        <v>13</v>
      </c>
      <c r="C7157">
        <v>37.89</v>
      </c>
      <c r="D7157">
        <v>38.9</v>
      </c>
      <c r="E7157" t="s">
        <v>17</v>
      </c>
      <c r="F7157">
        <v>30.67</v>
      </c>
      <c r="G7157">
        <v>28.77</v>
      </c>
      <c r="H7157" t="s">
        <v>17</v>
      </c>
      <c r="I7157" t="str">
        <f>"060744010984"</f>
        <v>060744010984</v>
      </c>
    </row>
    <row r="7158" spans="1:9" x14ac:dyDescent="0.25">
      <c r="A7158" t="s">
        <v>6235</v>
      </c>
      <c r="B7158" t="s">
        <v>13</v>
      </c>
      <c r="C7158" t="str">
        <f>"0.20"</f>
        <v>0.20</v>
      </c>
      <c r="D7158" t="str">
        <f>"0.90"</f>
        <v>0.90</v>
      </c>
      <c r="E7158" t="s">
        <v>17</v>
      </c>
      <c r="F7158">
        <v>50</v>
      </c>
      <c r="G7158">
        <v>20</v>
      </c>
      <c r="H7158" t="s">
        <v>17</v>
      </c>
      <c r="I7158" t="str">
        <f>"063759006366"</f>
        <v>063759006366</v>
      </c>
    </row>
    <row r="7159" spans="1:9" x14ac:dyDescent="0.25">
      <c r="A7159" t="s">
        <v>6236</v>
      </c>
      <c r="B7159" t="s">
        <v>13</v>
      </c>
      <c r="C7159" t="str">
        <f>"0.10"</f>
        <v>0.10</v>
      </c>
      <c r="D7159" t="str">
        <f>"0.10"</f>
        <v>0.10</v>
      </c>
      <c r="E7159" t="s">
        <v>17</v>
      </c>
      <c r="F7159">
        <v>50</v>
      </c>
      <c r="G7159">
        <v>30</v>
      </c>
      <c r="H7159" t="s">
        <v>17</v>
      </c>
      <c r="I7159" t="str">
        <f>"063759007880"</f>
        <v>063759007880</v>
      </c>
    </row>
    <row r="7160" spans="1:9" x14ac:dyDescent="0.25">
      <c r="A7160" t="s">
        <v>6237</v>
      </c>
      <c r="B7160" t="s">
        <v>13</v>
      </c>
      <c r="C7160">
        <v>23.47</v>
      </c>
      <c r="D7160">
        <v>22.97</v>
      </c>
      <c r="E7160" t="s">
        <v>17</v>
      </c>
      <c r="F7160">
        <v>22.62</v>
      </c>
      <c r="G7160">
        <v>21.81</v>
      </c>
      <c r="H7160" t="s">
        <v>17</v>
      </c>
      <c r="I7160" t="str">
        <f>"064032006678"</f>
        <v>064032006678</v>
      </c>
    </row>
    <row r="7161" spans="1:9" x14ac:dyDescent="0.25">
      <c r="A7161" t="s">
        <v>6238</v>
      </c>
      <c r="B7161" t="s">
        <v>13</v>
      </c>
      <c r="C7161">
        <v>33</v>
      </c>
      <c r="D7161">
        <v>31.5</v>
      </c>
      <c r="E7161" t="s">
        <v>17</v>
      </c>
      <c r="F7161">
        <v>18.97</v>
      </c>
      <c r="G7161">
        <v>18.63</v>
      </c>
      <c r="H7161" t="s">
        <v>17</v>
      </c>
      <c r="I7161" t="str">
        <f>"060861007680"</f>
        <v>060861007680</v>
      </c>
    </row>
    <row r="7162" spans="1:9" x14ac:dyDescent="0.25">
      <c r="A7162" t="s">
        <v>6239</v>
      </c>
      <c r="B7162" t="s">
        <v>13</v>
      </c>
      <c r="C7162">
        <v>102.51</v>
      </c>
      <c r="D7162">
        <v>102.3</v>
      </c>
      <c r="E7162" t="s">
        <v>17</v>
      </c>
      <c r="F7162">
        <v>27.21</v>
      </c>
      <c r="G7162">
        <v>25.94</v>
      </c>
      <c r="H7162" t="s">
        <v>17</v>
      </c>
      <c r="I7162" t="str">
        <f>"063864011264"</f>
        <v>063864011264</v>
      </c>
    </row>
    <row r="7163" spans="1:9" x14ac:dyDescent="0.25">
      <c r="A7163" t="s">
        <v>6240</v>
      </c>
      <c r="B7163" t="s">
        <v>13</v>
      </c>
      <c r="C7163">
        <v>1.5</v>
      </c>
      <c r="D7163">
        <v>1.5</v>
      </c>
      <c r="E7163" t="s">
        <v>17</v>
      </c>
      <c r="F7163">
        <v>18</v>
      </c>
      <c r="G7163">
        <v>18.670000000000002</v>
      </c>
      <c r="H7163" t="s">
        <v>17</v>
      </c>
      <c r="I7163" t="str">
        <f>"060524000362"</f>
        <v>060524000362</v>
      </c>
    </row>
    <row r="7164" spans="1:9" x14ac:dyDescent="0.25">
      <c r="A7164" t="s">
        <v>6241</v>
      </c>
      <c r="B7164" t="s">
        <v>13</v>
      </c>
      <c r="C7164">
        <v>10.27</v>
      </c>
      <c r="D7164">
        <v>14</v>
      </c>
      <c r="E7164" t="s">
        <v>17</v>
      </c>
      <c r="F7164">
        <v>30.77</v>
      </c>
      <c r="G7164">
        <v>23.21</v>
      </c>
      <c r="H7164" t="s">
        <v>17</v>
      </c>
      <c r="I7164" t="str">
        <f>"063462008972"</f>
        <v>063462008972</v>
      </c>
    </row>
    <row r="7165" spans="1:9" x14ac:dyDescent="0.25">
      <c r="A7165" t="s">
        <v>6242</v>
      </c>
      <c r="B7165" t="s">
        <v>13</v>
      </c>
      <c r="C7165">
        <v>20</v>
      </c>
      <c r="D7165">
        <v>18</v>
      </c>
      <c r="E7165" t="s">
        <v>17</v>
      </c>
      <c r="F7165">
        <v>19.600000000000001</v>
      </c>
      <c r="G7165">
        <v>18.559999999999999</v>
      </c>
      <c r="H7165" t="s">
        <v>17</v>
      </c>
      <c r="I7165" t="str">
        <f>"062271010896"</f>
        <v>062271010896</v>
      </c>
    </row>
    <row r="7166" spans="1:9" x14ac:dyDescent="0.25">
      <c r="A7166" t="s">
        <v>6243</v>
      </c>
      <c r="B7166" t="s">
        <v>13</v>
      </c>
      <c r="C7166">
        <v>4.37</v>
      </c>
      <c r="D7166">
        <v>4.37</v>
      </c>
      <c r="E7166" t="s">
        <v>17</v>
      </c>
      <c r="F7166">
        <v>7.78</v>
      </c>
      <c r="G7166">
        <v>10.3</v>
      </c>
      <c r="H7166" t="s">
        <v>17</v>
      </c>
      <c r="I7166" t="str">
        <f>"062865012123"</f>
        <v>062865012123</v>
      </c>
    </row>
    <row r="7167" spans="1:9" x14ac:dyDescent="0.25">
      <c r="A7167" t="s">
        <v>6244</v>
      </c>
      <c r="B7167" t="s">
        <v>13</v>
      </c>
      <c r="C7167">
        <v>3.68</v>
      </c>
      <c r="D7167">
        <v>3.62</v>
      </c>
      <c r="E7167" t="s">
        <v>17</v>
      </c>
      <c r="F7167">
        <v>29.08</v>
      </c>
      <c r="G7167">
        <v>20.170000000000002</v>
      </c>
      <c r="H7167" t="s">
        <v>17</v>
      </c>
      <c r="I7167" t="str">
        <f>"062865012382"</f>
        <v>062865012382</v>
      </c>
    </row>
    <row r="7168" spans="1:9" x14ac:dyDescent="0.25">
      <c r="A7168" t="s">
        <v>6245</v>
      </c>
      <c r="B7168" t="s">
        <v>13</v>
      </c>
      <c r="C7168">
        <v>4.8</v>
      </c>
      <c r="D7168">
        <v>4.8</v>
      </c>
      <c r="E7168" t="s">
        <v>17</v>
      </c>
      <c r="F7168">
        <v>23.75</v>
      </c>
      <c r="G7168">
        <v>24.17</v>
      </c>
      <c r="H7168" t="s">
        <v>17</v>
      </c>
      <c r="I7168" t="str">
        <f>"062916004498"</f>
        <v>062916004498</v>
      </c>
    </row>
    <row r="7169" spans="1:9" x14ac:dyDescent="0.25">
      <c r="A7169" t="s">
        <v>6246</v>
      </c>
      <c r="B7169" t="s">
        <v>13</v>
      </c>
      <c r="C7169">
        <v>21</v>
      </c>
      <c r="D7169">
        <v>19</v>
      </c>
      <c r="E7169" t="s">
        <v>17</v>
      </c>
      <c r="F7169">
        <v>23.57</v>
      </c>
      <c r="G7169">
        <v>24.68</v>
      </c>
      <c r="H7169" t="s">
        <v>17</v>
      </c>
      <c r="I7169" t="str">
        <f>"062271003256"</f>
        <v>062271003256</v>
      </c>
    </row>
    <row r="7170" spans="1:9" x14ac:dyDescent="0.25">
      <c r="A7170" t="s">
        <v>6247</v>
      </c>
      <c r="B7170" t="s">
        <v>13</v>
      </c>
      <c r="C7170">
        <v>4</v>
      </c>
      <c r="D7170">
        <v>4</v>
      </c>
      <c r="E7170" t="s">
        <v>17</v>
      </c>
      <c r="F7170">
        <v>11.5</v>
      </c>
      <c r="G7170">
        <v>12.5</v>
      </c>
      <c r="H7170" t="s">
        <v>17</v>
      </c>
      <c r="I7170" t="str">
        <f>"062919007097"</f>
        <v>062919007097</v>
      </c>
    </row>
    <row r="7171" spans="1:9" x14ac:dyDescent="0.25">
      <c r="A7171" t="s">
        <v>6248</v>
      </c>
      <c r="B7171" t="s">
        <v>13</v>
      </c>
      <c r="C7171">
        <v>3.5</v>
      </c>
      <c r="D7171">
        <v>3.3</v>
      </c>
      <c r="E7171" t="s">
        <v>17</v>
      </c>
      <c r="F7171">
        <v>7.14</v>
      </c>
      <c r="G7171">
        <v>4.8499999999999996</v>
      </c>
      <c r="H7171" t="s">
        <v>17</v>
      </c>
      <c r="I7171" t="str">
        <f>"062919004500"</f>
        <v>062919004500</v>
      </c>
    </row>
    <row r="7172" spans="1:9" x14ac:dyDescent="0.25">
      <c r="A7172" t="s">
        <v>6249</v>
      </c>
      <c r="B7172" t="s">
        <v>13</v>
      </c>
      <c r="C7172">
        <v>5.5</v>
      </c>
      <c r="D7172">
        <v>4.0199999999999996</v>
      </c>
      <c r="E7172" t="s">
        <v>17</v>
      </c>
      <c r="F7172">
        <v>23.45</v>
      </c>
      <c r="G7172">
        <v>28.11</v>
      </c>
      <c r="H7172" t="s">
        <v>17</v>
      </c>
      <c r="I7172" t="str">
        <f>"062271003257"</f>
        <v>062271003257</v>
      </c>
    </row>
    <row r="7173" spans="1:9" x14ac:dyDescent="0.25">
      <c r="A7173" t="s">
        <v>6250</v>
      </c>
      <c r="B7173" t="s">
        <v>13</v>
      </c>
      <c r="C7173">
        <v>38.08</v>
      </c>
      <c r="D7173">
        <v>39.21</v>
      </c>
      <c r="E7173" t="s">
        <v>17</v>
      </c>
      <c r="F7173">
        <v>30.25</v>
      </c>
      <c r="G7173">
        <v>29.13</v>
      </c>
      <c r="H7173" t="s">
        <v>17</v>
      </c>
      <c r="I7173" t="str">
        <f>"060263007580"</f>
        <v>060263007580</v>
      </c>
    </row>
    <row r="7174" spans="1:9" x14ac:dyDescent="0.25">
      <c r="A7174" t="s">
        <v>6251</v>
      </c>
      <c r="B7174" t="s">
        <v>13</v>
      </c>
      <c r="C7174">
        <v>13.11</v>
      </c>
      <c r="D7174">
        <v>13.7</v>
      </c>
      <c r="E7174" t="s">
        <v>17</v>
      </c>
      <c r="F7174">
        <v>24.03</v>
      </c>
      <c r="G7174">
        <v>22.04</v>
      </c>
      <c r="H7174" t="s">
        <v>17</v>
      </c>
      <c r="I7174" t="str">
        <f>"060474000448"</f>
        <v>060474000448</v>
      </c>
    </row>
    <row r="7175" spans="1:9" x14ac:dyDescent="0.25">
      <c r="A7175" t="s">
        <v>6252</v>
      </c>
      <c r="B7175" t="s">
        <v>13</v>
      </c>
      <c r="C7175">
        <v>37</v>
      </c>
      <c r="D7175">
        <v>33</v>
      </c>
      <c r="E7175" t="s">
        <v>17</v>
      </c>
      <c r="F7175">
        <v>28.89</v>
      </c>
      <c r="G7175">
        <v>32.299999999999997</v>
      </c>
      <c r="H7175" t="s">
        <v>17</v>
      </c>
      <c r="I7175" t="str">
        <f>"060846012752"</f>
        <v>060846012752</v>
      </c>
    </row>
    <row r="7176" spans="1:9" x14ac:dyDescent="0.25">
      <c r="A7176" t="s">
        <v>6253</v>
      </c>
      <c r="B7176" t="s">
        <v>13</v>
      </c>
      <c r="C7176">
        <v>25</v>
      </c>
      <c r="D7176">
        <v>19.5</v>
      </c>
      <c r="E7176" t="s">
        <v>14</v>
      </c>
      <c r="F7176">
        <v>30.88</v>
      </c>
      <c r="G7176">
        <v>28.26</v>
      </c>
      <c r="H7176" t="s">
        <v>14</v>
      </c>
      <c r="I7176" t="str">
        <f>"060744012855"</f>
        <v>060744012855</v>
      </c>
    </row>
    <row r="7177" spans="1:9" x14ac:dyDescent="0.25">
      <c r="A7177" t="s">
        <v>6254</v>
      </c>
      <c r="B7177" t="s">
        <v>13</v>
      </c>
      <c r="C7177">
        <v>106.03</v>
      </c>
      <c r="D7177">
        <v>117.57</v>
      </c>
      <c r="E7177" t="s">
        <v>17</v>
      </c>
      <c r="F7177">
        <v>26.72</v>
      </c>
      <c r="G7177">
        <v>25.29</v>
      </c>
      <c r="H7177" t="s">
        <v>17</v>
      </c>
      <c r="I7177" t="str">
        <f>"062927004520"</f>
        <v>062927004520</v>
      </c>
    </row>
    <row r="7178" spans="1:9" x14ac:dyDescent="0.25">
      <c r="A7178" t="s">
        <v>6255</v>
      </c>
      <c r="B7178" t="s">
        <v>13</v>
      </c>
      <c r="C7178">
        <v>22</v>
      </c>
      <c r="D7178">
        <v>22.01</v>
      </c>
      <c r="E7178" t="s">
        <v>17</v>
      </c>
      <c r="F7178">
        <v>22.5</v>
      </c>
      <c r="G7178">
        <v>22.58</v>
      </c>
      <c r="H7178" t="s">
        <v>17</v>
      </c>
      <c r="I7178" t="str">
        <f>"062271003258"</f>
        <v>062271003258</v>
      </c>
    </row>
    <row r="7179" spans="1:9" x14ac:dyDescent="0.25">
      <c r="A7179" t="s">
        <v>6256</v>
      </c>
      <c r="B7179" t="s">
        <v>13</v>
      </c>
      <c r="C7179">
        <v>21.7</v>
      </c>
      <c r="D7179">
        <v>24</v>
      </c>
      <c r="E7179" t="s">
        <v>17</v>
      </c>
      <c r="F7179">
        <v>27.14</v>
      </c>
      <c r="G7179">
        <v>26.88</v>
      </c>
      <c r="H7179" t="s">
        <v>17</v>
      </c>
      <c r="I7179" t="str">
        <f>"062583003884"</f>
        <v>062583003884</v>
      </c>
    </row>
    <row r="7180" spans="1:9" x14ac:dyDescent="0.25">
      <c r="A7180" t="s">
        <v>6257</v>
      </c>
      <c r="B7180" t="s">
        <v>13</v>
      </c>
      <c r="C7180">
        <v>25</v>
      </c>
      <c r="D7180">
        <v>25</v>
      </c>
      <c r="E7180" t="s">
        <v>17</v>
      </c>
      <c r="F7180">
        <v>26.28</v>
      </c>
      <c r="G7180">
        <v>25.88</v>
      </c>
      <c r="H7180" t="s">
        <v>17</v>
      </c>
      <c r="I7180" t="str">
        <f>"062136002559"</f>
        <v>062136002559</v>
      </c>
    </row>
    <row r="7181" spans="1:9" x14ac:dyDescent="0.25">
      <c r="A7181" t="s">
        <v>6258</v>
      </c>
      <c r="B7181" t="s">
        <v>13</v>
      </c>
      <c r="C7181">
        <v>31.2</v>
      </c>
      <c r="D7181">
        <v>27.19</v>
      </c>
      <c r="E7181" t="s">
        <v>17</v>
      </c>
      <c r="F7181">
        <v>26.19</v>
      </c>
      <c r="G7181">
        <v>24.79</v>
      </c>
      <c r="H7181" t="s">
        <v>17</v>
      </c>
      <c r="I7181" t="str">
        <f>"063315005155"</f>
        <v>063315005155</v>
      </c>
    </row>
    <row r="7182" spans="1:9" x14ac:dyDescent="0.25">
      <c r="A7182" t="s">
        <v>6259</v>
      </c>
      <c r="B7182" t="s">
        <v>13</v>
      </c>
      <c r="C7182" t="s">
        <v>14</v>
      </c>
      <c r="D7182" t="s">
        <v>17</v>
      </c>
      <c r="E7182" t="s">
        <v>17</v>
      </c>
      <c r="F7182" t="s">
        <v>17</v>
      </c>
      <c r="G7182" t="s">
        <v>17</v>
      </c>
      <c r="H7182" t="s">
        <v>17</v>
      </c>
      <c r="I7182" t="str">
        <f>"062928007443"</f>
        <v>062928007443</v>
      </c>
    </row>
    <row r="7183" spans="1:9" x14ac:dyDescent="0.25">
      <c r="A7183" t="s">
        <v>6260</v>
      </c>
      <c r="B7183" t="s">
        <v>13</v>
      </c>
      <c r="C7183">
        <v>11.55</v>
      </c>
      <c r="D7183">
        <v>13.55</v>
      </c>
      <c r="E7183" t="s">
        <v>17</v>
      </c>
      <c r="F7183">
        <v>27.27</v>
      </c>
      <c r="G7183">
        <v>23.1</v>
      </c>
      <c r="H7183" t="s">
        <v>17</v>
      </c>
      <c r="I7183" t="str">
        <f>"062928004522"</f>
        <v>062928004522</v>
      </c>
    </row>
    <row r="7184" spans="1:9" x14ac:dyDescent="0.25">
      <c r="A7184" t="s">
        <v>6260</v>
      </c>
      <c r="B7184" t="s">
        <v>13</v>
      </c>
      <c r="C7184">
        <v>25.8</v>
      </c>
      <c r="D7184">
        <v>26.71</v>
      </c>
      <c r="E7184" t="s">
        <v>17</v>
      </c>
      <c r="F7184">
        <v>19.88</v>
      </c>
      <c r="G7184">
        <v>18.91</v>
      </c>
      <c r="H7184" t="s">
        <v>17</v>
      </c>
      <c r="I7184" t="str">
        <f>"063480005877"</f>
        <v>063480005877</v>
      </c>
    </row>
    <row r="7185" spans="1:9" x14ac:dyDescent="0.25">
      <c r="A7185" t="s">
        <v>6261</v>
      </c>
      <c r="B7185" t="s">
        <v>13</v>
      </c>
      <c r="C7185">
        <v>59.5</v>
      </c>
      <c r="D7185">
        <v>47.25</v>
      </c>
      <c r="E7185" t="s">
        <v>17</v>
      </c>
      <c r="F7185">
        <v>24.67</v>
      </c>
      <c r="G7185">
        <v>24.87</v>
      </c>
      <c r="H7185" t="s">
        <v>17</v>
      </c>
      <c r="I7185" t="str">
        <f>"062274012432"</f>
        <v>062274012432</v>
      </c>
    </row>
    <row r="7186" spans="1:9" x14ac:dyDescent="0.25">
      <c r="A7186" t="s">
        <v>6262</v>
      </c>
      <c r="B7186" t="s">
        <v>13</v>
      </c>
      <c r="C7186">
        <v>6</v>
      </c>
      <c r="D7186">
        <v>5.2</v>
      </c>
      <c r="E7186" t="s">
        <v>17</v>
      </c>
      <c r="F7186">
        <v>22</v>
      </c>
      <c r="G7186">
        <v>21.35</v>
      </c>
      <c r="H7186" t="s">
        <v>17</v>
      </c>
      <c r="I7186" t="str">
        <f>"063432012498"</f>
        <v>063432012498</v>
      </c>
    </row>
    <row r="7187" spans="1:9" x14ac:dyDescent="0.25">
      <c r="A7187" t="s">
        <v>6263</v>
      </c>
      <c r="B7187" t="s">
        <v>13</v>
      </c>
      <c r="C7187" t="s">
        <v>17</v>
      </c>
      <c r="D7187" t="s">
        <v>14</v>
      </c>
      <c r="E7187" t="s">
        <v>14</v>
      </c>
      <c r="F7187" t="s">
        <v>17</v>
      </c>
      <c r="G7187" t="s">
        <v>14</v>
      </c>
      <c r="H7187" t="s">
        <v>14</v>
      </c>
      <c r="I7187" t="str">
        <f>"061524013437"</f>
        <v>061524013437</v>
      </c>
    </row>
    <row r="7188" spans="1:9" x14ac:dyDescent="0.25">
      <c r="A7188" t="s">
        <v>6264</v>
      </c>
      <c r="B7188" t="s">
        <v>13</v>
      </c>
      <c r="C7188">
        <v>23</v>
      </c>
      <c r="D7188">
        <v>22</v>
      </c>
      <c r="E7188" t="s">
        <v>17</v>
      </c>
      <c r="F7188">
        <v>18.96</v>
      </c>
      <c r="G7188">
        <v>19.36</v>
      </c>
      <c r="H7188" t="s">
        <v>17</v>
      </c>
      <c r="I7188" t="str">
        <f>"061926002316"</f>
        <v>061926002316</v>
      </c>
    </row>
    <row r="7189" spans="1:9" x14ac:dyDescent="0.25">
      <c r="A7189" t="s">
        <v>6265</v>
      </c>
      <c r="B7189" t="s">
        <v>13</v>
      </c>
      <c r="C7189">
        <v>16.8</v>
      </c>
      <c r="D7189">
        <v>17.8</v>
      </c>
      <c r="E7189" t="s">
        <v>17</v>
      </c>
      <c r="F7189">
        <v>23.39</v>
      </c>
      <c r="G7189">
        <v>21.46</v>
      </c>
      <c r="H7189" t="s">
        <v>17</v>
      </c>
      <c r="I7189" t="str">
        <f>"063432005531"</f>
        <v>063432005531</v>
      </c>
    </row>
    <row r="7190" spans="1:9" x14ac:dyDescent="0.25">
      <c r="A7190" t="s">
        <v>6266</v>
      </c>
      <c r="B7190" t="s">
        <v>13</v>
      </c>
      <c r="C7190">
        <v>3.6</v>
      </c>
      <c r="D7190">
        <v>4</v>
      </c>
      <c r="E7190" t="s">
        <v>17</v>
      </c>
      <c r="F7190">
        <v>18.89</v>
      </c>
      <c r="G7190">
        <v>17</v>
      </c>
      <c r="H7190" t="s">
        <v>17</v>
      </c>
      <c r="I7190" t="str">
        <f>"063480005878"</f>
        <v>063480005878</v>
      </c>
    </row>
    <row r="7191" spans="1:9" x14ac:dyDescent="0.25">
      <c r="A7191" t="s">
        <v>6267</v>
      </c>
      <c r="B7191" t="s">
        <v>13</v>
      </c>
      <c r="C7191">
        <v>32.81</v>
      </c>
      <c r="D7191">
        <v>35.81</v>
      </c>
      <c r="E7191" t="s">
        <v>17</v>
      </c>
      <c r="F7191">
        <v>19.38</v>
      </c>
      <c r="G7191">
        <v>18.54</v>
      </c>
      <c r="H7191" t="s">
        <v>17</v>
      </c>
      <c r="I7191" t="str">
        <f>"063432005532"</f>
        <v>063432005532</v>
      </c>
    </row>
    <row r="7192" spans="1:9" x14ac:dyDescent="0.25">
      <c r="A7192" t="s">
        <v>6268</v>
      </c>
      <c r="B7192" t="s">
        <v>13</v>
      </c>
      <c r="C7192">
        <v>35</v>
      </c>
      <c r="D7192">
        <v>34</v>
      </c>
      <c r="E7192" t="s">
        <v>17</v>
      </c>
      <c r="F7192">
        <v>18.09</v>
      </c>
      <c r="G7192">
        <v>17.350000000000001</v>
      </c>
      <c r="H7192" t="s">
        <v>17</v>
      </c>
      <c r="I7192" t="str">
        <f>"062271010880"</f>
        <v>062271010880</v>
      </c>
    </row>
    <row r="7193" spans="1:9" x14ac:dyDescent="0.25">
      <c r="A7193" t="s">
        <v>6269</v>
      </c>
      <c r="B7193" t="s">
        <v>13</v>
      </c>
      <c r="C7193">
        <v>9.8000000000000007</v>
      </c>
      <c r="D7193">
        <v>8.8000000000000007</v>
      </c>
      <c r="E7193" t="s">
        <v>17</v>
      </c>
      <c r="F7193">
        <v>16.43</v>
      </c>
      <c r="G7193">
        <v>14.89</v>
      </c>
      <c r="H7193" t="s">
        <v>17</v>
      </c>
      <c r="I7193" t="str">
        <f>"060133207727"</f>
        <v>060133207727</v>
      </c>
    </row>
    <row r="7194" spans="1:9" x14ac:dyDescent="0.25">
      <c r="A7194" t="s">
        <v>6270</v>
      </c>
      <c r="B7194" t="s">
        <v>13</v>
      </c>
      <c r="C7194">
        <v>9</v>
      </c>
      <c r="D7194">
        <v>9</v>
      </c>
      <c r="E7194" t="s">
        <v>17</v>
      </c>
      <c r="F7194">
        <v>28.78</v>
      </c>
      <c r="G7194">
        <v>27.56</v>
      </c>
      <c r="H7194" t="s">
        <v>17</v>
      </c>
      <c r="I7194" t="str">
        <f>"062949008364"</f>
        <v>062949008364</v>
      </c>
    </row>
    <row r="7195" spans="1:9" x14ac:dyDescent="0.25">
      <c r="A7195" t="s">
        <v>6271</v>
      </c>
      <c r="B7195" t="s">
        <v>13</v>
      </c>
      <c r="C7195">
        <v>2.2000000000000002</v>
      </c>
      <c r="D7195">
        <v>1.26</v>
      </c>
      <c r="E7195" t="s">
        <v>17</v>
      </c>
      <c r="F7195">
        <v>20.91</v>
      </c>
      <c r="G7195">
        <v>31.75</v>
      </c>
      <c r="H7195" t="s">
        <v>17</v>
      </c>
      <c r="I7195" t="str">
        <f>"060303007261"</f>
        <v>060303007261</v>
      </c>
    </row>
    <row r="7196" spans="1:9" x14ac:dyDescent="0.25">
      <c r="A7196" t="s">
        <v>6272</v>
      </c>
      <c r="B7196" t="s">
        <v>13</v>
      </c>
      <c r="C7196">
        <v>27.6</v>
      </c>
      <c r="D7196">
        <v>27.6</v>
      </c>
      <c r="E7196" t="s">
        <v>17</v>
      </c>
      <c r="F7196">
        <v>18.66</v>
      </c>
      <c r="G7196">
        <v>18.48</v>
      </c>
      <c r="H7196" t="s">
        <v>17</v>
      </c>
      <c r="I7196" t="str">
        <f>"069103608363"</f>
        <v>069103608363</v>
      </c>
    </row>
    <row r="7197" spans="1:9" x14ac:dyDescent="0.25">
      <c r="A7197" t="s">
        <v>6273</v>
      </c>
      <c r="B7197" t="s">
        <v>13</v>
      </c>
      <c r="C7197">
        <v>6.76</v>
      </c>
      <c r="D7197">
        <v>6.5</v>
      </c>
      <c r="E7197" t="s">
        <v>17</v>
      </c>
      <c r="F7197">
        <v>12.87</v>
      </c>
      <c r="G7197">
        <v>14</v>
      </c>
      <c r="H7197" t="s">
        <v>17</v>
      </c>
      <c r="I7197" t="str">
        <f>"060309008155"</f>
        <v>060309008155</v>
      </c>
    </row>
    <row r="7198" spans="1:9" x14ac:dyDescent="0.25">
      <c r="A7198" t="s">
        <v>6274</v>
      </c>
      <c r="B7198" t="s">
        <v>13</v>
      </c>
      <c r="C7198">
        <v>25.2</v>
      </c>
      <c r="D7198">
        <v>26.4</v>
      </c>
      <c r="E7198" t="s">
        <v>17</v>
      </c>
      <c r="F7198">
        <v>25.6</v>
      </c>
      <c r="G7198">
        <v>24.92</v>
      </c>
      <c r="H7198" t="s">
        <v>17</v>
      </c>
      <c r="I7198" t="str">
        <f>"061473001800"</f>
        <v>061473001800</v>
      </c>
    </row>
    <row r="7199" spans="1:9" x14ac:dyDescent="0.25">
      <c r="A7199" t="s">
        <v>6275</v>
      </c>
      <c r="B7199" t="s">
        <v>13</v>
      </c>
      <c r="C7199">
        <v>29.5</v>
      </c>
      <c r="D7199">
        <v>27</v>
      </c>
      <c r="E7199" t="s">
        <v>17</v>
      </c>
      <c r="F7199">
        <v>23.76</v>
      </c>
      <c r="G7199">
        <v>23.96</v>
      </c>
      <c r="H7199" t="s">
        <v>17</v>
      </c>
      <c r="I7199" t="str">
        <f>"060002503576"</f>
        <v>060002503576</v>
      </c>
    </row>
    <row r="7200" spans="1:9" x14ac:dyDescent="0.25">
      <c r="A7200" t="s">
        <v>6275</v>
      </c>
      <c r="B7200" t="s">
        <v>13</v>
      </c>
      <c r="C7200">
        <v>5.3</v>
      </c>
      <c r="D7200">
        <v>5.5</v>
      </c>
      <c r="E7200" t="s">
        <v>17</v>
      </c>
      <c r="F7200">
        <v>19.62</v>
      </c>
      <c r="G7200">
        <v>20</v>
      </c>
      <c r="H7200" t="s">
        <v>17</v>
      </c>
      <c r="I7200" t="str">
        <f>"062934004525"</f>
        <v>062934004525</v>
      </c>
    </row>
    <row r="7201" spans="1:9" x14ac:dyDescent="0.25">
      <c r="A7201" t="s">
        <v>6275</v>
      </c>
      <c r="B7201" t="s">
        <v>13</v>
      </c>
      <c r="C7201">
        <v>20</v>
      </c>
      <c r="D7201">
        <v>19.399999999999999</v>
      </c>
      <c r="E7201" t="s">
        <v>17</v>
      </c>
      <c r="F7201">
        <v>27.35</v>
      </c>
      <c r="G7201">
        <v>26.91</v>
      </c>
      <c r="H7201" t="s">
        <v>17</v>
      </c>
      <c r="I7201" t="str">
        <f>"063384005272"</f>
        <v>063384005272</v>
      </c>
    </row>
    <row r="7202" spans="1:9" x14ac:dyDescent="0.25">
      <c r="A7202" t="s">
        <v>6276</v>
      </c>
      <c r="B7202" t="s">
        <v>13</v>
      </c>
      <c r="C7202">
        <v>31.9</v>
      </c>
      <c r="D7202">
        <v>31.4</v>
      </c>
      <c r="E7202" t="s">
        <v>17</v>
      </c>
      <c r="F7202">
        <v>18.78</v>
      </c>
      <c r="G7202">
        <v>17.899999999999999</v>
      </c>
      <c r="H7202" t="s">
        <v>17</v>
      </c>
      <c r="I7202" t="str">
        <f>"062937004530"</f>
        <v>062937004530</v>
      </c>
    </row>
    <row r="7203" spans="1:9" x14ac:dyDescent="0.25">
      <c r="A7203" t="s">
        <v>6277</v>
      </c>
      <c r="B7203" t="s">
        <v>13</v>
      </c>
      <c r="C7203">
        <v>24.1</v>
      </c>
      <c r="D7203">
        <v>23.1</v>
      </c>
      <c r="E7203" t="s">
        <v>17</v>
      </c>
      <c r="F7203">
        <v>19.170000000000002</v>
      </c>
      <c r="G7203">
        <v>19.309999999999999</v>
      </c>
      <c r="H7203" t="s">
        <v>17</v>
      </c>
      <c r="I7203" t="str">
        <f>"062937004531"</f>
        <v>062937004531</v>
      </c>
    </row>
    <row r="7204" spans="1:9" x14ac:dyDescent="0.25">
      <c r="A7204" t="s">
        <v>6278</v>
      </c>
      <c r="B7204" t="s">
        <v>13</v>
      </c>
      <c r="C7204">
        <v>95.5</v>
      </c>
      <c r="D7204">
        <v>112.5</v>
      </c>
      <c r="E7204" t="s">
        <v>17</v>
      </c>
      <c r="F7204">
        <v>18.760000000000002</v>
      </c>
      <c r="G7204">
        <v>19.7</v>
      </c>
      <c r="H7204" t="s">
        <v>17</v>
      </c>
      <c r="I7204" t="str">
        <f>"063417010049"</f>
        <v>063417010049</v>
      </c>
    </row>
    <row r="7205" spans="1:9" x14ac:dyDescent="0.25">
      <c r="A7205" t="s">
        <v>6278</v>
      </c>
      <c r="B7205" t="s">
        <v>13</v>
      </c>
      <c r="C7205">
        <v>13.9</v>
      </c>
      <c r="D7205">
        <v>13.85</v>
      </c>
      <c r="E7205" t="s">
        <v>17</v>
      </c>
      <c r="F7205">
        <v>13.53</v>
      </c>
      <c r="G7205">
        <v>13.21</v>
      </c>
      <c r="H7205" t="s">
        <v>17</v>
      </c>
      <c r="I7205" t="str">
        <f>"064098001872"</f>
        <v>064098001872</v>
      </c>
    </row>
    <row r="7206" spans="1:9" x14ac:dyDescent="0.25">
      <c r="A7206" t="s">
        <v>6279</v>
      </c>
      <c r="B7206" t="s">
        <v>13</v>
      </c>
      <c r="C7206">
        <v>9.33</v>
      </c>
      <c r="D7206">
        <v>8.8000000000000007</v>
      </c>
      <c r="E7206" t="s">
        <v>14</v>
      </c>
      <c r="F7206">
        <v>23.69</v>
      </c>
      <c r="G7206">
        <v>23.41</v>
      </c>
      <c r="H7206" t="s">
        <v>14</v>
      </c>
      <c r="I7206" t="str">
        <f>"063801012846"</f>
        <v>063801012846</v>
      </c>
    </row>
    <row r="7207" spans="1:9" x14ac:dyDescent="0.25">
      <c r="A7207" t="s">
        <v>6280</v>
      </c>
      <c r="B7207" t="s">
        <v>13</v>
      </c>
      <c r="C7207">
        <v>5</v>
      </c>
      <c r="D7207">
        <v>4.5</v>
      </c>
      <c r="E7207" t="s">
        <v>17</v>
      </c>
      <c r="F7207">
        <v>9.6</v>
      </c>
      <c r="G7207">
        <v>7.78</v>
      </c>
      <c r="H7207" t="s">
        <v>17</v>
      </c>
      <c r="I7207" t="str">
        <f>"069107812649"</f>
        <v>069107812649</v>
      </c>
    </row>
    <row r="7208" spans="1:9" x14ac:dyDescent="0.25">
      <c r="A7208" t="s">
        <v>6281</v>
      </c>
      <c r="B7208" t="s">
        <v>13</v>
      </c>
      <c r="C7208">
        <v>28</v>
      </c>
      <c r="D7208">
        <v>28</v>
      </c>
      <c r="E7208" t="s">
        <v>17</v>
      </c>
      <c r="F7208">
        <v>30.96</v>
      </c>
      <c r="G7208">
        <v>30.32</v>
      </c>
      <c r="H7208" t="s">
        <v>17</v>
      </c>
      <c r="I7208" t="str">
        <f>"060750008312"</f>
        <v>060750008312</v>
      </c>
    </row>
    <row r="7209" spans="1:9" x14ac:dyDescent="0.25">
      <c r="A7209" t="s">
        <v>6282</v>
      </c>
      <c r="B7209" t="s">
        <v>13</v>
      </c>
      <c r="C7209">
        <v>9</v>
      </c>
      <c r="D7209">
        <v>11.5</v>
      </c>
      <c r="E7209" t="s">
        <v>17</v>
      </c>
      <c r="F7209">
        <v>15.33</v>
      </c>
      <c r="G7209">
        <v>13.22</v>
      </c>
      <c r="H7209" t="s">
        <v>17</v>
      </c>
      <c r="I7209" t="str">
        <f>"060133512402"</f>
        <v>060133512402</v>
      </c>
    </row>
    <row r="7210" spans="1:9" x14ac:dyDescent="0.25">
      <c r="A7210" t="s">
        <v>6283</v>
      </c>
      <c r="B7210" t="s">
        <v>13</v>
      </c>
      <c r="C7210">
        <v>9.6</v>
      </c>
      <c r="D7210">
        <v>10.050000000000001</v>
      </c>
      <c r="E7210" t="s">
        <v>17</v>
      </c>
      <c r="F7210">
        <v>15.1</v>
      </c>
      <c r="G7210">
        <v>14.43</v>
      </c>
      <c r="H7210" t="s">
        <v>17</v>
      </c>
      <c r="I7210" t="str">
        <f>"060133512419"</f>
        <v>060133512419</v>
      </c>
    </row>
    <row r="7211" spans="1:9" x14ac:dyDescent="0.25">
      <c r="A7211" t="s">
        <v>6284</v>
      </c>
      <c r="B7211" t="s">
        <v>13</v>
      </c>
      <c r="C7211">
        <v>3.3</v>
      </c>
      <c r="D7211">
        <v>16</v>
      </c>
      <c r="E7211" t="s">
        <v>17</v>
      </c>
      <c r="F7211">
        <v>113.33</v>
      </c>
      <c r="G7211">
        <v>22.75</v>
      </c>
      <c r="H7211" t="s">
        <v>17</v>
      </c>
      <c r="I7211" t="str">
        <f>"062940004532"</f>
        <v>062940004532</v>
      </c>
    </row>
    <row r="7212" spans="1:9" x14ac:dyDescent="0.25">
      <c r="A7212" t="s">
        <v>6284</v>
      </c>
      <c r="B7212" t="s">
        <v>13</v>
      </c>
      <c r="C7212">
        <v>23.59</v>
      </c>
      <c r="D7212">
        <v>22.59</v>
      </c>
      <c r="E7212" t="s">
        <v>17</v>
      </c>
      <c r="F7212">
        <v>21.28</v>
      </c>
      <c r="G7212">
        <v>21.03</v>
      </c>
      <c r="H7212" t="s">
        <v>17</v>
      </c>
      <c r="I7212" t="str">
        <f>"062943004533"</f>
        <v>062943004533</v>
      </c>
    </row>
    <row r="7213" spans="1:9" x14ac:dyDescent="0.25">
      <c r="A7213" t="s">
        <v>6285</v>
      </c>
      <c r="B7213" t="s">
        <v>13</v>
      </c>
      <c r="C7213">
        <v>4.3</v>
      </c>
      <c r="D7213">
        <v>4.0199999999999996</v>
      </c>
      <c r="E7213" t="s">
        <v>17</v>
      </c>
      <c r="F7213">
        <v>4.88</v>
      </c>
      <c r="G7213">
        <v>2.99</v>
      </c>
      <c r="H7213" t="s">
        <v>17</v>
      </c>
      <c r="I7213" t="str">
        <f>"060003109475"</f>
        <v>060003109475</v>
      </c>
    </row>
    <row r="7214" spans="1:9" x14ac:dyDescent="0.25">
      <c r="A7214" t="s">
        <v>6286</v>
      </c>
      <c r="B7214" t="s">
        <v>13</v>
      </c>
      <c r="C7214">
        <v>17.010000000000002</v>
      </c>
      <c r="D7214">
        <v>22</v>
      </c>
      <c r="E7214" t="s">
        <v>17</v>
      </c>
      <c r="F7214">
        <v>26.22</v>
      </c>
      <c r="G7214">
        <v>20.59</v>
      </c>
      <c r="H7214" t="s">
        <v>17</v>
      </c>
      <c r="I7214" t="str">
        <f>"062825008313"</f>
        <v>062825008313</v>
      </c>
    </row>
    <row r="7215" spans="1:9" x14ac:dyDescent="0.25">
      <c r="A7215" t="s">
        <v>6286</v>
      </c>
      <c r="B7215" t="s">
        <v>13</v>
      </c>
      <c r="C7215">
        <v>11</v>
      </c>
      <c r="D7215">
        <v>10.5</v>
      </c>
      <c r="E7215" t="s">
        <v>17</v>
      </c>
      <c r="F7215">
        <v>15</v>
      </c>
      <c r="G7215">
        <v>14.48</v>
      </c>
      <c r="H7215" t="s">
        <v>17</v>
      </c>
      <c r="I7215" t="str">
        <f>"062232008486"</f>
        <v>062232008486</v>
      </c>
    </row>
    <row r="7216" spans="1:9" x14ac:dyDescent="0.25">
      <c r="A7216" t="s">
        <v>6287</v>
      </c>
      <c r="B7216" t="s">
        <v>13</v>
      </c>
      <c r="C7216">
        <v>120.58</v>
      </c>
      <c r="D7216">
        <v>125.46</v>
      </c>
      <c r="E7216" t="s">
        <v>17</v>
      </c>
      <c r="F7216">
        <v>27.6</v>
      </c>
      <c r="G7216">
        <v>26.37</v>
      </c>
      <c r="H7216" t="s">
        <v>17</v>
      </c>
      <c r="I7216" t="str">
        <f>"062927010452"</f>
        <v>062927010452</v>
      </c>
    </row>
    <row r="7217" spans="1:9" x14ac:dyDescent="0.25">
      <c r="A7217" t="s">
        <v>6287</v>
      </c>
      <c r="B7217" t="s">
        <v>13</v>
      </c>
      <c r="C7217">
        <v>67.44</v>
      </c>
      <c r="D7217">
        <v>69.489999999999995</v>
      </c>
      <c r="E7217" t="s">
        <v>17</v>
      </c>
      <c r="F7217">
        <v>26.76</v>
      </c>
      <c r="G7217">
        <v>25.82</v>
      </c>
      <c r="H7217" t="s">
        <v>17</v>
      </c>
      <c r="I7217" t="str">
        <f>"061488001868"</f>
        <v>061488001868</v>
      </c>
    </row>
    <row r="7218" spans="1:9" x14ac:dyDescent="0.25">
      <c r="A7218" t="s">
        <v>6288</v>
      </c>
      <c r="B7218" t="s">
        <v>13</v>
      </c>
      <c r="C7218">
        <v>4</v>
      </c>
      <c r="D7218">
        <v>4</v>
      </c>
      <c r="E7218" t="s">
        <v>17</v>
      </c>
      <c r="F7218">
        <v>9.25</v>
      </c>
      <c r="G7218">
        <v>7.5</v>
      </c>
      <c r="H7218" t="s">
        <v>17</v>
      </c>
      <c r="I7218" t="str">
        <f>"062961007813"</f>
        <v>062961007813</v>
      </c>
    </row>
    <row r="7219" spans="1:9" x14ac:dyDescent="0.25">
      <c r="A7219" t="s">
        <v>6289</v>
      </c>
      <c r="B7219" t="s">
        <v>13</v>
      </c>
      <c r="C7219">
        <v>60</v>
      </c>
      <c r="D7219">
        <v>58.2</v>
      </c>
      <c r="E7219" t="s">
        <v>17</v>
      </c>
      <c r="F7219">
        <v>22.4</v>
      </c>
      <c r="G7219">
        <v>21.92</v>
      </c>
      <c r="H7219" t="s">
        <v>17</v>
      </c>
      <c r="I7219" t="str">
        <f>"062271003261"</f>
        <v>062271003261</v>
      </c>
    </row>
    <row r="7220" spans="1:9" x14ac:dyDescent="0.25">
      <c r="A7220" t="s">
        <v>6290</v>
      </c>
      <c r="B7220" t="s">
        <v>13</v>
      </c>
      <c r="C7220">
        <v>75</v>
      </c>
      <c r="D7220">
        <v>81</v>
      </c>
      <c r="E7220" t="s">
        <v>17</v>
      </c>
      <c r="F7220">
        <v>20.77</v>
      </c>
      <c r="G7220">
        <v>20.059999999999999</v>
      </c>
      <c r="H7220" t="s">
        <v>17</v>
      </c>
      <c r="I7220" t="str">
        <f>"062271003263"</f>
        <v>062271003263</v>
      </c>
    </row>
    <row r="7221" spans="1:9" x14ac:dyDescent="0.25">
      <c r="A7221" t="s">
        <v>6291</v>
      </c>
      <c r="B7221" t="s">
        <v>13</v>
      </c>
      <c r="C7221">
        <v>14.61</v>
      </c>
      <c r="D7221">
        <v>14.11</v>
      </c>
      <c r="E7221" t="s">
        <v>17</v>
      </c>
      <c r="F7221">
        <v>28.47</v>
      </c>
      <c r="G7221">
        <v>28.07</v>
      </c>
      <c r="H7221" t="s">
        <v>17</v>
      </c>
      <c r="I7221" t="str">
        <f>"062193002607"</f>
        <v>062193002607</v>
      </c>
    </row>
    <row r="7222" spans="1:9" x14ac:dyDescent="0.25">
      <c r="A7222" t="s">
        <v>6292</v>
      </c>
      <c r="B7222" t="s">
        <v>13</v>
      </c>
      <c r="C7222" t="s">
        <v>14</v>
      </c>
      <c r="D7222" t="s">
        <v>14</v>
      </c>
      <c r="E7222" t="s">
        <v>17</v>
      </c>
      <c r="F7222" t="s">
        <v>14</v>
      </c>
      <c r="G7222" t="s">
        <v>14</v>
      </c>
      <c r="H7222" t="s">
        <v>17</v>
      </c>
      <c r="I7222" t="str">
        <f>"063732012005"</f>
        <v>063732012005</v>
      </c>
    </row>
    <row r="7223" spans="1:9" x14ac:dyDescent="0.25">
      <c r="A7223" t="s">
        <v>6293</v>
      </c>
      <c r="B7223" t="s">
        <v>13</v>
      </c>
      <c r="C7223">
        <v>30</v>
      </c>
      <c r="D7223">
        <v>28.47</v>
      </c>
      <c r="E7223" t="s">
        <v>14</v>
      </c>
      <c r="F7223">
        <v>25.9</v>
      </c>
      <c r="G7223">
        <v>27.64</v>
      </c>
      <c r="H7223" t="s">
        <v>14</v>
      </c>
      <c r="I7223" t="str">
        <f>"062955012795"</f>
        <v>062955012795</v>
      </c>
    </row>
    <row r="7224" spans="1:9" x14ac:dyDescent="0.25">
      <c r="A7224" t="s">
        <v>6294</v>
      </c>
      <c r="B7224" t="s">
        <v>13</v>
      </c>
      <c r="C7224">
        <v>23</v>
      </c>
      <c r="D7224">
        <v>20.5</v>
      </c>
      <c r="E7224" t="s">
        <v>17</v>
      </c>
      <c r="F7224">
        <v>27.52</v>
      </c>
      <c r="G7224">
        <v>28.59</v>
      </c>
      <c r="H7224" t="s">
        <v>17</v>
      </c>
      <c r="I7224" t="str">
        <f>"063153004891"</f>
        <v>063153004891</v>
      </c>
    </row>
    <row r="7225" spans="1:9" x14ac:dyDescent="0.25">
      <c r="A7225" t="s">
        <v>6295</v>
      </c>
      <c r="B7225" t="s">
        <v>13</v>
      </c>
      <c r="C7225" t="s">
        <v>14</v>
      </c>
      <c r="D7225" t="s">
        <v>17</v>
      </c>
      <c r="E7225" t="s">
        <v>17</v>
      </c>
      <c r="F7225" t="s">
        <v>17</v>
      </c>
      <c r="G7225" t="s">
        <v>17</v>
      </c>
      <c r="H7225" t="s">
        <v>17</v>
      </c>
      <c r="I7225" t="str">
        <f>"063855008001"</f>
        <v>063855008001</v>
      </c>
    </row>
    <row r="7226" spans="1:9" x14ac:dyDescent="0.25">
      <c r="A7226" t="s">
        <v>6296</v>
      </c>
      <c r="B7226" t="s">
        <v>13</v>
      </c>
      <c r="C7226">
        <v>14</v>
      </c>
      <c r="D7226">
        <v>17</v>
      </c>
      <c r="E7226" t="s">
        <v>17</v>
      </c>
      <c r="F7226">
        <v>29.79</v>
      </c>
      <c r="G7226">
        <v>23.82</v>
      </c>
      <c r="H7226" t="s">
        <v>17</v>
      </c>
      <c r="I7226" t="str">
        <f>"062949004547"</f>
        <v>062949004547</v>
      </c>
    </row>
    <row r="7227" spans="1:9" x14ac:dyDescent="0.25">
      <c r="A7227" t="s">
        <v>6297</v>
      </c>
      <c r="B7227" t="s">
        <v>13</v>
      </c>
      <c r="C7227">
        <v>51.5</v>
      </c>
      <c r="D7227">
        <v>55.8</v>
      </c>
      <c r="E7227" t="s">
        <v>17</v>
      </c>
      <c r="F7227">
        <v>28.19</v>
      </c>
      <c r="G7227">
        <v>26.51</v>
      </c>
      <c r="H7227" t="s">
        <v>17</v>
      </c>
      <c r="I7227" t="str">
        <f>"062949011462"</f>
        <v>062949011462</v>
      </c>
    </row>
    <row r="7228" spans="1:9" x14ac:dyDescent="0.25">
      <c r="A7228" t="s">
        <v>6298</v>
      </c>
      <c r="B7228" t="s">
        <v>13</v>
      </c>
      <c r="C7228">
        <v>18.760000000000002</v>
      </c>
      <c r="D7228">
        <v>19.88</v>
      </c>
      <c r="E7228" t="s">
        <v>17</v>
      </c>
      <c r="F7228">
        <v>21.43</v>
      </c>
      <c r="G7228">
        <v>20.22</v>
      </c>
      <c r="H7228" t="s">
        <v>17</v>
      </c>
      <c r="I7228" t="str">
        <f>"062954004558"</f>
        <v>062954004558</v>
      </c>
    </row>
    <row r="7229" spans="1:9" x14ac:dyDescent="0.25">
      <c r="A7229" t="s">
        <v>6299</v>
      </c>
      <c r="B7229" t="s">
        <v>13</v>
      </c>
      <c r="C7229" t="s">
        <v>17</v>
      </c>
      <c r="D7229" t="s">
        <v>14</v>
      </c>
      <c r="E7229" t="s">
        <v>14</v>
      </c>
      <c r="F7229" t="s">
        <v>17</v>
      </c>
      <c r="G7229" t="s">
        <v>14</v>
      </c>
      <c r="H7229" t="s">
        <v>14</v>
      </c>
      <c r="I7229" t="str">
        <f>"062954013463"</f>
        <v>062954013463</v>
      </c>
    </row>
    <row r="7230" spans="1:9" x14ac:dyDescent="0.25">
      <c r="A7230" t="s">
        <v>6300</v>
      </c>
      <c r="B7230" t="s">
        <v>13</v>
      </c>
      <c r="C7230">
        <v>1</v>
      </c>
      <c r="D7230">
        <v>1</v>
      </c>
      <c r="E7230" t="s">
        <v>17</v>
      </c>
      <c r="F7230">
        <v>8</v>
      </c>
      <c r="G7230">
        <v>8</v>
      </c>
      <c r="H7230" t="s">
        <v>17</v>
      </c>
      <c r="I7230" t="str">
        <f>"062954007948"</f>
        <v>062954007948</v>
      </c>
    </row>
    <row r="7231" spans="1:9" x14ac:dyDescent="0.25">
      <c r="A7231" t="s">
        <v>6301</v>
      </c>
      <c r="B7231" t="s">
        <v>13</v>
      </c>
      <c r="C7231">
        <v>1</v>
      </c>
      <c r="D7231">
        <v>1</v>
      </c>
      <c r="E7231" t="s">
        <v>17</v>
      </c>
      <c r="F7231">
        <v>6</v>
      </c>
      <c r="G7231">
        <v>7</v>
      </c>
      <c r="H7231" t="s">
        <v>17</v>
      </c>
      <c r="I7231" t="str">
        <f>"062954007490"</f>
        <v>062954007490</v>
      </c>
    </row>
    <row r="7232" spans="1:9" x14ac:dyDescent="0.25">
      <c r="A7232" t="s">
        <v>6302</v>
      </c>
      <c r="B7232" t="s">
        <v>13</v>
      </c>
      <c r="C7232">
        <v>2.4</v>
      </c>
      <c r="D7232">
        <v>1</v>
      </c>
      <c r="E7232" t="s">
        <v>17</v>
      </c>
      <c r="F7232">
        <v>15</v>
      </c>
      <c r="G7232">
        <v>44</v>
      </c>
      <c r="H7232" t="s">
        <v>17</v>
      </c>
      <c r="I7232" t="str">
        <f>"060140909310"</f>
        <v>060140909310</v>
      </c>
    </row>
    <row r="7233" spans="1:9" x14ac:dyDescent="0.25">
      <c r="A7233" t="s">
        <v>6303</v>
      </c>
      <c r="B7233" t="s">
        <v>13</v>
      </c>
      <c r="C7233">
        <v>23.5</v>
      </c>
      <c r="D7233">
        <v>20.5</v>
      </c>
      <c r="E7233" t="s">
        <v>17</v>
      </c>
      <c r="F7233">
        <v>22.09</v>
      </c>
      <c r="G7233">
        <v>24.2</v>
      </c>
      <c r="H7233" t="s">
        <v>17</v>
      </c>
      <c r="I7233" t="str">
        <f>"062271003260"</f>
        <v>062271003260</v>
      </c>
    </row>
    <row r="7234" spans="1:9" x14ac:dyDescent="0.25">
      <c r="A7234" t="s">
        <v>6304</v>
      </c>
      <c r="B7234" t="s">
        <v>13</v>
      </c>
      <c r="C7234">
        <v>108.01</v>
      </c>
      <c r="D7234">
        <v>112</v>
      </c>
      <c r="E7234" t="s">
        <v>17</v>
      </c>
      <c r="F7234">
        <v>26.66</v>
      </c>
      <c r="G7234">
        <v>25.88</v>
      </c>
      <c r="H7234" t="s">
        <v>17</v>
      </c>
      <c r="I7234" t="str">
        <f>"062271004593"</f>
        <v>062271004593</v>
      </c>
    </row>
    <row r="7235" spans="1:9" x14ac:dyDescent="0.25">
      <c r="A7235" t="s">
        <v>6305</v>
      </c>
      <c r="B7235" t="s">
        <v>13</v>
      </c>
      <c r="C7235">
        <v>20.329999999999998</v>
      </c>
      <c r="D7235">
        <v>19.850000000000001</v>
      </c>
      <c r="E7235" t="s">
        <v>17</v>
      </c>
      <c r="F7235">
        <v>26.71</v>
      </c>
      <c r="G7235">
        <v>25.84</v>
      </c>
      <c r="H7235" t="s">
        <v>17</v>
      </c>
      <c r="I7235" t="str">
        <f>"060744000698"</f>
        <v>060744000698</v>
      </c>
    </row>
    <row r="7236" spans="1:9" x14ac:dyDescent="0.25">
      <c r="A7236" t="s">
        <v>6306</v>
      </c>
      <c r="B7236" t="s">
        <v>13</v>
      </c>
      <c r="C7236" t="str">
        <f>"0.83"</f>
        <v>0.83</v>
      </c>
      <c r="D7236" t="s">
        <v>17</v>
      </c>
      <c r="E7236" t="s">
        <v>17</v>
      </c>
      <c r="F7236">
        <v>13.25</v>
      </c>
      <c r="G7236" t="s">
        <v>17</v>
      </c>
      <c r="H7236" t="s">
        <v>17</v>
      </c>
      <c r="I7236" t="str">
        <f>"060702007657"</f>
        <v>060702007657</v>
      </c>
    </row>
    <row r="7237" spans="1:9" x14ac:dyDescent="0.25">
      <c r="A7237" t="s">
        <v>6307</v>
      </c>
      <c r="B7237" t="s">
        <v>13</v>
      </c>
      <c r="C7237">
        <v>2.1</v>
      </c>
      <c r="D7237">
        <v>2.1</v>
      </c>
      <c r="E7237" t="s">
        <v>17</v>
      </c>
      <c r="F7237">
        <v>6.67</v>
      </c>
      <c r="G7237">
        <v>8.1</v>
      </c>
      <c r="H7237" t="s">
        <v>17</v>
      </c>
      <c r="I7237" t="str">
        <f>"060987007658"</f>
        <v>060987007658</v>
      </c>
    </row>
    <row r="7238" spans="1:9" x14ac:dyDescent="0.25">
      <c r="A7238" t="s">
        <v>6308</v>
      </c>
      <c r="B7238" t="s">
        <v>13</v>
      </c>
      <c r="C7238">
        <v>27</v>
      </c>
      <c r="D7238">
        <v>28</v>
      </c>
      <c r="E7238" t="s">
        <v>17</v>
      </c>
      <c r="F7238">
        <v>29.52</v>
      </c>
      <c r="G7238">
        <v>28.57</v>
      </c>
      <c r="H7238" t="s">
        <v>17</v>
      </c>
      <c r="I7238" t="str">
        <f>"063417005054"</f>
        <v>063417005054</v>
      </c>
    </row>
    <row r="7239" spans="1:9" x14ac:dyDescent="0.25">
      <c r="A7239" t="s">
        <v>6308</v>
      </c>
      <c r="B7239" t="s">
        <v>13</v>
      </c>
      <c r="C7239">
        <v>23.5</v>
      </c>
      <c r="D7239">
        <v>26</v>
      </c>
      <c r="E7239" t="s">
        <v>17</v>
      </c>
      <c r="F7239">
        <v>27.83</v>
      </c>
      <c r="G7239">
        <v>26.88</v>
      </c>
      <c r="H7239" t="s">
        <v>17</v>
      </c>
      <c r="I7239" t="str">
        <f>"064140006846"</f>
        <v>064140006846</v>
      </c>
    </row>
    <row r="7240" spans="1:9" x14ac:dyDescent="0.25">
      <c r="A7240" t="s">
        <v>6309</v>
      </c>
      <c r="B7240" t="s">
        <v>13</v>
      </c>
      <c r="C7240">
        <v>2.5</v>
      </c>
      <c r="D7240">
        <v>2</v>
      </c>
      <c r="E7240" t="s">
        <v>14</v>
      </c>
      <c r="F7240">
        <v>7.2</v>
      </c>
      <c r="G7240">
        <v>8.5</v>
      </c>
      <c r="H7240" t="s">
        <v>14</v>
      </c>
      <c r="I7240" t="str">
        <f>"061632513034"</f>
        <v>061632513034</v>
      </c>
    </row>
    <row r="7241" spans="1:9" x14ac:dyDescent="0.25">
      <c r="A7241" t="s">
        <v>6310</v>
      </c>
      <c r="B7241" t="s">
        <v>13</v>
      </c>
      <c r="C7241" t="str">
        <f>"0.50"</f>
        <v>0.50</v>
      </c>
      <c r="D7241" t="str">
        <f>"0.33"</f>
        <v>0.33</v>
      </c>
      <c r="E7241" t="s">
        <v>17</v>
      </c>
      <c r="F7241">
        <v>8</v>
      </c>
      <c r="G7241">
        <v>18.18</v>
      </c>
      <c r="H7241" t="s">
        <v>17</v>
      </c>
      <c r="I7241" t="str">
        <f>"060570007302"</f>
        <v>060570007302</v>
      </c>
    </row>
    <row r="7242" spans="1:9" x14ac:dyDescent="0.25">
      <c r="A7242" t="s">
        <v>6311</v>
      </c>
      <c r="B7242" t="s">
        <v>13</v>
      </c>
      <c r="C7242">
        <v>27.21</v>
      </c>
      <c r="D7242">
        <v>27.87</v>
      </c>
      <c r="E7242" t="s">
        <v>17</v>
      </c>
      <c r="F7242">
        <v>22.97</v>
      </c>
      <c r="G7242">
        <v>21.96</v>
      </c>
      <c r="H7242" t="s">
        <v>17</v>
      </c>
      <c r="I7242" t="str">
        <f>"062013009386"</f>
        <v>062013009386</v>
      </c>
    </row>
    <row r="7243" spans="1:9" x14ac:dyDescent="0.25">
      <c r="A7243" t="s">
        <v>6312</v>
      </c>
      <c r="B7243" t="s">
        <v>13</v>
      </c>
      <c r="C7243">
        <v>45.2</v>
      </c>
      <c r="D7243">
        <v>46.2</v>
      </c>
      <c r="E7243" t="s">
        <v>17</v>
      </c>
      <c r="F7243">
        <v>29.62</v>
      </c>
      <c r="G7243">
        <v>28.12</v>
      </c>
      <c r="H7243" t="s">
        <v>17</v>
      </c>
      <c r="I7243" t="str">
        <f>"061111001231"</f>
        <v>061111001231</v>
      </c>
    </row>
    <row r="7244" spans="1:9" x14ac:dyDescent="0.25">
      <c r="A7244" t="s">
        <v>6313</v>
      </c>
      <c r="B7244" t="s">
        <v>13</v>
      </c>
      <c r="C7244">
        <v>73.7</v>
      </c>
      <c r="D7244">
        <v>73.5</v>
      </c>
      <c r="E7244" t="s">
        <v>17</v>
      </c>
      <c r="F7244">
        <v>26.85</v>
      </c>
      <c r="G7244">
        <v>27.25</v>
      </c>
      <c r="H7244" t="s">
        <v>17</v>
      </c>
      <c r="I7244" t="str">
        <f>"061111008819"</f>
        <v>061111008819</v>
      </c>
    </row>
    <row r="7245" spans="1:9" x14ac:dyDescent="0.25">
      <c r="A7245" t="s">
        <v>6314</v>
      </c>
      <c r="B7245" t="s">
        <v>13</v>
      </c>
      <c r="C7245">
        <v>33</v>
      </c>
      <c r="D7245">
        <v>32</v>
      </c>
      <c r="E7245" t="s">
        <v>17</v>
      </c>
      <c r="F7245">
        <v>21.79</v>
      </c>
      <c r="G7245">
        <v>22</v>
      </c>
      <c r="H7245" t="s">
        <v>17</v>
      </c>
      <c r="I7245" t="str">
        <f>"061035001160"</f>
        <v>061035001160</v>
      </c>
    </row>
    <row r="7246" spans="1:9" x14ac:dyDescent="0.25">
      <c r="A7246" t="s">
        <v>6314</v>
      </c>
      <c r="B7246" t="s">
        <v>13</v>
      </c>
      <c r="C7246">
        <v>18.600000000000001</v>
      </c>
      <c r="D7246">
        <v>18.600000000000001</v>
      </c>
      <c r="E7246" t="s">
        <v>17</v>
      </c>
      <c r="F7246">
        <v>21.67</v>
      </c>
      <c r="G7246">
        <v>22.69</v>
      </c>
      <c r="H7246" t="s">
        <v>17</v>
      </c>
      <c r="I7246" t="str">
        <f>"061632502060"</f>
        <v>061632502060</v>
      </c>
    </row>
    <row r="7247" spans="1:9" x14ac:dyDescent="0.25">
      <c r="A7247" t="s">
        <v>6314</v>
      </c>
      <c r="B7247" t="s">
        <v>13</v>
      </c>
      <c r="C7247">
        <v>23.8</v>
      </c>
      <c r="D7247">
        <v>27</v>
      </c>
      <c r="E7247" t="s">
        <v>17</v>
      </c>
      <c r="F7247">
        <v>26.72</v>
      </c>
      <c r="G7247">
        <v>24.7</v>
      </c>
      <c r="H7247" t="s">
        <v>17</v>
      </c>
      <c r="I7247" t="str">
        <f>"060429000388"</f>
        <v>060429000388</v>
      </c>
    </row>
    <row r="7248" spans="1:9" x14ac:dyDescent="0.25">
      <c r="A7248" t="s">
        <v>6315</v>
      </c>
      <c r="B7248" t="s">
        <v>13</v>
      </c>
      <c r="C7248">
        <v>28.33</v>
      </c>
      <c r="D7248">
        <v>28.87</v>
      </c>
      <c r="E7248" t="s">
        <v>17</v>
      </c>
      <c r="F7248">
        <v>27.43</v>
      </c>
      <c r="G7248">
        <v>26.12</v>
      </c>
      <c r="H7248" t="s">
        <v>17</v>
      </c>
      <c r="I7248" t="str">
        <f>"060261000162"</f>
        <v>060261000162</v>
      </c>
    </row>
    <row r="7249" spans="1:9" x14ac:dyDescent="0.25">
      <c r="A7249" t="s">
        <v>6316</v>
      </c>
      <c r="B7249" t="s">
        <v>13</v>
      </c>
      <c r="C7249">
        <v>43.83</v>
      </c>
      <c r="D7249">
        <v>47.85</v>
      </c>
      <c r="E7249" t="s">
        <v>17</v>
      </c>
      <c r="F7249">
        <v>27.86</v>
      </c>
      <c r="G7249">
        <v>26.6</v>
      </c>
      <c r="H7249" t="s">
        <v>17</v>
      </c>
      <c r="I7249" t="str">
        <f>"062580010278"</f>
        <v>062580010278</v>
      </c>
    </row>
    <row r="7250" spans="1:9" x14ac:dyDescent="0.25">
      <c r="A7250" t="s">
        <v>6316</v>
      </c>
      <c r="B7250" t="s">
        <v>13</v>
      </c>
      <c r="C7250" t="s">
        <v>14</v>
      </c>
      <c r="D7250">
        <v>26.6</v>
      </c>
      <c r="E7250" t="s">
        <v>17</v>
      </c>
      <c r="F7250" t="s">
        <v>17</v>
      </c>
      <c r="G7250">
        <v>22.22</v>
      </c>
      <c r="H7250" t="s">
        <v>17</v>
      </c>
      <c r="I7250" t="str">
        <f>"062133002553"</f>
        <v>062133002553</v>
      </c>
    </row>
    <row r="7251" spans="1:9" x14ac:dyDescent="0.25">
      <c r="A7251" t="s">
        <v>6317</v>
      </c>
      <c r="B7251" t="s">
        <v>13</v>
      </c>
      <c r="C7251">
        <v>74.91</v>
      </c>
      <c r="D7251">
        <v>80.5</v>
      </c>
      <c r="E7251" t="s">
        <v>17</v>
      </c>
      <c r="F7251">
        <v>27.93</v>
      </c>
      <c r="G7251">
        <v>26.88</v>
      </c>
      <c r="H7251" t="s">
        <v>17</v>
      </c>
      <c r="I7251" t="str">
        <f>"062955004569"</f>
        <v>062955004569</v>
      </c>
    </row>
    <row r="7252" spans="1:9" x14ac:dyDescent="0.25">
      <c r="A7252" t="s">
        <v>6318</v>
      </c>
      <c r="B7252" t="s">
        <v>13</v>
      </c>
      <c r="C7252">
        <v>29.03</v>
      </c>
      <c r="D7252">
        <v>35.01</v>
      </c>
      <c r="E7252" t="s">
        <v>17</v>
      </c>
      <c r="F7252">
        <v>27.56</v>
      </c>
      <c r="G7252">
        <v>24.59</v>
      </c>
      <c r="H7252" t="s">
        <v>17</v>
      </c>
      <c r="I7252" t="str">
        <f>"062958009421"</f>
        <v>062958009421</v>
      </c>
    </row>
    <row r="7253" spans="1:9" x14ac:dyDescent="0.25">
      <c r="A7253" t="s">
        <v>6319</v>
      </c>
      <c r="B7253" t="s">
        <v>13</v>
      </c>
      <c r="C7253">
        <v>24</v>
      </c>
      <c r="D7253">
        <v>27.05</v>
      </c>
      <c r="E7253" t="s">
        <v>17</v>
      </c>
      <c r="F7253">
        <v>26.75</v>
      </c>
      <c r="G7253">
        <v>23.59</v>
      </c>
      <c r="H7253" t="s">
        <v>17</v>
      </c>
      <c r="I7253" t="str">
        <f>"060907000926"</f>
        <v>060907000926</v>
      </c>
    </row>
    <row r="7254" spans="1:9" x14ac:dyDescent="0.25">
      <c r="A7254" t="s">
        <v>6320</v>
      </c>
      <c r="B7254" t="s">
        <v>13</v>
      </c>
      <c r="C7254">
        <v>14.55</v>
      </c>
      <c r="D7254">
        <v>16.7</v>
      </c>
      <c r="E7254" t="s">
        <v>17</v>
      </c>
      <c r="F7254">
        <v>24.6</v>
      </c>
      <c r="G7254">
        <v>20.96</v>
      </c>
      <c r="H7254" t="s">
        <v>17</v>
      </c>
      <c r="I7254" t="str">
        <f>"062586003889"</f>
        <v>062586003889</v>
      </c>
    </row>
    <row r="7255" spans="1:9" x14ac:dyDescent="0.25">
      <c r="A7255" t="s">
        <v>6321</v>
      </c>
      <c r="B7255" t="s">
        <v>13</v>
      </c>
      <c r="C7255">
        <v>19.5</v>
      </c>
      <c r="D7255">
        <v>23.15</v>
      </c>
      <c r="E7255" t="s">
        <v>17</v>
      </c>
      <c r="F7255">
        <v>28.72</v>
      </c>
      <c r="G7255">
        <v>24.36</v>
      </c>
      <c r="H7255" t="s">
        <v>17</v>
      </c>
      <c r="I7255" t="str">
        <f>"061674002126"</f>
        <v>061674002126</v>
      </c>
    </row>
    <row r="7256" spans="1:9" x14ac:dyDescent="0.25">
      <c r="A7256" t="s">
        <v>6322</v>
      </c>
      <c r="B7256" t="s">
        <v>13</v>
      </c>
      <c r="C7256">
        <v>20.010000000000002</v>
      </c>
      <c r="D7256" t="s">
        <v>14</v>
      </c>
      <c r="E7256" t="s">
        <v>14</v>
      </c>
      <c r="F7256">
        <v>26.54</v>
      </c>
      <c r="G7256" t="s">
        <v>14</v>
      </c>
      <c r="H7256" t="s">
        <v>14</v>
      </c>
      <c r="I7256" t="str">
        <f>"062958013029"</f>
        <v>062958013029</v>
      </c>
    </row>
    <row r="7257" spans="1:9" x14ac:dyDescent="0.25">
      <c r="A7257" t="s">
        <v>6323</v>
      </c>
      <c r="B7257" t="s">
        <v>13</v>
      </c>
      <c r="C7257">
        <v>126.3</v>
      </c>
      <c r="D7257">
        <v>130.9</v>
      </c>
      <c r="E7257" t="s">
        <v>17</v>
      </c>
      <c r="F7257">
        <v>22.94</v>
      </c>
      <c r="G7257">
        <v>23.47</v>
      </c>
      <c r="H7257" t="s">
        <v>17</v>
      </c>
      <c r="I7257" t="str">
        <f>"060282000205"</f>
        <v>060282000205</v>
      </c>
    </row>
    <row r="7258" spans="1:9" x14ac:dyDescent="0.25">
      <c r="A7258" t="s">
        <v>6324</v>
      </c>
      <c r="B7258" t="s">
        <v>13</v>
      </c>
      <c r="C7258">
        <v>34</v>
      </c>
      <c r="D7258">
        <v>33</v>
      </c>
      <c r="E7258" t="s">
        <v>17</v>
      </c>
      <c r="F7258">
        <v>23.82</v>
      </c>
      <c r="G7258">
        <v>25</v>
      </c>
      <c r="H7258" t="s">
        <v>17</v>
      </c>
      <c r="I7258" t="str">
        <f>"062958002169"</f>
        <v>062958002169</v>
      </c>
    </row>
    <row r="7259" spans="1:9" x14ac:dyDescent="0.25">
      <c r="A7259" t="s">
        <v>6325</v>
      </c>
      <c r="B7259" t="s">
        <v>13</v>
      </c>
      <c r="C7259">
        <v>27.5</v>
      </c>
      <c r="D7259">
        <v>27</v>
      </c>
      <c r="E7259" t="s">
        <v>17</v>
      </c>
      <c r="F7259">
        <v>21.42</v>
      </c>
      <c r="G7259">
        <v>21.67</v>
      </c>
      <c r="H7259" t="s">
        <v>17</v>
      </c>
      <c r="I7259" t="str">
        <f>"062667004050"</f>
        <v>062667004050</v>
      </c>
    </row>
    <row r="7260" spans="1:9" x14ac:dyDescent="0.25">
      <c r="A7260" t="s">
        <v>6326</v>
      </c>
      <c r="B7260" t="s">
        <v>13</v>
      </c>
      <c r="C7260">
        <v>32.83</v>
      </c>
      <c r="D7260">
        <v>31.58</v>
      </c>
      <c r="E7260" t="s">
        <v>17</v>
      </c>
      <c r="F7260">
        <v>28.48</v>
      </c>
      <c r="G7260">
        <v>28.63</v>
      </c>
      <c r="H7260" t="s">
        <v>17</v>
      </c>
      <c r="I7260" t="str">
        <f>"061392001597"</f>
        <v>061392001597</v>
      </c>
    </row>
    <row r="7261" spans="1:9" x14ac:dyDescent="0.25">
      <c r="A7261" t="s">
        <v>6327</v>
      </c>
      <c r="B7261" t="s">
        <v>13</v>
      </c>
      <c r="C7261">
        <v>11</v>
      </c>
      <c r="D7261">
        <v>11</v>
      </c>
      <c r="E7261" t="s">
        <v>17</v>
      </c>
      <c r="F7261">
        <v>8.09</v>
      </c>
      <c r="G7261">
        <v>8.36</v>
      </c>
      <c r="H7261" t="s">
        <v>17</v>
      </c>
      <c r="I7261" t="str">
        <f>"069102711051"</f>
        <v>069102711051</v>
      </c>
    </row>
    <row r="7262" spans="1:9" x14ac:dyDescent="0.25">
      <c r="A7262" t="s">
        <v>6328</v>
      </c>
      <c r="B7262" t="s">
        <v>13</v>
      </c>
      <c r="C7262">
        <v>25.75</v>
      </c>
      <c r="D7262">
        <v>25.75</v>
      </c>
      <c r="E7262" t="s">
        <v>17</v>
      </c>
      <c r="F7262">
        <v>26.29</v>
      </c>
      <c r="G7262">
        <v>23.96</v>
      </c>
      <c r="H7262" t="s">
        <v>17</v>
      </c>
      <c r="I7262" t="str">
        <f>"062825004370"</f>
        <v>062825004370</v>
      </c>
    </row>
    <row r="7263" spans="1:9" x14ac:dyDescent="0.25">
      <c r="A7263" t="s">
        <v>6329</v>
      </c>
      <c r="B7263" t="s">
        <v>13</v>
      </c>
      <c r="C7263">
        <v>33</v>
      </c>
      <c r="D7263">
        <v>33</v>
      </c>
      <c r="E7263" t="s">
        <v>17</v>
      </c>
      <c r="F7263">
        <v>26.88</v>
      </c>
      <c r="G7263">
        <v>26.73</v>
      </c>
      <c r="H7263" t="s">
        <v>17</v>
      </c>
      <c r="I7263" t="str">
        <f>"063018003601"</f>
        <v>063018003601</v>
      </c>
    </row>
    <row r="7264" spans="1:9" x14ac:dyDescent="0.25">
      <c r="A7264" t="s">
        <v>6329</v>
      </c>
      <c r="B7264" t="s">
        <v>13</v>
      </c>
      <c r="C7264">
        <v>19</v>
      </c>
      <c r="D7264">
        <v>20</v>
      </c>
      <c r="E7264" t="s">
        <v>17</v>
      </c>
      <c r="F7264">
        <v>21.05</v>
      </c>
      <c r="G7264">
        <v>20.6</v>
      </c>
      <c r="H7264" t="s">
        <v>17</v>
      </c>
      <c r="I7264" t="str">
        <f>"062271003266"</f>
        <v>062271003266</v>
      </c>
    </row>
    <row r="7265" spans="1:9" x14ac:dyDescent="0.25">
      <c r="A7265" t="s">
        <v>6329</v>
      </c>
      <c r="B7265" t="s">
        <v>13</v>
      </c>
      <c r="C7265">
        <v>25</v>
      </c>
      <c r="D7265">
        <v>23.6</v>
      </c>
      <c r="E7265" t="s">
        <v>17</v>
      </c>
      <c r="F7265">
        <v>22.8</v>
      </c>
      <c r="G7265">
        <v>23.69</v>
      </c>
      <c r="H7265" t="s">
        <v>17</v>
      </c>
      <c r="I7265" t="str">
        <f>"060162000025"</f>
        <v>060162000025</v>
      </c>
    </row>
    <row r="7266" spans="1:9" x14ac:dyDescent="0.25">
      <c r="A7266" t="s">
        <v>6330</v>
      </c>
      <c r="B7266" t="s">
        <v>13</v>
      </c>
      <c r="C7266">
        <v>61.33</v>
      </c>
      <c r="D7266">
        <v>65.2</v>
      </c>
      <c r="E7266" t="s">
        <v>17</v>
      </c>
      <c r="F7266">
        <v>26.09</v>
      </c>
      <c r="G7266">
        <v>26.33</v>
      </c>
      <c r="H7266" t="s">
        <v>17</v>
      </c>
      <c r="I7266" t="str">
        <f>"062271003267"</f>
        <v>062271003267</v>
      </c>
    </row>
    <row r="7267" spans="1:9" x14ac:dyDescent="0.25">
      <c r="A7267" t="s">
        <v>6331</v>
      </c>
      <c r="B7267" t="s">
        <v>13</v>
      </c>
      <c r="C7267">
        <v>21.45</v>
      </c>
      <c r="D7267">
        <v>22.45</v>
      </c>
      <c r="E7267" t="s">
        <v>17</v>
      </c>
      <c r="F7267">
        <v>24.15</v>
      </c>
      <c r="G7267">
        <v>24.41</v>
      </c>
      <c r="H7267" t="s">
        <v>17</v>
      </c>
      <c r="I7267" t="str">
        <f>"062865004442"</f>
        <v>062865004442</v>
      </c>
    </row>
    <row r="7268" spans="1:9" x14ac:dyDescent="0.25">
      <c r="A7268" t="s">
        <v>6332</v>
      </c>
      <c r="B7268" t="s">
        <v>13</v>
      </c>
      <c r="C7268">
        <v>108.08</v>
      </c>
      <c r="D7268">
        <v>104.35</v>
      </c>
      <c r="E7268" t="s">
        <v>17</v>
      </c>
      <c r="F7268">
        <v>18.11</v>
      </c>
      <c r="G7268">
        <v>18.079999999999998</v>
      </c>
      <c r="H7268" t="s">
        <v>17</v>
      </c>
      <c r="I7268" t="str">
        <f>"062961004596"</f>
        <v>062961004596</v>
      </c>
    </row>
    <row r="7269" spans="1:9" x14ac:dyDescent="0.25">
      <c r="A7269" t="s">
        <v>6333</v>
      </c>
      <c r="B7269" t="s">
        <v>13</v>
      </c>
      <c r="C7269">
        <v>18.78</v>
      </c>
      <c r="D7269">
        <v>20.28</v>
      </c>
      <c r="E7269" t="s">
        <v>17</v>
      </c>
      <c r="F7269">
        <v>22.36</v>
      </c>
      <c r="G7269">
        <v>20.56</v>
      </c>
      <c r="H7269" t="s">
        <v>17</v>
      </c>
      <c r="I7269" t="str">
        <f>"062961004597"</f>
        <v>062961004597</v>
      </c>
    </row>
    <row r="7270" spans="1:9" x14ac:dyDescent="0.25">
      <c r="A7270" t="s">
        <v>6333</v>
      </c>
      <c r="B7270" t="s">
        <v>13</v>
      </c>
      <c r="C7270">
        <v>22</v>
      </c>
      <c r="D7270">
        <v>22</v>
      </c>
      <c r="E7270" t="s">
        <v>17</v>
      </c>
      <c r="F7270">
        <v>24.23</v>
      </c>
      <c r="G7270">
        <v>25.23</v>
      </c>
      <c r="H7270" t="s">
        <v>17</v>
      </c>
      <c r="I7270" t="str">
        <f>"062967004605"</f>
        <v>062967004605</v>
      </c>
    </row>
    <row r="7271" spans="1:9" x14ac:dyDescent="0.25">
      <c r="A7271" t="s">
        <v>6334</v>
      </c>
      <c r="B7271" t="s">
        <v>13</v>
      </c>
      <c r="C7271">
        <v>38.840000000000003</v>
      </c>
      <c r="D7271">
        <v>43.2</v>
      </c>
      <c r="E7271" t="s">
        <v>17</v>
      </c>
      <c r="F7271">
        <v>24.59</v>
      </c>
      <c r="G7271">
        <v>22.11</v>
      </c>
      <c r="H7271" t="s">
        <v>17</v>
      </c>
      <c r="I7271" t="str">
        <f>"062964004602"</f>
        <v>062964004602</v>
      </c>
    </row>
    <row r="7272" spans="1:9" x14ac:dyDescent="0.25">
      <c r="A7272" t="s">
        <v>6335</v>
      </c>
      <c r="B7272" t="s">
        <v>13</v>
      </c>
      <c r="C7272">
        <v>1</v>
      </c>
      <c r="D7272">
        <v>1</v>
      </c>
      <c r="E7272" t="s">
        <v>17</v>
      </c>
      <c r="F7272">
        <v>17</v>
      </c>
      <c r="G7272">
        <v>10</v>
      </c>
      <c r="H7272" t="s">
        <v>17</v>
      </c>
      <c r="I7272" t="str">
        <f>"062964012092"</f>
        <v>062964012092</v>
      </c>
    </row>
    <row r="7273" spans="1:9" x14ac:dyDescent="0.25">
      <c r="A7273" t="s">
        <v>6336</v>
      </c>
      <c r="B7273" t="s">
        <v>13</v>
      </c>
      <c r="C7273">
        <v>35</v>
      </c>
      <c r="D7273">
        <v>31</v>
      </c>
      <c r="E7273" t="s">
        <v>17</v>
      </c>
      <c r="F7273">
        <v>27.77</v>
      </c>
      <c r="G7273">
        <v>29.77</v>
      </c>
      <c r="H7273" t="s">
        <v>17</v>
      </c>
      <c r="I7273" t="str">
        <f>"063488010068"</f>
        <v>063488010068</v>
      </c>
    </row>
    <row r="7274" spans="1:9" x14ac:dyDescent="0.25">
      <c r="A7274" t="s">
        <v>6336</v>
      </c>
      <c r="B7274" t="s">
        <v>13</v>
      </c>
      <c r="C7274">
        <v>24.7</v>
      </c>
      <c r="D7274">
        <v>28.5</v>
      </c>
      <c r="E7274" t="s">
        <v>17</v>
      </c>
      <c r="F7274">
        <v>28.5</v>
      </c>
      <c r="G7274">
        <v>22.32</v>
      </c>
      <c r="H7274" t="s">
        <v>17</v>
      </c>
      <c r="I7274" t="str">
        <f>"060002805012"</f>
        <v>060002805012</v>
      </c>
    </row>
    <row r="7275" spans="1:9" x14ac:dyDescent="0.25">
      <c r="A7275" t="s">
        <v>6337</v>
      </c>
      <c r="B7275" t="s">
        <v>13</v>
      </c>
      <c r="C7275">
        <v>91.95</v>
      </c>
      <c r="D7275">
        <v>93.8</v>
      </c>
      <c r="E7275" t="s">
        <v>17</v>
      </c>
      <c r="F7275">
        <v>29.67</v>
      </c>
      <c r="G7275">
        <v>28.72</v>
      </c>
      <c r="H7275" t="s">
        <v>17</v>
      </c>
      <c r="I7275" t="str">
        <f>"063021004992"</f>
        <v>063021004992</v>
      </c>
    </row>
    <row r="7276" spans="1:9" x14ac:dyDescent="0.25">
      <c r="A7276" t="s">
        <v>6338</v>
      </c>
      <c r="B7276" t="s">
        <v>13</v>
      </c>
      <c r="C7276">
        <v>19</v>
      </c>
      <c r="D7276">
        <v>18</v>
      </c>
      <c r="E7276" t="s">
        <v>17</v>
      </c>
      <c r="F7276">
        <v>18.47</v>
      </c>
      <c r="G7276">
        <v>19.72</v>
      </c>
      <c r="H7276" t="s">
        <v>17</v>
      </c>
      <c r="I7276" t="str">
        <f>"060861000871"</f>
        <v>060861000871</v>
      </c>
    </row>
    <row r="7277" spans="1:9" x14ac:dyDescent="0.25">
      <c r="A7277" t="s">
        <v>6339</v>
      </c>
      <c r="B7277" t="s">
        <v>13</v>
      </c>
      <c r="C7277">
        <v>23.9</v>
      </c>
      <c r="D7277">
        <v>22.89</v>
      </c>
      <c r="E7277" t="s">
        <v>17</v>
      </c>
      <c r="F7277">
        <v>15.61</v>
      </c>
      <c r="G7277">
        <v>17.39</v>
      </c>
      <c r="H7277" t="s">
        <v>17</v>
      </c>
      <c r="I7277" t="str">
        <f>"063864006490"</f>
        <v>063864006490</v>
      </c>
    </row>
    <row r="7278" spans="1:9" x14ac:dyDescent="0.25">
      <c r="A7278" t="s">
        <v>6340</v>
      </c>
      <c r="B7278" t="s">
        <v>13</v>
      </c>
      <c r="C7278" t="s">
        <v>14</v>
      </c>
      <c r="D7278">
        <v>4.9000000000000004</v>
      </c>
      <c r="E7278" t="s">
        <v>17</v>
      </c>
      <c r="F7278" t="s">
        <v>17</v>
      </c>
      <c r="G7278">
        <v>13.47</v>
      </c>
      <c r="H7278" t="s">
        <v>17</v>
      </c>
      <c r="I7278" t="str">
        <f>"064119009458"</f>
        <v>064119009458</v>
      </c>
    </row>
    <row r="7279" spans="1:9" x14ac:dyDescent="0.25">
      <c r="A7279" t="s">
        <v>6341</v>
      </c>
      <c r="B7279" t="s">
        <v>13</v>
      </c>
      <c r="C7279">
        <v>25.5</v>
      </c>
      <c r="D7279">
        <v>17.5</v>
      </c>
      <c r="E7279" t="s">
        <v>17</v>
      </c>
      <c r="F7279">
        <v>17.45</v>
      </c>
      <c r="G7279">
        <v>22.34</v>
      </c>
      <c r="H7279" t="s">
        <v>17</v>
      </c>
      <c r="I7279" t="str">
        <f>"063132004855"</f>
        <v>063132004855</v>
      </c>
    </row>
    <row r="7280" spans="1:9" x14ac:dyDescent="0.25">
      <c r="A7280" t="s">
        <v>6342</v>
      </c>
      <c r="B7280" t="s">
        <v>13</v>
      </c>
      <c r="C7280">
        <v>6.32</v>
      </c>
      <c r="D7280">
        <v>6.45</v>
      </c>
      <c r="E7280" t="s">
        <v>17</v>
      </c>
      <c r="F7280">
        <v>24.84</v>
      </c>
      <c r="G7280">
        <v>22.48</v>
      </c>
      <c r="H7280" t="s">
        <v>17</v>
      </c>
      <c r="I7280" t="str">
        <f>"060780000747"</f>
        <v>060780000747</v>
      </c>
    </row>
    <row r="7281" spans="1:9" x14ac:dyDescent="0.25">
      <c r="A7281" t="s">
        <v>6343</v>
      </c>
      <c r="B7281" t="s">
        <v>13</v>
      </c>
      <c r="C7281" t="s">
        <v>17</v>
      </c>
      <c r="D7281" t="s">
        <v>17</v>
      </c>
      <c r="E7281" t="s">
        <v>17</v>
      </c>
      <c r="F7281" t="s">
        <v>17</v>
      </c>
      <c r="G7281" t="s">
        <v>17</v>
      </c>
      <c r="H7281" t="s">
        <v>17</v>
      </c>
      <c r="I7281" t="str">
        <f>"063462007851"</f>
        <v>063462007851</v>
      </c>
    </row>
    <row r="7282" spans="1:9" x14ac:dyDescent="0.25">
      <c r="A7282" t="s">
        <v>6344</v>
      </c>
      <c r="B7282" t="s">
        <v>13</v>
      </c>
      <c r="C7282">
        <v>73.099999999999994</v>
      </c>
      <c r="D7282">
        <v>70.81</v>
      </c>
      <c r="E7282" t="s">
        <v>17</v>
      </c>
      <c r="F7282">
        <v>24.61</v>
      </c>
      <c r="G7282">
        <v>23.94</v>
      </c>
      <c r="H7282" t="s">
        <v>17</v>
      </c>
      <c r="I7282" t="str">
        <f>"062970010532"</f>
        <v>062970010532</v>
      </c>
    </row>
    <row r="7283" spans="1:9" x14ac:dyDescent="0.25">
      <c r="A7283" t="s">
        <v>6345</v>
      </c>
      <c r="B7283" t="s">
        <v>13</v>
      </c>
      <c r="C7283">
        <v>37.15</v>
      </c>
      <c r="D7283">
        <v>35.75</v>
      </c>
      <c r="E7283" t="s">
        <v>17</v>
      </c>
      <c r="F7283">
        <v>26.89</v>
      </c>
      <c r="G7283">
        <v>27.36</v>
      </c>
      <c r="H7283" t="s">
        <v>17</v>
      </c>
      <c r="I7283" t="str">
        <f>"062970004610"</f>
        <v>062970004610</v>
      </c>
    </row>
    <row r="7284" spans="1:9" x14ac:dyDescent="0.25">
      <c r="A7284" t="s">
        <v>6346</v>
      </c>
      <c r="B7284" t="s">
        <v>13</v>
      </c>
      <c r="C7284">
        <v>94.1</v>
      </c>
      <c r="D7284">
        <v>94.81</v>
      </c>
      <c r="E7284" t="s">
        <v>17</v>
      </c>
      <c r="F7284">
        <v>26.77</v>
      </c>
      <c r="G7284">
        <v>26.79</v>
      </c>
      <c r="H7284" t="s">
        <v>17</v>
      </c>
      <c r="I7284" t="str">
        <f>"062970010246"</f>
        <v>062970010246</v>
      </c>
    </row>
    <row r="7285" spans="1:9" x14ac:dyDescent="0.25">
      <c r="A7285" t="s">
        <v>6347</v>
      </c>
      <c r="B7285" t="s">
        <v>13</v>
      </c>
      <c r="C7285">
        <v>24.33</v>
      </c>
      <c r="D7285">
        <v>21.04</v>
      </c>
      <c r="E7285" t="s">
        <v>17</v>
      </c>
      <c r="F7285">
        <v>27.54</v>
      </c>
      <c r="G7285">
        <v>30.85</v>
      </c>
      <c r="H7285" t="s">
        <v>17</v>
      </c>
      <c r="I7285" t="str">
        <f>"060639009329"</f>
        <v>060639009329</v>
      </c>
    </row>
    <row r="7286" spans="1:9" x14ac:dyDescent="0.25">
      <c r="A7286" t="s">
        <v>6348</v>
      </c>
      <c r="B7286" t="s">
        <v>13</v>
      </c>
      <c r="C7286" t="str">
        <f>"0.70"</f>
        <v>0.70</v>
      </c>
      <c r="D7286" t="str">
        <f>"0.70"</f>
        <v>0.70</v>
      </c>
      <c r="E7286" t="s">
        <v>17</v>
      </c>
      <c r="F7286">
        <v>8.57</v>
      </c>
      <c r="G7286">
        <v>14.29</v>
      </c>
      <c r="H7286" t="s">
        <v>17</v>
      </c>
      <c r="I7286" t="str">
        <f>"062977004635"</f>
        <v>062977004635</v>
      </c>
    </row>
    <row r="7287" spans="1:9" x14ac:dyDescent="0.25">
      <c r="A7287" t="s">
        <v>6349</v>
      </c>
      <c r="B7287" t="s">
        <v>13</v>
      </c>
      <c r="C7287">
        <v>23</v>
      </c>
      <c r="D7287">
        <v>31</v>
      </c>
      <c r="E7287" t="s">
        <v>17</v>
      </c>
      <c r="F7287">
        <v>23.65</v>
      </c>
      <c r="G7287">
        <v>23.29</v>
      </c>
      <c r="H7287" t="s">
        <v>17</v>
      </c>
      <c r="I7287" t="str">
        <f>"062271010884"</f>
        <v>062271010884</v>
      </c>
    </row>
    <row r="7288" spans="1:9" x14ac:dyDescent="0.25">
      <c r="A7288" t="s">
        <v>6350</v>
      </c>
      <c r="B7288" t="s">
        <v>13</v>
      </c>
      <c r="C7288">
        <v>14.49</v>
      </c>
      <c r="D7288">
        <v>16</v>
      </c>
      <c r="E7288" t="s">
        <v>17</v>
      </c>
      <c r="F7288">
        <v>27.19</v>
      </c>
      <c r="G7288">
        <v>27.75</v>
      </c>
      <c r="H7288" t="s">
        <v>17</v>
      </c>
      <c r="I7288" t="str">
        <f>"062865004443"</f>
        <v>062865004443</v>
      </c>
    </row>
    <row r="7289" spans="1:9" x14ac:dyDescent="0.25">
      <c r="A7289" t="s">
        <v>6350</v>
      </c>
      <c r="B7289" t="s">
        <v>13</v>
      </c>
      <c r="C7289">
        <v>6.3</v>
      </c>
      <c r="D7289">
        <v>6.8</v>
      </c>
      <c r="E7289" t="s">
        <v>17</v>
      </c>
      <c r="F7289">
        <v>20.16</v>
      </c>
      <c r="G7289">
        <v>17.79</v>
      </c>
      <c r="H7289" t="s">
        <v>17</v>
      </c>
      <c r="I7289" t="str">
        <f>"060606000543"</f>
        <v>060606000543</v>
      </c>
    </row>
    <row r="7290" spans="1:9" x14ac:dyDescent="0.25">
      <c r="A7290" t="s">
        <v>6351</v>
      </c>
      <c r="B7290" t="s">
        <v>13</v>
      </c>
      <c r="C7290">
        <v>62.5</v>
      </c>
      <c r="D7290">
        <v>80.06</v>
      </c>
      <c r="E7290" t="s">
        <v>17</v>
      </c>
      <c r="F7290">
        <v>26.77</v>
      </c>
      <c r="G7290">
        <v>25.04</v>
      </c>
      <c r="H7290" t="s">
        <v>17</v>
      </c>
      <c r="I7290" t="str">
        <f>"062271011653"</f>
        <v>062271011653</v>
      </c>
    </row>
    <row r="7291" spans="1:9" x14ac:dyDescent="0.25">
      <c r="A7291" t="s">
        <v>6352</v>
      </c>
      <c r="B7291" t="s">
        <v>13</v>
      </c>
      <c r="C7291">
        <v>16.5</v>
      </c>
      <c r="D7291">
        <v>18.5</v>
      </c>
      <c r="E7291" t="s">
        <v>17</v>
      </c>
      <c r="F7291">
        <v>25.88</v>
      </c>
      <c r="G7291">
        <v>23.51</v>
      </c>
      <c r="H7291" t="s">
        <v>17</v>
      </c>
      <c r="I7291" t="str">
        <f>"063132010534"</f>
        <v>063132010534</v>
      </c>
    </row>
    <row r="7292" spans="1:9" x14ac:dyDescent="0.25">
      <c r="A7292" t="s">
        <v>6353</v>
      </c>
      <c r="B7292" t="s">
        <v>13</v>
      </c>
      <c r="C7292">
        <v>18</v>
      </c>
      <c r="D7292">
        <v>18</v>
      </c>
      <c r="E7292" t="s">
        <v>17</v>
      </c>
      <c r="F7292">
        <v>19.440000000000001</v>
      </c>
      <c r="G7292">
        <v>18.940000000000001</v>
      </c>
      <c r="H7292" t="s">
        <v>17</v>
      </c>
      <c r="I7292" t="str">
        <f>"062271012616"</f>
        <v>062271012616</v>
      </c>
    </row>
    <row r="7293" spans="1:9" x14ac:dyDescent="0.25">
      <c r="A7293" t="s">
        <v>6354</v>
      </c>
      <c r="B7293" t="s">
        <v>13</v>
      </c>
      <c r="C7293">
        <v>15</v>
      </c>
      <c r="D7293">
        <v>18</v>
      </c>
      <c r="E7293" t="s">
        <v>17</v>
      </c>
      <c r="F7293">
        <v>25.2</v>
      </c>
      <c r="G7293">
        <v>19.72</v>
      </c>
      <c r="H7293" t="s">
        <v>17</v>
      </c>
      <c r="I7293" t="str">
        <f>"062271010526"</f>
        <v>062271010526</v>
      </c>
    </row>
    <row r="7294" spans="1:9" x14ac:dyDescent="0.25">
      <c r="A7294" t="s">
        <v>6355</v>
      </c>
      <c r="B7294" t="s">
        <v>13</v>
      </c>
      <c r="C7294">
        <v>2</v>
      </c>
      <c r="D7294">
        <v>2</v>
      </c>
      <c r="E7294" t="s">
        <v>17</v>
      </c>
      <c r="F7294">
        <v>20.5</v>
      </c>
      <c r="G7294">
        <v>18</v>
      </c>
      <c r="H7294" t="s">
        <v>17</v>
      </c>
      <c r="I7294" t="str">
        <f>"062271012361"</f>
        <v>062271012361</v>
      </c>
    </row>
    <row r="7295" spans="1:9" x14ac:dyDescent="0.25">
      <c r="A7295" t="s">
        <v>6356</v>
      </c>
      <c r="B7295" t="s">
        <v>13</v>
      </c>
      <c r="C7295" t="s">
        <v>14</v>
      </c>
      <c r="D7295" t="s">
        <v>17</v>
      </c>
      <c r="E7295" t="s">
        <v>17</v>
      </c>
      <c r="F7295" t="s">
        <v>17</v>
      </c>
      <c r="G7295" t="s">
        <v>17</v>
      </c>
      <c r="H7295" t="s">
        <v>17</v>
      </c>
      <c r="I7295" t="str">
        <f>"062982012594"</f>
        <v>062982012594</v>
      </c>
    </row>
    <row r="7296" spans="1:9" x14ac:dyDescent="0.25">
      <c r="A7296" t="s">
        <v>6357</v>
      </c>
      <c r="B7296" t="s">
        <v>13</v>
      </c>
      <c r="C7296">
        <v>29.01</v>
      </c>
      <c r="D7296">
        <v>29.76</v>
      </c>
      <c r="E7296" t="s">
        <v>17</v>
      </c>
      <c r="F7296">
        <v>24.23</v>
      </c>
      <c r="G7296">
        <v>23.99</v>
      </c>
      <c r="H7296" t="s">
        <v>17</v>
      </c>
      <c r="I7296" t="str">
        <f>"062013002409"</f>
        <v>062013002409</v>
      </c>
    </row>
    <row r="7297" spans="1:9" x14ac:dyDescent="0.25">
      <c r="A7297" t="s">
        <v>6358</v>
      </c>
      <c r="B7297" t="s">
        <v>13</v>
      </c>
      <c r="C7297" t="s">
        <v>17</v>
      </c>
      <c r="D7297">
        <v>2.25</v>
      </c>
      <c r="E7297" t="s">
        <v>17</v>
      </c>
      <c r="F7297" t="s">
        <v>17</v>
      </c>
      <c r="G7297">
        <v>47.56</v>
      </c>
      <c r="H7297" t="s">
        <v>17</v>
      </c>
      <c r="I7297" t="str">
        <f>"062979011813"</f>
        <v>062979011813</v>
      </c>
    </row>
    <row r="7298" spans="1:9" x14ac:dyDescent="0.25">
      <c r="A7298" t="s">
        <v>6359</v>
      </c>
      <c r="B7298" t="s">
        <v>13</v>
      </c>
      <c r="C7298">
        <v>6.2</v>
      </c>
      <c r="D7298">
        <v>5.5</v>
      </c>
      <c r="E7298" t="s">
        <v>17</v>
      </c>
      <c r="F7298">
        <v>22.1</v>
      </c>
      <c r="G7298">
        <v>22.18</v>
      </c>
      <c r="H7298" t="s">
        <v>17</v>
      </c>
      <c r="I7298" t="str">
        <f>"062982004403"</f>
        <v>062982004403</v>
      </c>
    </row>
    <row r="7299" spans="1:9" x14ac:dyDescent="0.25">
      <c r="A7299" t="s">
        <v>6360</v>
      </c>
      <c r="B7299" t="s">
        <v>13</v>
      </c>
      <c r="C7299" t="str">
        <f>"0.70"</f>
        <v>0.70</v>
      </c>
      <c r="D7299" t="str">
        <f>"0.50"</f>
        <v>0.50</v>
      </c>
      <c r="E7299" t="s">
        <v>17</v>
      </c>
      <c r="F7299">
        <v>42.86</v>
      </c>
      <c r="G7299">
        <v>44</v>
      </c>
      <c r="H7299" t="s">
        <v>17</v>
      </c>
      <c r="I7299" t="str">
        <f>"062982012676"</f>
        <v>062982012676</v>
      </c>
    </row>
    <row r="7300" spans="1:9" x14ac:dyDescent="0.25">
      <c r="A7300" t="s">
        <v>6361</v>
      </c>
      <c r="B7300" t="s">
        <v>13</v>
      </c>
      <c r="C7300">
        <v>23.3</v>
      </c>
      <c r="D7300">
        <v>24.7</v>
      </c>
      <c r="E7300" t="s">
        <v>17</v>
      </c>
      <c r="F7300">
        <v>24.59</v>
      </c>
      <c r="G7300">
        <v>24.17</v>
      </c>
      <c r="H7300" t="s">
        <v>17</v>
      </c>
      <c r="I7300" t="str">
        <f>"062982004638"</f>
        <v>062982004638</v>
      </c>
    </row>
    <row r="7301" spans="1:9" x14ac:dyDescent="0.25">
      <c r="A7301" t="s">
        <v>6361</v>
      </c>
      <c r="B7301" t="s">
        <v>13</v>
      </c>
      <c r="C7301" t="s">
        <v>17</v>
      </c>
      <c r="D7301">
        <v>2.75</v>
      </c>
      <c r="E7301" t="s">
        <v>17</v>
      </c>
      <c r="F7301" t="s">
        <v>17</v>
      </c>
      <c r="G7301">
        <v>29.45</v>
      </c>
      <c r="H7301" t="s">
        <v>17</v>
      </c>
      <c r="I7301" t="str">
        <f>"062979004636"</f>
        <v>062979004636</v>
      </c>
    </row>
    <row r="7302" spans="1:9" x14ac:dyDescent="0.25">
      <c r="A7302" t="s">
        <v>6362</v>
      </c>
      <c r="B7302" t="s">
        <v>13</v>
      </c>
      <c r="C7302">
        <v>16</v>
      </c>
      <c r="D7302">
        <v>16</v>
      </c>
      <c r="E7302" t="s">
        <v>17</v>
      </c>
      <c r="F7302">
        <v>19.63</v>
      </c>
      <c r="G7302">
        <v>17.440000000000001</v>
      </c>
      <c r="H7302" t="s">
        <v>17</v>
      </c>
      <c r="I7302" t="str">
        <f>"063432005533"</f>
        <v>063432005533</v>
      </c>
    </row>
    <row r="7303" spans="1:9" x14ac:dyDescent="0.25">
      <c r="A7303" t="s">
        <v>6363</v>
      </c>
      <c r="B7303" t="s">
        <v>13</v>
      </c>
      <c r="C7303">
        <v>23.7</v>
      </c>
      <c r="D7303">
        <v>24.4</v>
      </c>
      <c r="E7303" t="s">
        <v>17</v>
      </c>
      <c r="F7303">
        <v>20.170000000000002</v>
      </c>
      <c r="G7303">
        <v>19.84</v>
      </c>
      <c r="H7303" t="s">
        <v>17</v>
      </c>
      <c r="I7303" t="str">
        <f>"062982004639"</f>
        <v>062982004639</v>
      </c>
    </row>
    <row r="7304" spans="1:9" x14ac:dyDescent="0.25">
      <c r="A7304" t="s">
        <v>6364</v>
      </c>
      <c r="B7304" t="s">
        <v>13</v>
      </c>
      <c r="C7304">
        <v>53.3</v>
      </c>
      <c r="D7304">
        <v>54.9</v>
      </c>
      <c r="E7304" t="s">
        <v>17</v>
      </c>
      <c r="F7304">
        <v>21.28</v>
      </c>
      <c r="G7304">
        <v>21.29</v>
      </c>
      <c r="H7304" t="s">
        <v>17</v>
      </c>
      <c r="I7304" t="str">
        <f>"062982004640"</f>
        <v>062982004640</v>
      </c>
    </row>
    <row r="7305" spans="1:9" x14ac:dyDescent="0.25">
      <c r="A7305" t="s">
        <v>6365</v>
      </c>
      <c r="B7305" t="s">
        <v>13</v>
      </c>
      <c r="C7305">
        <v>25.1</v>
      </c>
      <c r="D7305">
        <v>25</v>
      </c>
      <c r="E7305" t="s">
        <v>17</v>
      </c>
      <c r="F7305">
        <v>27.65</v>
      </c>
      <c r="G7305">
        <v>27.24</v>
      </c>
      <c r="H7305" t="s">
        <v>17</v>
      </c>
      <c r="I7305" t="str">
        <f>"062583003882"</f>
        <v>062583003882</v>
      </c>
    </row>
    <row r="7306" spans="1:9" x14ac:dyDescent="0.25">
      <c r="A7306" t="s">
        <v>6366</v>
      </c>
      <c r="B7306" t="s">
        <v>13</v>
      </c>
      <c r="C7306">
        <v>6.56</v>
      </c>
      <c r="D7306">
        <v>7</v>
      </c>
      <c r="E7306" t="s">
        <v>14</v>
      </c>
      <c r="F7306">
        <v>20.12</v>
      </c>
      <c r="G7306">
        <v>15.71</v>
      </c>
      <c r="H7306" t="s">
        <v>14</v>
      </c>
      <c r="I7306" t="str">
        <f>"062409012661"</f>
        <v>062409012661</v>
      </c>
    </row>
    <row r="7307" spans="1:9" x14ac:dyDescent="0.25">
      <c r="A7307" t="s">
        <v>6367</v>
      </c>
      <c r="B7307" t="s">
        <v>13</v>
      </c>
      <c r="C7307" t="s">
        <v>17</v>
      </c>
      <c r="D7307" t="s">
        <v>17</v>
      </c>
      <c r="E7307" t="s">
        <v>17</v>
      </c>
      <c r="F7307" t="s">
        <v>17</v>
      </c>
      <c r="G7307" t="s">
        <v>17</v>
      </c>
      <c r="H7307" t="s">
        <v>17</v>
      </c>
      <c r="I7307" t="str">
        <f>"069106310184"</f>
        <v>069106310184</v>
      </c>
    </row>
    <row r="7308" spans="1:9" x14ac:dyDescent="0.25">
      <c r="A7308" t="s">
        <v>6368</v>
      </c>
      <c r="B7308" t="s">
        <v>13</v>
      </c>
      <c r="C7308">
        <v>30.25</v>
      </c>
      <c r="D7308">
        <v>32.06</v>
      </c>
      <c r="E7308" t="s">
        <v>17</v>
      </c>
      <c r="F7308">
        <v>19.239999999999998</v>
      </c>
      <c r="G7308">
        <v>15.91</v>
      </c>
      <c r="H7308" t="s">
        <v>17</v>
      </c>
      <c r="I7308" t="str">
        <f>"069101212450"</f>
        <v>069101212450</v>
      </c>
    </row>
    <row r="7309" spans="1:9" x14ac:dyDescent="0.25">
      <c r="A7309" t="s">
        <v>6369</v>
      </c>
      <c r="B7309" t="s">
        <v>13</v>
      </c>
      <c r="C7309">
        <v>2</v>
      </c>
      <c r="D7309">
        <v>5</v>
      </c>
      <c r="E7309" t="s">
        <v>17</v>
      </c>
      <c r="F7309">
        <v>31</v>
      </c>
      <c r="G7309">
        <v>14.2</v>
      </c>
      <c r="H7309" t="s">
        <v>17</v>
      </c>
      <c r="I7309" t="str">
        <f>"062985012532"</f>
        <v>062985012532</v>
      </c>
    </row>
    <row r="7310" spans="1:9" x14ac:dyDescent="0.25">
      <c r="A7310" t="s">
        <v>6370</v>
      </c>
      <c r="B7310" t="s">
        <v>13</v>
      </c>
      <c r="C7310">
        <v>16.170000000000002</v>
      </c>
      <c r="D7310">
        <v>17</v>
      </c>
      <c r="E7310" t="s">
        <v>17</v>
      </c>
      <c r="F7310">
        <v>25.97</v>
      </c>
      <c r="G7310">
        <v>25.24</v>
      </c>
      <c r="H7310" t="s">
        <v>17</v>
      </c>
      <c r="I7310" t="str">
        <f>"060360000281"</f>
        <v>060360000281</v>
      </c>
    </row>
    <row r="7311" spans="1:9" x14ac:dyDescent="0.25">
      <c r="A7311" t="s">
        <v>6371</v>
      </c>
      <c r="B7311" t="s">
        <v>13</v>
      </c>
      <c r="C7311">
        <v>187.6</v>
      </c>
      <c r="D7311">
        <v>189.5</v>
      </c>
      <c r="E7311" t="s">
        <v>17</v>
      </c>
      <c r="F7311">
        <v>26.6</v>
      </c>
      <c r="G7311">
        <v>26.46</v>
      </c>
      <c r="H7311" t="s">
        <v>17</v>
      </c>
      <c r="I7311" t="str">
        <f>"062985004653"</f>
        <v>062985004653</v>
      </c>
    </row>
    <row r="7312" spans="1:9" x14ac:dyDescent="0.25">
      <c r="A7312" t="s">
        <v>6372</v>
      </c>
      <c r="B7312" t="s">
        <v>13</v>
      </c>
      <c r="C7312">
        <v>25.5</v>
      </c>
      <c r="D7312">
        <v>27</v>
      </c>
      <c r="E7312" t="s">
        <v>17</v>
      </c>
      <c r="F7312">
        <v>32.43</v>
      </c>
      <c r="G7312">
        <v>30.48</v>
      </c>
      <c r="H7312" t="s">
        <v>17</v>
      </c>
      <c r="I7312" t="str">
        <f>"062985012400"</f>
        <v>062985012400</v>
      </c>
    </row>
    <row r="7313" spans="1:9" x14ac:dyDescent="0.25">
      <c r="A7313" t="s">
        <v>6373</v>
      </c>
      <c r="B7313" t="s">
        <v>13</v>
      </c>
      <c r="C7313">
        <v>2.33</v>
      </c>
      <c r="D7313">
        <v>3</v>
      </c>
      <c r="E7313" t="s">
        <v>17</v>
      </c>
      <c r="F7313">
        <v>14.59</v>
      </c>
      <c r="G7313">
        <v>7.33</v>
      </c>
      <c r="H7313" t="s">
        <v>17</v>
      </c>
      <c r="I7313" t="str">
        <f>"062985007530"</f>
        <v>062985007530</v>
      </c>
    </row>
    <row r="7314" spans="1:9" x14ac:dyDescent="0.25">
      <c r="A7314" t="s">
        <v>6374</v>
      </c>
      <c r="B7314" t="s">
        <v>13</v>
      </c>
      <c r="C7314">
        <v>22.25</v>
      </c>
      <c r="D7314">
        <v>24</v>
      </c>
      <c r="E7314" t="s">
        <v>17</v>
      </c>
      <c r="F7314">
        <v>28.58</v>
      </c>
      <c r="G7314">
        <v>30.25</v>
      </c>
      <c r="H7314" t="s">
        <v>17</v>
      </c>
      <c r="I7314" t="str">
        <f>"061839002262"</f>
        <v>061839002262</v>
      </c>
    </row>
    <row r="7315" spans="1:9" x14ac:dyDescent="0.25">
      <c r="A7315" t="s">
        <v>6375</v>
      </c>
      <c r="B7315" t="s">
        <v>13</v>
      </c>
      <c r="C7315">
        <v>29</v>
      </c>
      <c r="D7315">
        <v>30</v>
      </c>
      <c r="E7315" t="s">
        <v>17</v>
      </c>
      <c r="F7315">
        <v>21</v>
      </c>
      <c r="G7315">
        <v>20.170000000000002</v>
      </c>
      <c r="H7315" t="s">
        <v>17</v>
      </c>
      <c r="I7315" t="str">
        <f>"062271003269"</f>
        <v>062271003269</v>
      </c>
    </row>
    <row r="7316" spans="1:9" x14ac:dyDescent="0.25">
      <c r="A7316" t="s">
        <v>6375</v>
      </c>
      <c r="B7316" t="s">
        <v>13</v>
      </c>
      <c r="C7316">
        <v>29</v>
      </c>
      <c r="D7316">
        <v>31.2</v>
      </c>
      <c r="E7316" t="s">
        <v>17</v>
      </c>
      <c r="F7316">
        <v>19.59</v>
      </c>
      <c r="G7316">
        <v>18.53</v>
      </c>
      <c r="H7316" t="s">
        <v>17</v>
      </c>
      <c r="I7316" t="str">
        <f>"064347007037"</f>
        <v>064347007037</v>
      </c>
    </row>
    <row r="7317" spans="1:9" x14ac:dyDescent="0.25">
      <c r="A7317" t="s">
        <v>6375</v>
      </c>
      <c r="B7317" t="s">
        <v>13</v>
      </c>
      <c r="C7317">
        <v>25</v>
      </c>
      <c r="D7317">
        <v>25</v>
      </c>
      <c r="E7317" t="s">
        <v>17</v>
      </c>
      <c r="F7317">
        <v>19</v>
      </c>
      <c r="G7317">
        <v>19.239999999999998</v>
      </c>
      <c r="H7317" t="s">
        <v>17</v>
      </c>
      <c r="I7317" t="str">
        <f>"063018009991"</f>
        <v>063018009991</v>
      </c>
    </row>
    <row r="7318" spans="1:9" x14ac:dyDescent="0.25">
      <c r="A7318" t="s">
        <v>6376</v>
      </c>
      <c r="B7318" t="s">
        <v>13</v>
      </c>
      <c r="C7318">
        <v>26.6</v>
      </c>
      <c r="D7318">
        <v>28</v>
      </c>
      <c r="E7318" t="s">
        <v>17</v>
      </c>
      <c r="F7318">
        <v>21.62</v>
      </c>
      <c r="G7318">
        <v>21.29</v>
      </c>
      <c r="H7318" t="s">
        <v>17</v>
      </c>
      <c r="I7318" t="str">
        <f>"061275001438"</f>
        <v>061275001438</v>
      </c>
    </row>
    <row r="7319" spans="1:9" x14ac:dyDescent="0.25">
      <c r="A7319" t="s">
        <v>6377</v>
      </c>
      <c r="B7319" t="s">
        <v>13</v>
      </c>
      <c r="C7319">
        <v>18.05</v>
      </c>
      <c r="D7319">
        <v>24.65</v>
      </c>
      <c r="E7319" t="s">
        <v>17</v>
      </c>
      <c r="F7319">
        <v>36.51</v>
      </c>
      <c r="G7319">
        <v>26.41</v>
      </c>
      <c r="H7319" t="s">
        <v>17</v>
      </c>
      <c r="I7319" t="str">
        <f>"061674002127"</f>
        <v>061674002127</v>
      </c>
    </row>
    <row r="7320" spans="1:9" x14ac:dyDescent="0.25">
      <c r="A7320" t="s">
        <v>6377</v>
      </c>
      <c r="B7320" t="s">
        <v>13</v>
      </c>
      <c r="C7320">
        <v>18.7</v>
      </c>
      <c r="D7320">
        <v>18.829999999999998</v>
      </c>
      <c r="E7320" t="s">
        <v>17</v>
      </c>
      <c r="F7320">
        <v>20.53</v>
      </c>
      <c r="G7320">
        <v>20.29</v>
      </c>
      <c r="H7320" t="s">
        <v>17</v>
      </c>
      <c r="I7320" t="str">
        <f>"062487003714"</f>
        <v>062487003714</v>
      </c>
    </row>
    <row r="7321" spans="1:9" x14ac:dyDescent="0.25">
      <c r="A7321" t="s">
        <v>6377</v>
      </c>
      <c r="B7321" t="s">
        <v>13</v>
      </c>
      <c r="C7321">
        <v>24.16</v>
      </c>
      <c r="D7321">
        <v>26.83</v>
      </c>
      <c r="E7321" t="s">
        <v>17</v>
      </c>
      <c r="F7321">
        <v>29.35</v>
      </c>
      <c r="G7321">
        <v>25.46</v>
      </c>
      <c r="H7321" t="s">
        <v>17</v>
      </c>
      <c r="I7321" t="str">
        <f>"060015310942"</f>
        <v>060015310942</v>
      </c>
    </row>
    <row r="7322" spans="1:9" x14ac:dyDescent="0.25">
      <c r="A7322" t="s">
        <v>6378</v>
      </c>
      <c r="B7322" t="s">
        <v>13</v>
      </c>
      <c r="C7322">
        <v>29</v>
      </c>
      <c r="D7322">
        <v>29</v>
      </c>
      <c r="E7322" t="s">
        <v>17</v>
      </c>
      <c r="F7322">
        <v>29.1</v>
      </c>
      <c r="G7322">
        <v>28.93</v>
      </c>
      <c r="H7322" t="s">
        <v>17</v>
      </c>
      <c r="I7322" t="str">
        <f>"063444010060"</f>
        <v>063444010060</v>
      </c>
    </row>
    <row r="7323" spans="1:9" x14ac:dyDescent="0.25">
      <c r="A7323" t="s">
        <v>6379</v>
      </c>
      <c r="B7323" t="s">
        <v>13</v>
      </c>
      <c r="C7323">
        <v>38</v>
      </c>
      <c r="D7323">
        <v>41.1</v>
      </c>
      <c r="E7323" t="s">
        <v>17</v>
      </c>
      <c r="F7323">
        <v>24.39</v>
      </c>
      <c r="G7323">
        <v>22.92</v>
      </c>
      <c r="H7323" t="s">
        <v>17</v>
      </c>
      <c r="I7323" t="str">
        <f>"060285000216"</f>
        <v>060285000216</v>
      </c>
    </row>
    <row r="7324" spans="1:9" x14ac:dyDescent="0.25">
      <c r="A7324" t="s">
        <v>6380</v>
      </c>
      <c r="B7324" t="s">
        <v>13</v>
      </c>
      <c r="C7324" t="s">
        <v>14</v>
      </c>
      <c r="D7324" t="s">
        <v>14</v>
      </c>
      <c r="E7324" t="s">
        <v>17</v>
      </c>
      <c r="F7324" t="s">
        <v>14</v>
      </c>
      <c r="G7324" t="s">
        <v>14</v>
      </c>
      <c r="H7324" t="s">
        <v>17</v>
      </c>
      <c r="I7324" t="str">
        <f>"060964001021"</f>
        <v>060964001021</v>
      </c>
    </row>
    <row r="7325" spans="1:9" x14ac:dyDescent="0.25">
      <c r="A7325" t="s">
        <v>6381</v>
      </c>
      <c r="B7325" t="s">
        <v>13</v>
      </c>
      <c r="C7325">
        <v>9.4</v>
      </c>
      <c r="D7325">
        <v>11.2</v>
      </c>
      <c r="E7325" t="s">
        <v>17</v>
      </c>
      <c r="F7325">
        <v>23.3</v>
      </c>
      <c r="G7325">
        <v>21.34</v>
      </c>
      <c r="H7325" t="s">
        <v>17</v>
      </c>
      <c r="I7325" t="str">
        <f>"063618006178"</f>
        <v>063618006178</v>
      </c>
    </row>
    <row r="7326" spans="1:9" x14ac:dyDescent="0.25">
      <c r="A7326" t="s">
        <v>6382</v>
      </c>
      <c r="B7326" t="s">
        <v>13</v>
      </c>
      <c r="C7326">
        <v>15.42</v>
      </c>
      <c r="D7326">
        <v>15</v>
      </c>
      <c r="E7326" t="s">
        <v>17</v>
      </c>
      <c r="F7326">
        <v>26.46</v>
      </c>
      <c r="G7326">
        <v>25.93</v>
      </c>
      <c r="H7326" t="s">
        <v>17</v>
      </c>
      <c r="I7326" t="str">
        <f>"063288011421"</f>
        <v>063288011421</v>
      </c>
    </row>
    <row r="7327" spans="1:9" x14ac:dyDescent="0.25">
      <c r="A7327" t="s">
        <v>6382</v>
      </c>
      <c r="B7327" t="s">
        <v>13</v>
      </c>
      <c r="C7327">
        <v>25.16</v>
      </c>
      <c r="D7327">
        <v>25.16</v>
      </c>
      <c r="E7327" t="s">
        <v>17</v>
      </c>
      <c r="F7327">
        <v>30.37</v>
      </c>
      <c r="G7327">
        <v>29.37</v>
      </c>
      <c r="H7327" t="s">
        <v>17</v>
      </c>
      <c r="I7327" t="str">
        <f>"064104006774"</f>
        <v>064104006774</v>
      </c>
    </row>
    <row r="7328" spans="1:9" x14ac:dyDescent="0.25">
      <c r="A7328" t="s">
        <v>6382</v>
      </c>
      <c r="B7328" t="s">
        <v>13</v>
      </c>
      <c r="C7328">
        <v>13</v>
      </c>
      <c r="D7328">
        <v>13.07</v>
      </c>
      <c r="E7328" t="s">
        <v>17</v>
      </c>
      <c r="F7328">
        <v>23.38</v>
      </c>
      <c r="G7328">
        <v>22.11</v>
      </c>
      <c r="H7328" t="s">
        <v>17</v>
      </c>
      <c r="I7328" t="str">
        <f>"063684006263"</f>
        <v>063684006263</v>
      </c>
    </row>
    <row r="7329" spans="1:9" x14ac:dyDescent="0.25">
      <c r="A7329" t="s">
        <v>6383</v>
      </c>
      <c r="B7329" t="s">
        <v>13</v>
      </c>
      <c r="C7329">
        <v>25</v>
      </c>
      <c r="D7329">
        <v>26.2</v>
      </c>
      <c r="E7329" t="s">
        <v>17</v>
      </c>
      <c r="F7329">
        <v>26.2</v>
      </c>
      <c r="G7329">
        <v>25.84</v>
      </c>
      <c r="H7329" t="s">
        <v>17</v>
      </c>
      <c r="I7329" t="str">
        <f>"064356001137"</f>
        <v>064356001137</v>
      </c>
    </row>
    <row r="7330" spans="1:9" x14ac:dyDescent="0.25">
      <c r="A7330" t="s">
        <v>6384</v>
      </c>
      <c r="B7330" t="s">
        <v>13</v>
      </c>
      <c r="C7330">
        <v>26</v>
      </c>
      <c r="D7330">
        <v>27</v>
      </c>
      <c r="E7330" t="s">
        <v>17</v>
      </c>
      <c r="F7330">
        <v>27.42</v>
      </c>
      <c r="G7330">
        <v>25.37</v>
      </c>
      <c r="H7330" t="s">
        <v>17</v>
      </c>
      <c r="I7330" t="str">
        <f>"063153003938"</f>
        <v>063153003938</v>
      </c>
    </row>
    <row r="7331" spans="1:9" x14ac:dyDescent="0.25">
      <c r="A7331" t="s">
        <v>6385</v>
      </c>
      <c r="B7331" t="s">
        <v>13</v>
      </c>
      <c r="C7331">
        <v>18.5</v>
      </c>
      <c r="D7331">
        <v>14</v>
      </c>
      <c r="E7331" t="s">
        <v>17</v>
      </c>
      <c r="F7331">
        <v>14.43</v>
      </c>
      <c r="G7331">
        <v>15</v>
      </c>
      <c r="H7331" t="s">
        <v>17</v>
      </c>
      <c r="I7331" t="str">
        <f>"063132004856"</f>
        <v>063132004856</v>
      </c>
    </row>
    <row r="7332" spans="1:9" x14ac:dyDescent="0.25">
      <c r="A7332" t="s">
        <v>6386</v>
      </c>
      <c r="B7332" t="s">
        <v>13</v>
      </c>
      <c r="C7332">
        <v>29.5</v>
      </c>
      <c r="D7332">
        <v>28.5</v>
      </c>
      <c r="E7332" t="s">
        <v>17</v>
      </c>
      <c r="F7332">
        <v>23.49</v>
      </c>
      <c r="G7332">
        <v>24.46</v>
      </c>
      <c r="H7332" t="s">
        <v>17</v>
      </c>
      <c r="I7332" t="str">
        <f>"062271003270"</f>
        <v>062271003270</v>
      </c>
    </row>
    <row r="7333" spans="1:9" x14ac:dyDescent="0.25">
      <c r="A7333" t="s">
        <v>6387</v>
      </c>
      <c r="B7333" t="s">
        <v>13</v>
      </c>
      <c r="C7333">
        <v>13.8</v>
      </c>
      <c r="D7333">
        <v>13</v>
      </c>
      <c r="E7333" t="s">
        <v>17</v>
      </c>
      <c r="F7333">
        <v>19.71</v>
      </c>
      <c r="G7333">
        <v>22.46</v>
      </c>
      <c r="H7333" t="s">
        <v>17</v>
      </c>
      <c r="I7333" t="str">
        <f>"063441005630"</f>
        <v>063441005630</v>
      </c>
    </row>
    <row r="7334" spans="1:9" x14ac:dyDescent="0.25">
      <c r="A7334" t="s">
        <v>6388</v>
      </c>
      <c r="B7334" t="s">
        <v>13</v>
      </c>
      <c r="C7334" t="s">
        <v>14</v>
      </c>
      <c r="D7334" t="s">
        <v>14</v>
      </c>
      <c r="E7334" t="s">
        <v>17</v>
      </c>
      <c r="F7334" t="s">
        <v>14</v>
      </c>
      <c r="G7334" t="s">
        <v>14</v>
      </c>
      <c r="H7334" t="s">
        <v>17</v>
      </c>
      <c r="I7334" t="str">
        <f>"062676004058"</f>
        <v>062676004058</v>
      </c>
    </row>
    <row r="7335" spans="1:9" x14ac:dyDescent="0.25">
      <c r="A7335" t="s">
        <v>6389</v>
      </c>
      <c r="B7335" t="s">
        <v>13</v>
      </c>
      <c r="C7335">
        <v>9</v>
      </c>
      <c r="D7335">
        <v>9</v>
      </c>
      <c r="E7335" t="s">
        <v>17</v>
      </c>
      <c r="F7335">
        <v>20</v>
      </c>
      <c r="G7335">
        <v>20.89</v>
      </c>
      <c r="H7335" t="s">
        <v>17</v>
      </c>
      <c r="I7335" t="str">
        <f>"062805004306"</f>
        <v>062805004306</v>
      </c>
    </row>
    <row r="7336" spans="1:9" x14ac:dyDescent="0.25">
      <c r="A7336" t="s">
        <v>6390</v>
      </c>
      <c r="B7336" t="s">
        <v>13</v>
      </c>
      <c r="C7336">
        <v>16.600000000000001</v>
      </c>
      <c r="D7336">
        <v>18</v>
      </c>
      <c r="E7336" t="s">
        <v>17</v>
      </c>
      <c r="F7336">
        <v>26.81</v>
      </c>
      <c r="G7336">
        <v>26.56</v>
      </c>
      <c r="H7336" t="s">
        <v>17</v>
      </c>
      <c r="I7336" t="str">
        <f>"060001309069"</f>
        <v>060001309069</v>
      </c>
    </row>
    <row r="7337" spans="1:9" x14ac:dyDescent="0.25">
      <c r="A7337" t="s">
        <v>6391</v>
      </c>
      <c r="B7337" t="s">
        <v>13</v>
      </c>
      <c r="C7337">
        <v>1</v>
      </c>
      <c r="D7337">
        <v>1</v>
      </c>
      <c r="E7337" t="s">
        <v>17</v>
      </c>
      <c r="F7337">
        <v>24</v>
      </c>
      <c r="G7337">
        <v>21</v>
      </c>
      <c r="H7337" t="s">
        <v>17</v>
      </c>
      <c r="I7337" t="str">
        <f>"063645006201"</f>
        <v>063645006201</v>
      </c>
    </row>
    <row r="7338" spans="1:9" x14ac:dyDescent="0.25">
      <c r="A7338" t="s">
        <v>6392</v>
      </c>
      <c r="B7338" t="s">
        <v>13</v>
      </c>
      <c r="C7338">
        <v>22.1</v>
      </c>
      <c r="D7338">
        <v>22.5</v>
      </c>
      <c r="E7338" t="s">
        <v>17</v>
      </c>
      <c r="F7338">
        <v>24.93</v>
      </c>
      <c r="G7338">
        <v>26.18</v>
      </c>
      <c r="H7338" t="s">
        <v>17</v>
      </c>
      <c r="I7338" t="str">
        <f>"062223008878"</f>
        <v>062223008878</v>
      </c>
    </row>
    <row r="7339" spans="1:9" x14ac:dyDescent="0.25">
      <c r="A7339" t="s">
        <v>6393</v>
      </c>
      <c r="B7339" t="s">
        <v>13</v>
      </c>
      <c r="C7339">
        <v>23.87</v>
      </c>
      <c r="D7339">
        <v>22.9</v>
      </c>
      <c r="E7339" t="s">
        <v>17</v>
      </c>
      <c r="F7339">
        <v>21.87</v>
      </c>
      <c r="G7339">
        <v>22.79</v>
      </c>
      <c r="H7339" t="s">
        <v>17</v>
      </c>
      <c r="I7339" t="str">
        <f>"064125009461"</f>
        <v>064125009461</v>
      </c>
    </row>
    <row r="7340" spans="1:9" x14ac:dyDescent="0.25">
      <c r="A7340" t="s">
        <v>6394</v>
      </c>
      <c r="B7340" t="s">
        <v>13</v>
      </c>
      <c r="C7340">
        <v>34.6</v>
      </c>
      <c r="D7340">
        <v>32</v>
      </c>
      <c r="E7340" t="s">
        <v>17</v>
      </c>
      <c r="F7340">
        <v>26.59</v>
      </c>
      <c r="G7340">
        <v>27.06</v>
      </c>
      <c r="H7340" t="s">
        <v>17</v>
      </c>
      <c r="I7340" t="str">
        <f>"061440001684"</f>
        <v>061440001684</v>
      </c>
    </row>
    <row r="7341" spans="1:9" x14ac:dyDescent="0.25">
      <c r="A7341" t="s">
        <v>6395</v>
      </c>
      <c r="B7341" t="s">
        <v>13</v>
      </c>
      <c r="C7341">
        <v>35</v>
      </c>
      <c r="D7341">
        <v>38</v>
      </c>
      <c r="E7341" t="s">
        <v>17</v>
      </c>
      <c r="F7341">
        <v>24.29</v>
      </c>
      <c r="G7341">
        <v>23.47</v>
      </c>
      <c r="H7341" t="s">
        <v>17</v>
      </c>
      <c r="I7341" t="str">
        <f>"060985001062"</f>
        <v>060985001062</v>
      </c>
    </row>
    <row r="7342" spans="1:9" x14ac:dyDescent="0.25">
      <c r="A7342" t="s">
        <v>6396</v>
      </c>
      <c r="B7342" t="s">
        <v>13</v>
      </c>
      <c r="C7342">
        <v>24</v>
      </c>
      <c r="D7342">
        <v>26</v>
      </c>
      <c r="E7342" t="s">
        <v>17</v>
      </c>
      <c r="F7342">
        <v>17.13</v>
      </c>
      <c r="G7342">
        <v>15.04</v>
      </c>
      <c r="H7342" t="s">
        <v>17</v>
      </c>
      <c r="I7342" t="str">
        <f>"063441005658"</f>
        <v>063441005658</v>
      </c>
    </row>
    <row r="7343" spans="1:9" x14ac:dyDescent="0.25">
      <c r="A7343" t="s">
        <v>6397</v>
      </c>
      <c r="B7343" t="s">
        <v>13</v>
      </c>
      <c r="C7343">
        <v>33.549999999999997</v>
      </c>
      <c r="D7343">
        <v>31.5</v>
      </c>
      <c r="E7343" t="s">
        <v>17</v>
      </c>
      <c r="F7343">
        <v>18.989999999999998</v>
      </c>
      <c r="G7343">
        <v>19.37</v>
      </c>
      <c r="H7343" t="s">
        <v>17</v>
      </c>
      <c r="I7343" t="str">
        <f>"063060004751"</f>
        <v>063060004751</v>
      </c>
    </row>
    <row r="7344" spans="1:9" x14ac:dyDescent="0.25">
      <c r="A7344" t="s">
        <v>6397</v>
      </c>
      <c r="B7344" t="s">
        <v>13</v>
      </c>
      <c r="C7344">
        <v>19.66</v>
      </c>
      <c r="D7344">
        <v>17.05</v>
      </c>
      <c r="E7344" t="s">
        <v>17</v>
      </c>
      <c r="F7344">
        <v>21.92</v>
      </c>
      <c r="G7344">
        <v>24.22</v>
      </c>
      <c r="H7344" t="s">
        <v>17</v>
      </c>
      <c r="I7344" t="str">
        <f>"063492005916"</f>
        <v>063492005916</v>
      </c>
    </row>
    <row r="7345" spans="1:9" x14ac:dyDescent="0.25">
      <c r="A7345" t="s">
        <v>6397</v>
      </c>
      <c r="B7345" t="s">
        <v>13</v>
      </c>
      <c r="C7345">
        <v>22</v>
      </c>
      <c r="D7345">
        <v>20</v>
      </c>
      <c r="E7345" t="s">
        <v>17</v>
      </c>
      <c r="F7345">
        <v>27.18</v>
      </c>
      <c r="G7345">
        <v>29.25</v>
      </c>
      <c r="H7345" t="s">
        <v>17</v>
      </c>
      <c r="I7345" t="str">
        <f>"063417005378"</f>
        <v>063417005378</v>
      </c>
    </row>
    <row r="7346" spans="1:9" x14ac:dyDescent="0.25">
      <c r="A7346" t="s">
        <v>6398</v>
      </c>
      <c r="B7346" t="s">
        <v>13</v>
      </c>
      <c r="C7346">
        <v>36.11</v>
      </c>
      <c r="D7346">
        <v>25</v>
      </c>
      <c r="E7346" t="s">
        <v>17</v>
      </c>
      <c r="F7346">
        <v>22.29</v>
      </c>
      <c r="G7346">
        <v>19.079999999999998</v>
      </c>
      <c r="H7346" t="s">
        <v>17</v>
      </c>
      <c r="I7346" t="str">
        <f>"063423005398"</f>
        <v>063423005398</v>
      </c>
    </row>
    <row r="7347" spans="1:9" x14ac:dyDescent="0.25">
      <c r="A7347" t="s">
        <v>6399</v>
      </c>
      <c r="B7347" t="s">
        <v>13</v>
      </c>
      <c r="C7347">
        <v>7</v>
      </c>
      <c r="D7347">
        <v>7</v>
      </c>
      <c r="E7347" t="s">
        <v>17</v>
      </c>
      <c r="F7347">
        <v>28.43</v>
      </c>
      <c r="G7347">
        <v>29.29</v>
      </c>
      <c r="H7347" t="s">
        <v>17</v>
      </c>
      <c r="I7347" t="str">
        <f>"063066008754"</f>
        <v>063066008754</v>
      </c>
    </row>
    <row r="7348" spans="1:9" x14ac:dyDescent="0.25">
      <c r="A7348" t="s">
        <v>6400</v>
      </c>
      <c r="B7348" t="s">
        <v>13</v>
      </c>
      <c r="C7348">
        <v>27</v>
      </c>
      <c r="D7348">
        <v>27</v>
      </c>
      <c r="E7348" t="s">
        <v>17</v>
      </c>
      <c r="F7348">
        <v>27.78</v>
      </c>
      <c r="G7348">
        <v>27.41</v>
      </c>
      <c r="H7348" t="s">
        <v>17</v>
      </c>
      <c r="I7348" t="str">
        <f>"061785002205"</f>
        <v>061785002205</v>
      </c>
    </row>
    <row r="7349" spans="1:9" x14ac:dyDescent="0.25">
      <c r="A7349" t="s">
        <v>6400</v>
      </c>
      <c r="B7349" t="s">
        <v>13</v>
      </c>
      <c r="C7349">
        <v>30.2</v>
      </c>
      <c r="D7349">
        <v>31</v>
      </c>
      <c r="E7349" t="s">
        <v>17</v>
      </c>
      <c r="F7349">
        <v>29.37</v>
      </c>
      <c r="G7349">
        <v>28.84</v>
      </c>
      <c r="H7349" t="s">
        <v>17</v>
      </c>
      <c r="I7349" t="str">
        <f>"062619003919"</f>
        <v>062619003919</v>
      </c>
    </row>
    <row r="7350" spans="1:9" x14ac:dyDescent="0.25">
      <c r="A7350" t="s">
        <v>6400</v>
      </c>
      <c r="B7350" t="s">
        <v>13</v>
      </c>
      <c r="C7350">
        <v>21</v>
      </c>
      <c r="D7350">
        <v>21</v>
      </c>
      <c r="E7350" t="s">
        <v>17</v>
      </c>
      <c r="F7350">
        <v>23.67</v>
      </c>
      <c r="G7350">
        <v>23.95</v>
      </c>
      <c r="H7350" t="s">
        <v>17</v>
      </c>
      <c r="I7350" t="str">
        <f>"061488001870"</f>
        <v>061488001870</v>
      </c>
    </row>
    <row r="7351" spans="1:9" x14ac:dyDescent="0.25">
      <c r="A7351" t="s">
        <v>6400</v>
      </c>
      <c r="B7351" t="s">
        <v>13</v>
      </c>
      <c r="C7351">
        <v>16.14</v>
      </c>
      <c r="D7351">
        <v>14.75</v>
      </c>
      <c r="E7351" t="s">
        <v>17</v>
      </c>
      <c r="F7351">
        <v>22.37</v>
      </c>
      <c r="G7351">
        <v>21.97</v>
      </c>
      <c r="H7351" t="s">
        <v>17</v>
      </c>
      <c r="I7351" t="str">
        <f>"060837000825"</f>
        <v>060837000825</v>
      </c>
    </row>
    <row r="7352" spans="1:9" x14ac:dyDescent="0.25">
      <c r="A7352" t="s">
        <v>6400</v>
      </c>
      <c r="B7352" t="s">
        <v>13</v>
      </c>
      <c r="C7352">
        <v>12</v>
      </c>
      <c r="D7352">
        <v>11</v>
      </c>
      <c r="E7352" t="s">
        <v>17</v>
      </c>
      <c r="F7352">
        <v>26.5</v>
      </c>
      <c r="G7352">
        <v>25</v>
      </c>
      <c r="H7352" t="s">
        <v>17</v>
      </c>
      <c r="I7352" t="str">
        <f>"063870006507"</f>
        <v>063870006507</v>
      </c>
    </row>
    <row r="7353" spans="1:9" x14ac:dyDescent="0.25">
      <c r="A7353" t="s">
        <v>6400</v>
      </c>
      <c r="B7353" t="s">
        <v>13</v>
      </c>
      <c r="C7353">
        <v>23.5</v>
      </c>
      <c r="D7353">
        <v>26.6</v>
      </c>
      <c r="E7353" t="s">
        <v>17</v>
      </c>
      <c r="F7353">
        <v>27.79</v>
      </c>
      <c r="G7353">
        <v>25.83</v>
      </c>
      <c r="H7353" t="s">
        <v>17</v>
      </c>
      <c r="I7353" t="str">
        <f>"062781004219"</f>
        <v>062781004219</v>
      </c>
    </row>
    <row r="7354" spans="1:9" x14ac:dyDescent="0.25">
      <c r="A7354" t="s">
        <v>6400</v>
      </c>
      <c r="B7354" t="s">
        <v>13</v>
      </c>
      <c r="C7354">
        <v>24</v>
      </c>
      <c r="D7354">
        <v>20</v>
      </c>
      <c r="E7354" t="s">
        <v>17</v>
      </c>
      <c r="F7354">
        <v>18.25</v>
      </c>
      <c r="G7354">
        <v>21.1</v>
      </c>
      <c r="H7354" t="s">
        <v>17</v>
      </c>
      <c r="I7354" t="str">
        <f>"060861000872"</f>
        <v>060861000872</v>
      </c>
    </row>
    <row r="7355" spans="1:9" x14ac:dyDescent="0.25">
      <c r="A7355" t="s">
        <v>6401</v>
      </c>
      <c r="B7355" t="s">
        <v>13</v>
      </c>
      <c r="C7355">
        <v>16.5</v>
      </c>
      <c r="D7355">
        <v>15.5</v>
      </c>
      <c r="E7355" t="s">
        <v>17</v>
      </c>
      <c r="F7355">
        <v>24.79</v>
      </c>
      <c r="G7355">
        <v>24.65</v>
      </c>
      <c r="H7355" t="s">
        <v>17</v>
      </c>
      <c r="I7355" t="str">
        <f>"060318000244"</f>
        <v>060318000244</v>
      </c>
    </row>
    <row r="7356" spans="1:9" x14ac:dyDescent="0.25">
      <c r="A7356" t="s">
        <v>6402</v>
      </c>
      <c r="B7356" t="s">
        <v>13</v>
      </c>
      <c r="C7356">
        <v>20</v>
      </c>
      <c r="D7356">
        <v>21.2</v>
      </c>
      <c r="E7356" t="s">
        <v>17</v>
      </c>
      <c r="F7356">
        <v>29.25</v>
      </c>
      <c r="G7356">
        <v>28.07</v>
      </c>
      <c r="H7356" t="s">
        <v>17</v>
      </c>
      <c r="I7356" t="str">
        <f>"063384005273"</f>
        <v>063384005273</v>
      </c>
    </row>
    <row r="7357" spans="1:9" x14ac:dyDescent="0.25">
      <c r="A7357" t="s">
        <v>6403</v>
      </c>
      <c r="B7357" t="s">
        <v>13</v>
      </c>
      <c r="C7357">
        <v>29.55</v>
      </c>
      <c r="D7357">
        <v>28.85</v>
      </c>
      <c r="E7357" t="s">
        <v>17</v>
      </c>
      <c r="F7357">
        <v>19.190000000000001</v>
      </c>
      <c r="G7357">
        <v>19.38</v>
      </c>
      <c r="H7357" t="s">
        <v>17</v>
      </c>
      <c r="I7357" t="str">
        <f>"063753006348"</f>
        <v>063753006348</v>
      </c>
    </row>
    <row r="7358" spans="1:9" x14ac:dyDescent="0.25">
      <c r="A7358" t="s">
        <v>6404</v>
      </c>
      <c r="B7358" t="s">
        <v>13</v>
      </c>
      <c r="C7358">
        <v>31.62</v>
      </c>
      <c r="D7358">
        <v>32.11</v>
      </c>
      <c r="E7358" t="s">
        <v>17</v>
      </c>
      <c r="F7358">
        <v>25.08</v>
      </c>
      <c r="G7358">
        <v>25.29</v>
      </c>
      <c r="H7358" t="s">
        <v>17</v>
      </c>
      <c r="I7358" t="str">
        <f>"062025002441"</f>
        <v>062025002441</v>
      </c>
    </row>
    <row r="7359" spans="1:9" x14ac:dyDescent="0.25">
      <c r="A7359" t="s">
        <v>6405</v>
      </c>
      <c r="B7359" t="s">
        <v>13</v>
      </c>
      <c r="C7359">
        <v>28</v>
      </c>
      <c r="D7359">
        <v>28.5</v>
      </c>
      <c r="E7359" t="s">
        <v>17</v>
      </c>
      <c r="F7359">
        <v>31.39</v>
      </c>
      <c r="G7359">
        <v>29.19</v>
      </c>
      <c r="H7359" t="s">
        <v>17</v>
      </c>
      <c r="I7359" t="str">
        <f>"062334012280"</f>
        <v>062334012280</v>
      </c>
    </row>
    <row r="7360" spans="1:9" x14ac:dyDescent="0.25">
      <c r="A7360" t="s">
        <v>6406</v>
      </c>
      <c r="B7360" t="s">
        <v>13</v>
      </c>
      <c r="C7360">
        <v>46.5</v>
      </c>
      <c r="D7360">
        <v>46</v>
      </c>
      <c r="E7360" t="s">
        <v>17</v>
      </c>
      <c r="F7360">
        <v>16.88</v>
      </c>
      <c r="G7360">
        <v>16.96</v>
      </c>
      <c r="H7360" t="s">
        <v>17</v>
      </c>
      <c r="I7360" t="str">
        <f>"062991004657"</f>
        <v>062991004657</v>
      </c>
    </row>
    <row r="7361" spans="1:9" x14ac:dyDescent="0.25">
      <c r="A7361" t="s">
        <v>6407</v>
      </c>
      <c r="B7361" t="s">
        <v>13</v>
      </c>
      <c r="C7361">
        <v>26</v>
      </c>
      <c r="D7361">
        <v>26.5</v>
      </c>
      <c r="E7361" t="s">
        <v>17</v>
      </c>
      <c r="F7361">
        <v>16.88</v>
      </c>
      <c r="G7361">
        <v>17.850000000000001</v>
      </c>
      <c r="H7361" t="s">
        <v>17</v>
      </c>
      <c r="I7361" t="str">
        <f>"062991007498"</f>
        <v>062991007498</v>
      </c>
    </row>
    <row r="7362" spans="1:9" x14ac:dyDescent="0.25">
      <c r="A7362" t="s">
        <v>6408</v>
      </c>
      <c r="B7362" t="s">
        <v>13</v>
      </c>
      <c r="C7362">
        <v>41</v>
      </c>
      <c r="D7362">
        <v>41</v>
      </c>
      <c r="E7362" t="s">
        <v>17</v>
      </c>
      <c r="F7362">
        <v>22.85</v>
      </c>
      <c r="G7362">
        <v>23.24</v>
      </c>
      <c r="H7362" t="s">
        <v>17</v>
      </c>
      <c r="I7362" t="str">
        <f>"062271003272"</f>
        <v>062271003272</v>
      </c>
    </row>
    <row r="7363" spans="1:9" x14ac:dyDescent="0.25">
      <c r="A7363" t="s">
        <v>6409</v>
      </c>
      <c r="B7363" t="s">
        <v>13</v>
      </c>
      <c r="C7363">
        <v>36.11</v>
      </c>
      <c r="D7363">
        <v>33.4</v>
      </c>
      <c r="E7363" t="s">
        <v>17</v>
      </c>
      <c r="F7363">
        <v>28.55</v>
      </c>
      <c r="G7363">
        <v>27.07</v>
      </c>
      <c r="H7363" t="s">
        <v>17</v>
      </c>
      <c r="I7363" t="str">
        <f>"060003204955"</f>
        <v>060003204955</v>
      </c>
    </row>
    <row r="7364" spans="1:9" x14ac:dyDescent="0.25">
      <c r="A7364" t="s">
        <v>6410</v>
      </c>
      <c r="B7364" t="s">
        <v>13</v>
      </c>
      <c r="C7364">
        <v>28.1</v>
      </c>
      <c r="D7364">
        <v>30.1</v>
      </c>
      <c r="E7364" t="s">
        <v>17</v>
      </c>
      <c r="F7364">
        <v>20.5</v>
      </c>
      <c r="G7364">
        <v>19.27</v>
      </c>
      <c r="H7364" t="s">
        <v>17</v>
      </c>
      <c r="I7364" t="str">
        <f>"061281001442"</f>
        <v>061281001442</v>
      </c>
    </row>
    <row r="7365" spans="1:9" x14ac:dyDescent="0.25">
      <c r="A7365" t="s">
        <v>6411</v>
      </c>
      <c r="B7365" t="s">
        <v>13</v>
      </c>
      <c r="C7365">
        <v>28</v>
      </c>
      <c r="D7365">
        <v>29</v>
      </c>
      <c r="E7365" t="s">
        <v>17</v>
      </c>
      <c r="F7365">
        <v>23.89</v>
      </c>
      <c r="G7365">
        <v>23.9</v>
      </c>
      <c r="H7365" t="s">
        <v>17</v>
      </c>
      <c r="I7365" t="str">
        <f>"062271009572"</f>
        <v>062271009572</v>
      </c>
    </row>
    <row r="7366" spans="1:9" x14ac:dyDescent="0.25">
      <c r="A7366" t="s">
        <v>6412</v>
      </c>
      <c r="B7366" t="s">
        <v>13</v>
      </c>
      <c r="C7366">
        <v>141.29</v>
      </c>
      <c r="D7366">
        <v>141.03</v>
      </c>
      <c r="E7366" t="s">
        <v>17</v>
      </c>
      <c r="F7366">
        <v>10.65</v>
      </c>
      <c r="G7366">
        <v>8.42</v>
      </c>
      <c r="H7366" t="s">
        <v>17</v>
      </c>
      <c r="I7366" t="str">
        <f>"064214012754"</f>
        <v>064214012754</v>
      </c>
    </row>
    <row r="7367" spans="1:9" x14ac:dyDescent="0.25">
      <c r="A7367" t="s">
        <v>6413</v>
      </c>
      <c r="B7367" t="s">
        <v>13</v>
      </c>
      <c r="C7367">
        <v>9.18</v>
      </c>
      <c r="D7367">
        <v>9</v>
      </c>
      <c r="E7367" t="s">
        <v>17</v>
      </c>
      <c r="F7367">
        <v>27.78</v>
      </c>
      <c r="G7367">
        <v>28.78</v>
      </c>
      <c r="H7367" t="s">
        <v>17</v>
      </c>
      <c r="I7367" t="str">
        <f>"063462005807"</f>
        <v>063462005807</v>
      </c>
    </row>
    <row r="7368" spans="1:9" x14ac:dyDescent="0.25">
      <c r="A7368" t="s">
        <v>6414</v>
      </c>
      <c r="B7368" t="s">
        <v>13</v>
      </c>
      <c r="C7368">
        <v>85.02</v>
      </c>
      <c r="D7368">
        <v>83.51</v>
      </c>
      <c r="E7368" t="s">
        <v>17</v>
      </c>
      <c r="F7368">
        <v>23.85</v>
      </c>
      <c r="G7368">
        <v>24.14</v>
      </c>
      <c r="H7368" t="s">
        <v>17</v>
      </c>
      <c r="I7368" t="str">
        <f>"062994004684"</f>
        <v>062994004684</v>
      </c>
    </row>
    <row r="7369" spans="1:9" x14ac:dyDescent="0.25">
      <c r="A7369" t="s">
        <v>6415</v>
      </c>
      <c r="B7369" t="s">
        <v>13</v>
      </c>
      <c r="C7369">
        <v>6.5</v>
      </c>
      <c r="D7369">
        <v>6</v>
      </c>
      <c r="E7369" t="s">
        <v>17</v>
      </c>
      <c r="F7369">
        <v>18.309999999999999</v>
      </c>
      <c r="G7369">
        <v>16</v>
      </c>
      <c r="H7369" t="s">
        <v>17</v>
      </c>
      <c r="I7369" t="str">
        <f>"062994011918"</f>
        <v>062994011918</v>
      </c>
    </row>
    <row r="7370" spans="1:9" x14ac:dyDescent="0.25">
      <c r="A7370" t="s">
        <v>6416</v>
      </c>
      <c r="B7370" t="s">
        <v>13</v>
      </c>
      <c r="C7370" t="s">
        <v>17</v>
      </c>
      <c r="D7370" t="s">
        <v>14</v>
      </c>
      <c r="E7370" t="s">
        <v>14</v>
      </c>
      <c r="F7370" t="s">
        <v>17</v>
      </c>
      <c r="G7370" t="s">
        <v>14</v>
      </c>
      <c r="H7370" t="s">
        <v>14</v>
      </c>
      <c r="I7370" t="str">
        <f>"062994013386"</f>
        <v>062994013386</v>
      </c>
    </row>
    <row r="7371" spans="1:9" x14ac:dyDescent="0.25">
      <c r="A7371" t="s">
        <v>6417</v>
      </c>
      <c r="B7371" t="s">
        <v>13</v>
      </c>
      <c r="C7371">
        <v>19</v>
      </c>
      <c r="D7371">
        <v>19</v>
      </c>
      <c r="E7371" t="s">
        <v>17</v>
      </c>
      <c r="F7371">
        <v>26.68</v>
      </c>
      <c r="G7371">
        <v>26.63</v>
      </c>
      <c r="H7371" t="s">
        <v>17</v>
      </c>
      <c r="I7371" t="str">
        <f>"062271003274"</f>
        <v>062271003274</v>
      </c>
    </row>
    <row r="7372" spans="1:9" x14ac:dyDescent="0.25">
      <c r="A7372" t="s">
        <v>6418</v>
      </c>
      <c r="B7372" t="s">
        <v>13</v>
      </c>
      <c r="C7372">
        <v>80.989999999999995</v>
      </c>
      <c r="D7372">
        <v>89.44</v>
      </c>
      <c r="E7372" t="s">
        <v>17</v>
      </c>
      <c r="F7372">
        <v>24.72</v>
      </c>
      <c r="G7372">
        <v>22.16</v>
      </c>
      <c r="H7372" t="s">
        <v>17</v>
      </c>
      <c r="I7372" t="str">
        <f>"060004807404"</f>
        <v>060004807404</v>
      </c>
    </row>
    <row r="7373" spans="1:9" x14ac:dyDescent="0.25">
      <c r="A7373" t="s">
        <v>6419</v>
      </c>
      <c r="B7373" t="s">
        <v>13</v>
      </c>
      <c r="C7373">
        <v>1.7</v>
      </c>
      <c r="D7373">
        <v>2.6</v>
      </c>
      <c r="E7373" t="s">
        <v>17</v>
      </c>
      <c r="F7373">
        <v>20.59</v>
      </c>
      <c r="G7373">
        <v>11.15</v>
      </c>
      <c r="H7373" t="s">
        <v>17</v>
      </c>
      <c r="I7373" t="str">
        <f>"060004810395"</f>
        <v>060004810395</v>
      </c>
    </row>
    <row r="7374" spans="1:9" x14ac:dyDescent="0.25">
      <c r="A7374" t="s">
        <v>6420</v>
      </c>
      <c r="B7374" t="s">
        <v>13</v>
      </c>
      <c r="C7374">
        <v>14</v>
      </c>
      <c r="D7374">
        <v>15.31</v>
      </c>
      <c r="E7374" t="s">
        <v>17</v>
      </c>
      <c r="F7374">
        <v>29.07</v>
      </c>
      <c r="G7374">
        <v>29.39</v>
      </c>
      <c r="H7374" t="s">
        <v>17</v>
      </c>
      <c r="I7374" t="str">
        <f>"060004807411"</f>
        <v>060004807411</v>
      </c>
    </row>
    <row r="7375" spans="1:9" x14ac:dyDescent="0.25">
      <c r="A7375" t="s">
        <v>6421</v>
      </c>
      <c r="B7375" t="s">
        <v>13</v>
      </c>
      <c r="C7375">
        <v>5.5</v>
      </c>
      <c r="D7375">
        <v>4</v>
      </c>
      <c r="E7375" t="s">
        <v>17</v>
      </c>
      <c r="F7375">
        <v>4.91</v>
      </c>
      <c r="G7375">
        <v>7.5</v>
      </c>
      <c r="H7375" t="s">
        <v>17</v>
      </c>
      <c r="I7375" t="str">
        <f>"060797012076"</f>
        <v>060797012076</v>
      </c>
    </row>
    <row r="7376" spans="1:9" x14ac:dyDescent="0.25">
      <c r="A7376" t="s">
        <v>6422</v>
      </c>
      <c r="B7376" t="s">
        <v>13</v>
      </c>
      <c r="C7376" t="str">
        <f>"0.50"</f>
        <v>0.50</v>
      </c>
      <c r="D7376" t="s">
        <v>14</v>
      </c>
      <c r="E7376" t="s">
        <v>14</v>
      </c>
      <c r="F7376">
        <v>10</v>
      </c>
      <c r="G7376" t="s">
        <v>14</v>
      </c>
      <c r="H7376" t="s">
        <v>14</v>
      </c>
      <c r="I7376" t="str">
        <f>"060797013042"</f>
        <v>060797013042</v>
      </c>
    </row>
    <row r="7377" spans="1:9" x14ac:dyDescent="0.25">
      <c r="A7377" t="s">
        <v>6423</v>
      </c>
      <c r="B7377" t="s">
        <v>13</v>
      </c>
      <c r="C7377">
        <v>1</v>
      </c>
      <c r="D7377" t="s">
        <v>17</v>
      </c>
      <c r="E7377" t="s">
        <v>17</v>
      </c>
      <c r="F7377">
        <v>118</v>
      </c>
      <c r="G7377" t="s">
        <v>17</v>
      </c>
      <c r="H7377" t="s">
        <v>17</v>
      </c>
      <c r="I7377" t="str">
        <f>"062316012156"</f>
        <v>062316012156</v>
      </c>
    </row>
    <row r="7378" spans="1:9" x14ac:dyDescent="0.25">
      <c r="A7378" t="s">
        <v>6424</v>
      </c>
      <c r="B7378" t="s">
        <v>13</v>
      </c>
      <c r="C7378">
        <v>24.7</v>
      </c>
      <c r="D7378">
        <v>23.9</v>
      </c>
      <c r="E7378" t="s">
        <v>17</v>
      </c>
      <c r="F7378">
        <v>20.36</v>
      </c>
      <c r="G7378">
        <v>21.13</v>
      </c>
      <c r="H7378" t="s">
        <v>17</v>
      </c>
      <c r="I7378" t="str">
        <f>"061662010685"</f>
        <v>061662010685</v>
      </c>
    </row>
    <row r="7379" spans="1:9" x14ac:dyDescent="0.25">
      <c r="A7379" t="s">
        <v>6425</v>
      </c>
      <c r="B7379" t="s">
        <v>13</v>
      </c>
      <c r="C7379" t="s">
        <v>17</v>
      </c>
      <c r="D7379" t="s">
        <v>14</v>
      </c>
      <c r="E7379" t="s">
        <v>14</v>
      </c>
      <c r="F7379" t="s">
        <v>17</v>
      </c>
      <c r="G7379" t="s">
        <v>14</v>
      </c>
      <c r="H7379" t="s">
        <v>14</v>
      </c>
      <c r="I7379" t="str">
        <f>"062271013319"</f>
        <v>062271013319</v>
      </c>
    </row>
    <row r="7380" spans="1:9" x14ac:dyDescent="0.25">
      <c r="A7380" t="s">
        <v>6426</v>
      </c>
      <c r="B7380" t="s">
        <v>13</v>
      </c>
      <c r="C7380">
        <v>2</v>
      </c>
      <c r="D7380">
        <v>2</v>
      </c>
      <c r="E7380" t="s">
        <v>17</v>
      </c>
      <c r="F7380">
        <v>14</v>
      </c>
      <c r="G7380">
        <v>11</v>
      </c>
      <c r="H7380" t="s">
        <v>17</v>
      </c>
      <c r="I7380" t="str">
        <f>"060133210599"</f>
        <v>060133210599</v>
      </c>
    </row>
    <row r="7381" spans="1:9" x14ac:dyDescent="0.25">
      <c r="A7381" t="s">
        <v>6427</v>
      </c>
      <c r="B7381" t="s">
        <v>13</v>
      </c>
      <c r="C7381">
        <v>1.5</v>
      </c>
      <c r="D7381">
        <v>11.33</v>
      </c>
      <c r="E7381" t="s">
        <v>17</v>
      </c>
      <c r="F7381">
        <v>206</v>
      </c>
      <c r="G7381">
        <v>24.36</v>
      </c>
      <c r="H7381" t="s">
        <v>17</v>
      </c>
      <c r="I7381" t="str">
        <f>"060001411746"</f>
        <v>060001411746</v>
      </c>
    </row>
    <row r="7382" spans="1:9" x14ac:dyDescent="0.25">
      <c r="A7382" t="s">
        <v>6428</v>
      </c>
      <c r="B7382" t="s">
        <v>13</v>
      </c>
      <c r="C7382">
        <v>26.97</v>
      </c>
      <c r="D7382">
        <v>26.44</v>
      </c>
      <c r="E7382" t="s">
        <v>17</v>
      </c>
      <c r="F7382">
        <v>27.14</v>
      </c>
      <c r="G7382">
        <v>26.78</v>
      </c>
      <c r="H7382" t="s">
        <v>17</v>
      </c>
      <c r="I7382" t="str">
        <f>"063315012047"</f>
        <v>063315012047</v>
      </c>
    </row>
    <row r="7383" spans="1:9" x14ac:dyDescent="0.25">
      <c r="A7383" t="s">
        <v>6429</v>
      </c>
      <c r="B7383" t="s">
        <v>13</v>
      </c>
      <c r="C7383">
        <v>38.5</v>
      </c>
      <c r="D7383">
        <v>43.5</v>
      </c>
      <c r="E7383" t="s">
        <v>17</v>
      </c>
      <c r="F7383">
        <v>26.81</v>
      </c>
      <c r="G7383">
        <v>26.25</v>
      </c>
      <c r="H7383" t="s">
        <v>17</v>
      </c>
      <c r="I7383" t="str">
        <f>"062271003079"</f>
        <v>062271003079</v>
      </c>
    </row>
    <row r="7384" spans="1:9" x14ac:dyDescent="0.25">
      <c r="A7384" t="s">
        <v>6430</v>
      </c>
      <c r="B7384" t="s">
        <v>13</v>
      </c>
      <c r="C7384">
        <v>33</v>
      </c>
      <c r="D7384">
        <v>32</v>
      </c>
      <c r="E7384" t="s">
        <v>17</v>
      </c>
      <c r="F7384">
        <v>24.61</v>
      </c>
      <c r="G7384">
        <v>25.16</v>
      </c>
      <c r="H7384" t="s">
        <v>17</v>
      </c>
      <c r="I7384" t="str">
        <f>"063348010507"</f>
        <v>063348010507</v>
      </c>
    </row>
    <row r="7385" spans="1:9" x14ac:dyDescent="0.25">
      <c r="A7385" t="s">
        <v>6431</v>
      </c>
      <c r="B7385" t="s">
        <v>13</v>
      </c>
      <c r="C7385">
        <v>89.82</v>
      </c>
      <c r="D7385">
        <v>93.14</v>
      </c>
      <c r="E7385" t="s">
        <v>17</v>
      </c>
      <c r="F7385">
        <v>23.93</v>
      </c>
      <c r="G7385">
        <v>25.53</v>
      </c>
      <c r="H7385" t="s">
        <v>17</v>
      </c>
      <c r="I7385" t="str">
        <f>"061926012095"</f>
        <v>061926012095</v>
      </c>
    </row>
    <row r="7386" spans="1:9" x14ac:dyDescent="0.25">
      <c r="A7386" t="s">
        <v>6432</v>
      </c>
      <c r="B7386" t="s">
        <v>13</v>
      </c>
      <c r="C7386">
        <v>25.2</v>
      </c>
      <c r="D7386">
        <v>25.8</v>
      </c>
      <c r="E7386" t="s">
        <v>17</v>
      </c>
      <c r="F7386">
        <v>23.65</v>
      </c>
      <c r="G7386">
        <v>22.71</v>
      </c>
      <c r="H7386" t="s">
        <v>17</v>
      </c>
      <c r="I7386" t="str">
        <f>"061440001685"</f>
        <v>061440001685</v>
      </c>
    </row>
    <row r="7387" spans="1:9" x14ac:dyDescent="0.25">
      <c r="A7387" t="s">
        <v>6433</v>
      </c>
      <c r="B7387" t="s">
        <v>13</v>
      </c>
      <c r="C7387">
        <v>67</v>
      </c>
      <c r="D7387">
        <v>66.599999999999994</v>
      </c>
      <c r="E7387" t="s">
        <v>17</v>
      </c>
      <c r="F7387">
        <v>25.39</v>
      </c>
      <c r="G7387">
        <v>24.35</v>
      </c>
      <c r="H7387" t="s">
        <v>17</v>
      </c>
      <c r="I7387" t="str">
        <f>"063003004703"</f>
        <v>063003004703</v>
      </c>
    </row>
    <row r="7388" spans="1:9" x14ac:dyDescent="0.25">
      <c r="A7388" t="s">
        <v>6434</v>
      </c>
      <c r="B7388" t="s">
        <v>13</v>
      </c>
      <c r="C7388">
        <v>23</v>
      </c>
      <c r="D7388">
        <v>23.5</v>
      </c>
      <c r="E7388" t="s">
        <v>17</v>
      </c>
      <c r="F7388">
        <v>27.3</v>
      </c>
      <c r="G7388">
        <v>26.6</v>
      </c>
      <c r="H7388" t="s">
        <v>17</v>
      </c>
      <c r="I7388" t="str">
        <f>"062871004466"</f>
        <v>062871004466</v>
      </c>
    </row>
    <row r="7389" spans="1:9" x14ac:dyDescent="0.25">
      <c r="A7389" t="s">
        <v>6435</v>
      </c>
      <c r="B7389" t="s">
        <v>13</v>
      </c>
      <c r="C7389">
        <v>34.799999999999997</v>
      </c>
      <c r="D7389">
        <v>35.799999999999997</v>
      </c>
      <c r="E7389" t="s">
        <v>17</v>
      </c>
      <c r="F7389">
        <v>27.47</v>
      </c>
      <c r="G7389">
        <v>26.62</v>
      </c>
      <c r="H7389" t="s">
        <v>17</v>
      </c>
      <c r="I7389" t="str">
        <f>"061488001871"</f>
        <v>061488001871</v>
      </c>
    </row>
    <row r="7390" spans="1:9" x14ac:dyDescent="0.25">
      <c r="A7390" t="s">
        <v>6436</v>
      </c>
      <c r="B7390" t="s">
        <v>13</v>
      </c>
      <c r="C7390">
        <v>16.2</v>
      </c>
      <c r="D7390">
        <v>20.100000000000001</v>
      </c>
      <c r="E7390" t="s">
        <v>17</v>
      </c>
      <c r="F7390">
        <v>26.36</v>
      </c>
      <c r="G7390">
        <v>21.79</v>
      </c>
      <c r="H7390" t="s">
        <v>17</v>
      </c>
      <c r="I7390" t="str">
        <f>"061062001905"</f>
        <v>061062001905</v>
      </c>
    </row>
    <row r="7391" spans="1:9" x14ac:dyDescent="0.25">
      <c r="A7391" t="s">
        <v>6437</v>
      </c>
      <c r="B7391" t="s">
        <v>13</v>
      </c>
      <c r="C7391">
        <v>21.5</v>
      </c>
      <c r="D7391">
        <v>25.6</v>
      </c>
      <c r="E7391" t="s">
        <v>17</v>
      </c>
      <c r="F7391">
        <v>26.98</v>
      </c>
      <c r="G7391">
        <v>22.54</v>
      </c>
      <c r="H7391" t="s">
        <v>17</v>
      </c>
      <c r="I7391" t="str">
        <f>"060002806276"</f>
        <v>060002806276</v>
      </c>
    </row>
    <row r="7392" spans="1:9" x14ac:dyDescent="0.25">
      <c r="A7392" t="s">
        <v>6438</v>
      </c>
      <c r="B7392" t="s">
        <v>13</v>
      </c>
      <c r="C7392">
        <v>24</v>
      </c>
      <c r="D7392">
        <v>23.12</v>
      </c>
      <c r="E7392" t="s">
        <v>17</v>
      </c>
      <c r="F7392">
        <v>22.42</v>
      </c>
      <c r="G7392">
        <v>20.98</v>
      </c>
      <c r="H7392" t="s">
        <v>17</v>
      </c>
      <c r="I7392" t="str">
        <f>"061275001434"</f>
        <v>061275001434</v>
      </c>
    </row>
    <row r="7393" spans="1:9" x14ac:dyDescent="0.25">
      <c r="A7393" t="s">
        <v>6439</v>
      </c>
      <c r="B7393" t="s">
        <v>13</v>
      </c>
      <c r="C7393">
        <v>81.5</v>
      </c>
      <c r="D7393">
        <v>80.540000000000006</v>
      </c>
      <c r="E7393" t="s">
        <v>17</v>
      </c>
      <c r="F7393">
        <v>26.04</v>
      </c>
      <c r="G7393">
        <v>25.83</v>
      </c>
      <c r="H7393" t="s">
        <v>17</v>
      </c>
      <c r="I7393" t="str">
        <f>"062271003302"</f>
        <v>062271003302</v>
      </c>
    </row>
    <row r="7394" spans="1:9" x14ac:dyDescent="0.25">
      <c r="A7394" t="s">
        <v>6440</v>
      </c>
      <c r="B7394" t="s">
        <v>13</v>
      </c>
      <c r="C7394">
        <v>33</v>
      </c>
      <c r="D7394">
        <v>32</v>
      </c>
      <c r="E7394" t="s">
        <v>17</v>
      </c>
      <c r="F7394">
        <v>22.88</v>
      </c>
      <c r="G7394">
        <v>23.34</v>
      </c>
      <c r="H7394" t="s">
        <v>17</v>
      </c>
      <c r="I7394" t="str">
        <f>"060939000954"</f>
        <v>060939000954</v>
      </c>
    </row>
    <row r="7395" spans="1:9" x14ac:dyDescent="0.25">
      <c r="A7395" t="s">
        <v>6441</v>
      </c>
      <c r="B7395" t="s">
        <v>13</v>
      </c>
      <c r="C7395">
        <v>24</v>
      </c>
      <c r="D7395">
        <v>19</v>
      </c>
      <c r="E7395" t="s">
        <v>17</v>
      </c>
      <c r="F7395">
        <v>18.88</v>
      </c>
      <c r="G7395">
        <v>23</v>
      </c>
      <c r="H7395" t="s">
        <v>17</v>
      </c>
      <c r="I7395" t="str">
        <f>"062724004127"</f>
        <v>062724004127</v>
      </c>
    </row>
    <row r="7396" spans="1:9" x14ac:dyDescent="0.25">
      <c r="A7396" t="s">
        <v>6442</v>
      </c>
      <c r="B7396" t="s">
        <v>13</v>
      </c>
      <c r="C7396">
        <v>27.7</v>
      </c>
      <c r="D7396">
        <v>27.15</v>
      </c>
      <c r="E7396" t="s">
        <v>17</v>
      </c>
      <c r="F7396">
        <v>23.94</v>
      </c>
      <c r="G7396">
        <v>24.16</v>
      </c>
      <c r="H7396" t="s">
        <v>17</v>
      </c>
      <c r="I7396" t="str">
        <f>"062308003528"</f>
        <v>062308003528</v>
      </c>
    </row>
    <row r="7397" spans="1:9" x14ac:dyDescent="0.25">
      <c r="A7397" t="s">
        <v>6443</v>
      </c>
      <c r="B7397" t="s">
        <v>13</v>
      </c>
      <c r="C7397">
        <v>12.24</v>
      </c>
      <c r="D7397">
        <v>12.49</v>
      </c>
      <c r="E7397" t="s">
        <v>17</v>
      </c>
      <c r="F7397">
        <v>23.94</v>
      </c>
      <c r="G7397">
        <v>20.82</v>
      </c>
      <c r="H7397" t="s">
        <v>17</v>
      </c>
      <c r="I7397" t="str">
        <f>"060006908610"</f>
        <v>060006908610</v>
      </c>
    </row>
    <row r="7398" spans="1:9" x14ac:dyDescent="0.25">
      <c r="A7398" t="s">
        <v>6444</v>
      </c>
      <c r="B7398" t="s">
        <v>13</v>
      </c>
      <c r="C7398">
        <v>22</v>
      </c>
      <c r="D7398">
        <v>22</v>
      </c>
      <c r="E7398" t="s">
        <v>17</v>
      </c>
      <c r="F7398">
        <v>29.55</v>
      </c>
      <c r="G7398">
        <v>31.05</v>
      </c>
      <c r="H7398" t="s">
        <v>17</v>
      </c>
      <c r="I7398" t="str">
        <f>"061839002263"</f>
        <v>061839002263</v>
      </c>
    </row>
    <row r="7399" spans="1:9" x14ac:dyDescent="0.25">
      <c r="A7399" t="s">
        <v>6445</v>
      </c>
      <c r="B7399" t="s">
        <v>13</v>
      </c>
      <c r="C7399">
        <v>14.12</v>
      </c>
      <c r="D7399">
        <v>13.5</v>
      </c>
      <c r="E7399" t="s">
        <v>17</v>
      </c>
      <c r="F7399">
        <v>19.329999999999998</v>
      </c>
      <c r="G7399">
        <v>18.809999999999999</v>
      </c>
      <c r="H7399" t="s">
        <v>17</v>
      </c>
      <c r="I7399" t="str">
        <f>"063441005614"</f>
        <v>063441005614</v>
      </c>
    </row>
    <row r="7400" spans="1:9" x14ac:dyDescent="0.25">
      <c r="A7400" t="s">
        <v>6446</v>
      </c>
      <c r="B7400" t="s">
        <v>13</v>
      </c>
      <c r="C7400" t="s">
        <v>14</v>
      </c>
      <c r="D7400" t="s">
        <v>14</v>
      </c>
      <c r="E7400" t="s">
        <v>17</v>
      </c>
      <c r="F7400" t="s">
        <v>14</v>
      </c>
      <c r="G7400" t="s">
        <v>14</v>
      </c>
      <c r="H7400" t="s">
        <v>17</v>
      </c>
      <c r="I7400" t="str">
        <f>"063536006027"</f>
        <v>063536006027</v>
      </c>
    </row>
    <row r="7401" spans="1:9" x14ac:dyDescent="0.25">
      <c r="A7401" t="s">
        <v>6446</v>
      </c>
      <c r="B7401" t="s">
        <v>13</v>
      </c>
      <c r="C7401">
        <v>33</v>
      </c>
      <c r="D7401">
        <v>33.4</v>
      </c>
      <c r="E7401" t="s">
        <v>14</v>
      </c>
      <c r="F7401">
        <v>22.73</v>
      </c>
      <c r="G7401">
        <v>22.43</v>
      </c>
      <c r="H7401" t="s">
        <v>14</v>
      </c>
      <c r="I7401" t="str">
        <f>"060141406027"</f>
        <v>060141406027</v>
      </c>
    </row>
    <row r="7402" spans="1:9" x14ac:dyDescent="0.25">
      <c r="A7402" t="s">
        <v>6447</v>
      </c>
      <c r="B7402" t="s">
        <v>13</v>
      </c>
      <c r="C7402">
        <v>19.600000000000001</v>
      </c>
      <c r="D7402">
        <v>22.85</v>
      </c>
      <c r="E7402" t="s">
        <v>17</v>
      </c>
      <c r="F7402">
        <v>28.37</v>
      </c>
      <c r="G7402">
        <v>24.99</v>
      </c>
      <c r="H7402" t="s">
        <v>17</v>
      </c>
      <c r="I7402" t="str">
        <f>"062569007785"</f>
        <v>062569007785</v>
      </c>
    </row>
    <row r="7403" spans="1:9" x14ac:dyDescent="0.25">
      <c r="A7403" t="s">
        <v>6448</v>
      </c>
      <c r="B7403" t="s">
        <v>13</v>
      </c>
      <c r="C7403">
        <v>21.9</v>
      </c>
      <c r="D7403">
        <v>21.5</v>
      </c>
      <c r="E7403" t="s">
        <v>17</v>
      </c>
      <c r="F7403">
        <v>24.02</v>
      </c>
      <c r="G7403">
        <v>24.09</v>
      </c>
      <c r="H7403" t="s">
        <v>17</v>
      </c>
      <c r="I7403" t="str">
        <f>"062718004097"</f>
        <v>062718004097</v>
      </c>
    </row>
    <row r="7404" spans="1:9" x14ac:dyDescent="0.25">
      <c r="A7404" t="s">
        <v>6449</v>
      </c>
      <c r="B7404" t="s">
        <v>13</v>
      </c>
      <c r="C7404">
        <v>13</v>
      </c>
      <c r="D7404">
        <v>13</v>
      </c>
      <c r="E7404" t="s">
        <v>17</v>
      </c>
      <c r="F7404">
        <v>27.62</v>
      </c>
      <c r="G7404">
        <v>26.15</v>
      </c>
      <c r="H7404" t="s">
        <v>17</v>
      </c>
      <c r="I7404" t="str">
        <f>"061944009557"</f>
        <v>061944009557</v>
      </c>
    </row>
    <row r="7405" spans="1:9" x14ac:dyDescent="0.25">
      <c r="A7405" t="s">
        <v>6450</v>
      </c>
      <c r="B7405" t="s">
        <v>13</v>
      </c>
      <c r="C7405">
        <v>24</v>
      </c>
      <c r="D7405">
        <v>24</v>
      </c>
      <c r="E7405" t="s">
        <v>17</v>
      </c>
      <c r="F7405">
        <v>27.33</v>
      </c>
      <c r="G7405">
        <v>28.29</v>
      </c>
      <c r="H7405" t="s">
        <v>17</v>
      </c>
      <c r="I7405" t="str">
        <f>"062450003677"</f>
        <v>062450003677</v>
      </c>
    </row>
    <row r="7406" spans="1:9" x14ac:dyDescent="0.25">
      <c r="A7406" t="s">
        <v>6451</v>
      </c>
      <c r="B7406" t="s">
        <v>13</v>
      </c>
      <c r="C7406">
        <v>30.01</v>
      </c>
      <c r="D7406">
        <v>29.5</v>
      </c>
      <c r="E7406" t="s">
        <v>17</v>
      </c>
      <c r="F7406">
        <v>23.06</v>
      </c>
      <c r="G7406">
        <v>23.02</v>
      </c>
      <c r="H7406" t="s">
        <v>17</v>
      </c>
      <c r="I7406" t="str">
        <f>"061926002317"</f>
        <v>061926002317</v>
      </c>
    </row>
    <row r="7407" spans="1:9" x14ac:dyDescent="0.25">
      <c r="A7407" t="s">
        <v>6452</v>
      </c>
      <c r="B7407" t="s">
        <v>13</v>
      </c>
      <c r="C7407">
        <v>1.6</v>
      </c>
      <c r="D7407" t="str">
        <f>"0.70"</f>
        <v>0.70</v>
      </c>
      <c r="E7407" t="s">
        <v>17</v>
      </c>
      <c r="F7407">
        <v>3.75</v>
      </c>
      <c r="G7407">
        <v>7.14</v>
      </c>
      <c r="H7407" t="s">
        <v>17</v>
      </c>
      <c r="I7407" t="str">
        <f>"063480012730"</f>
        <v>063480012730</v>
      </c>
    </row>
    <row r="7408" spans="1:9" x14ac:dyDescent="0.25">
      <c r="A7408" t="s">
        <v>6453</v>
      </c>
      <c r="B7408" t="s">
        <v>13</v>
      </c>
      <c r="C7408">
        <v>6.06</v>
      </c>
      <c r="D7408">
        <v>6.05</v>
      </c>
      <c r="E7408" t="s">
        <v>17</v>
      </c>
      <c r="F7408">
        <v>21.12</v>
      </c>
      <c r="G7408">
        <v>19.010000000000002</v>
      </c>
      <c r="H7408" t="s">
        <v>17</v>
      </c>
      <c r="I7408" t="str">
        <f>"061182010320"</f>
        <v>061182010320</v>
      </c>
    </row>
    <row r="7409" spans="1:9" x14ac:dyDescent="0.25">
      <c r="A7409" t="s">
        <v>6454</v>
      </c>
      <c r="B7409" t="s">
        <v>13</v>
      </c>
      <c r="C7409">
        <v>20</v>
      </c>
      <c r="D7409">
        <v>18</v>
      </c>
      <c r="E7409" t="s">
        <v>17</v>
      </c>
      <c r="F7409">
        <v>26.3</v>
      </c>
      <c r="G7409">
        <v>26.22</v>
      </c>
      <c r="H7409" t="s">
        <v>17</v>
      </c>
      <c r="I7409" t="str">
        <f>"060342004672"</f>
        <v>060342004672</v>
      </c>
    </row>
    <row r="7410" spans="1:9" x14ac:dyDescent="0.25">
      <c r="A7410" t="s">
        <v>6455</v>
      </c>
      <c r="B7410" t="s">
        <v>13</v>
      </c>
      <c r="C7410" t="s">
        <v>17</v>
      </c>
      <c r="D7410" t="s">
        <v>14</v>
      </c>
      <c r="E7410" t="s">
        <v>14</v>
      </c>
      <c r="F7410" t="s">
        <v>17</v>
      </c>
      <c r="G7410" t="s">
        <v>14</v>
      </c>
      <c r="H7410" t="s">
        <v>14</v>
      </c>
      <c r="I7410" t="str">
        <f>"063498013476"</f>
        <v>063498013476</v>
      </c>
    </row>
    <row r="7411" spans="1:9" x14ac:dyDescent="0.25">
      <c r="A7411" t="s">
        <v>6456</v>
      </c>
      <c r="B7411" t="s">
        <v>13</v>
      </c>
      <c r="C7411">
        <v>19.559999999999999</v>
      </c>
      <c r="D7411">
        <v>18.25</v>
      </c>
      <c r="E7411" t="s">
        <v>17</v>
      </c>
      <c r="F7411">
        <v>12.83</v>
      </c>
      <c r="G7411">
        <v>14.3</v>
      </c>
      <c r="H7411" t="s">
        <v>17</v>
      </c>
      <c r="I7411" t="str">
        <f>"063498005925"</f>
        <v>063498005925</v>
      </c>
    </row>
    <row r="7412" spans="1:9" x14ac:dyDescent="0.25">
      <c r="A7412" t="s">
        <v>6457</v>
      </c>
      <c r="B7412" t="s">
        <v>13</v>
      </c>
      <c r="C7412">
        <v>3.64</v>
      </c>
      <c r="D7412">
        <v>3.64</v>
      </c>
      <c r="E7412" t="s">
        <v>17</v>
      </c>
      <c r="F7412">
        <v>9.34</v>
      </c>
      <c r="G7412">
        <v>10.71</v>
      </c>
      <c r="H7412" t="s">
        <v>17</v>
      </c>
      <c r="I7412" t="str">
        <f>"063009004708"</f>
        <v>063009004708</v>
      </c>
    </row>
    <row r="7413" spans="1:9" x14ac:dyDescent="0.25">
      <c r="A7413" t="s">
        <v>6458</v>
      </c>
      <c r="B7413" t="s">
        <v>13</v>
      </c>
      <c r="C7413">
        <v>21.8</v>
      </c>
      <c r="D7413">
        <v>19.8</v>
      </c>
      <c r="E7413" t="s">
        <v>17</v>
      </c>
      <c r="F7413">
        <v>19.399999999999999</v>
      </c>
      <c r="G7413">
        <v>22.02</v>
      </c>
      <c r="H7413" t="s">
        <v>17</v>
      </c>
      <c r="I7413" t="str">
        <f>"063432005534"</f>
        <v>063432005534</v>
      </c>
    </row>
    <row r="7414" spans="1:9" x14ac:dyDescent="0.25">
      <c r="A7414" t="s">
        <v>6459</v>
      </c>
      <c r="B7414" t="s">
        <v>13</v>
      </c>
      <c r="C7414">
        <v>17.3</v>
      </c>
      <c r="D7414">
        <v>19.3</v>
      </c>
      <c r="E7414" t="s">
        <v>17</v>
      </c>
      <c r="F7414">
        <v>21.79</v>
      </c>
      <c r="G7414">
        <v>22.02</v>
      </c>
      <c r="H7414" t="s">
        <v>17</v>
      </c>
      <c r="I7414" t="str">
        <f>"063023004722"</f>
        <v>063023004722</v>
      </c>
    </row>
    <row r="7415" spans="1:9" x14ac:dyDescent="0.25">
      <c r="A7415" t="s">
        <v>6460</v>
      </c>
      <c r="B7415" t="s">
        <v>13</v>
      </c>
      <c r="C7415">
        <v>9.5</v>
      </c>
      <c r="D7415">
        <v>10.5</v>
      </c>
      <c r="E7415" t="s">
        <v>17</v>
      </c>
      <c r="F7415">
        <v>23.89</v>
      </c>
      <c r="G7415">
        <v>21.33</v>
      </c>
      <c r="H7415" t="s">
        <v>17</v>
      </c>
      <c r="I7415" t="str">
        <f>"062256011704"</f>
        <v>062256011704</v>
      </c>
    </row>
    <row r="7416" spans="1:9" x14ac:dyDescent="0.25">
      <c r="A7416" t="s">
        <v>6461</v>
      </c>
      <c r="B7416" t="s">
        <v>13</v>
      </c>
      <c r="C7416">
        <v>32</v>
      </c>
      <c r="D7416">
        <v>32.75</v>
      </c>
      <c r="E7416" t="s">
        <v>17</v>
      </c>
      <c r="F7416">
        <v>24.19</v>
      </c>
      <c r="G7416">
        <v>23.27</v>
      </c>
      <c r="H7416" t="s">
        <v>17</v>
      </c>
      <c r="I7416" t="str">
        <f>"063588006142"</f>
        <v>063588006142</v>
      </c>
    </row>
    <row r="7417" spans="1:9" x14ac:dyDescent="0.25">
      <c r="A7417" t="s">
        <v>6462</v>
      </c>
      <c r="B7417" t="s">
        <v>13</v>
      </c>
      <c r="C7417">
        <v>29.75</v>
      </c>
      <c r="D7417">
        <v>28.7</v>
      </c>
      <c r="E7417" t="s">
        <v>17</v>
      </c>
      <c r="F7417">
        <v>27.56</v>
      </c>
      <c r="G7417">
        <v>27.84</v>
      </c>
      <c r="H7417" t="s">
        <v>17</v>
      </c>
      <c r="I7417" t="str">
        <f>"060001609678"</f>
        <v>060001609678</v>
      </c>
    </row>
    <row r="7418" spans="1:9" x14ac:dyDescent="0.25">
      <c r="A7418" t="s">
        <v>6463</v>
      </c>
      <c r="B7418" t="s">
        <v>13</v>
      </c>
      <c r="C7418">
        <v>25</v>
      </c>
      <c r="D7418">
        <v>25</v>
      </c>
      <c r="E7418" t="s">
        <v>17</v>
      </c>
      <c r="F7418">
        <v>26.8</v>
      </c>
      <c r="G7418">
        <v>25.96</v>
      </c>
      <c r="H7418" t="s">
        <v>17</v>
      </c>
      <c r="I7418" t="str">
        <f>"061926006247"</f>
        <v>061926006247</v>
      </c>
    </row>
    <row r="7419" spans="1:9" x14ac:dyDescent="0.25">
      <c r="A7419" t="s">
        <v>6463</v>
      </c>
      <c r="B7419" t="s">
        <v>13</v>
      </c>
      <c r="C7419">
        <v>12</v>
      </c>
      <c r="D7419">
        <v>11</v>
      </c>
      <c r="E7419" t="s">
        <v>17</v>
      </c>
      <c r="F7419">
        <v>27.75</v>
      </c>
      <c r="G7419">
        <v>28.36</v>
      </c>
      <c r="H7419" t="s">
        <v>17</v>
      </c>
      <c r="I7419" t="str">
        <f>"062805004307"</f>
        <v>062805004307</v>
      </c>
    </row>
    <row r="7420" spans="1:9" x14ac:dyDescent="0.25">
      <c r="A7420" t="s">
        <v>6464</v>
      </c>
      <c r="B7420" t="s">
        <v>13</v>
      </c>
      <c r="C7420">
        <v>26</v>
      </c>
      <c r="D7420">
        <v>35.6</v>
      </c>
      <c r="E7420" t="s">
        <v>17</v>
      </c>
      <c r="F7420">
        <v>28.19</v>
      </c>
      <c r="G7420">
        <v>20.81</v>
      </c>
      <c r="H7420" t="s">
        <v>17</v>
      </c>
      <c r="I7420" t="str">
        <f>"061296011841"</f>
        <v>061296011841</v>
      </c>
    </row>
    <row r="7421" spans="1:9" x14ac:dyDescent="0.25">
      <c r="A7421" t="s">
        <v>6465</v>
      </c>
      <c r="B7421" t="s">
        <v>13</v>
      </c>
      <c r="C7421">
        <v>26.5</v>
      </c>
      <c r="D7421">
        <v>26</v>
      </c>
      <c r="E7421" t="s">
        <v>17</v>
      </c>
      <c r="F7421">
        <v>20</v>
      </c>
      <c r="G7421">
        <v>19.649999999999999</v>
      </c>
      <c r="H7421" t="s">
        <v>17</v>
      </c>
      <c r="I7421" t="str">
        <f>"063255005050"</f>
        <v>063255005050</v>
      </c>
    </row>
    <row r="7422" spans="1:9" x14ac:dyDescent="0.25">
      <c r="A7422" t="s">
        <v>6466</v>
      </c>
      <c r="B7422" t="s">
        <v>13</v>
      </c>
      <c r="C7422">
        <v>2</v>
      </c>
      <c r="D7422">
        <v>2</v>
      </c>
      <c r="E7422" t="s">
        <v>14</v>
      </c>
      <c r="F7422">
        <v>11.5</v>
      </c>
      <c r="G7422">
        <v>10</v>
      </c>
      <c r="H7422" t="s">
        <v>14</v>
      </c>
      <c r="I7422" t="str">
        <f>"062769013011"</f>
        <v>062769013011</v>
      </c>
    </row>
    <row r="7423" spans="1:9" x14ac:dyDescent="0.25">
      <c r="A7423" t="s">
        <v>6467</v>
      </c>
      <c r="B7423" t="s">
        <v>13</v>
      </c>
      <c r="C7423">
        <v>15.08</v>
      </c>
      <c r="D7423">
        <v>11.39</v>
      </c>
      <c r="E7423" t="s">
        <v>14</v>
      </c>
      <c r="F7423">
        <v>27.52</v>
      </c>
      <c r="G7423">
        <v>28.01</v>
      </c>
      <c r="H7423" t="s">
        <v>14</v>
      </c>
      <c r="I7423" t="str">
        <f>"062271012885"</f>
        <v>062271012885</v>
      </c>
    </row>
    <row r="7424" spans="1:9" x14ac:dyDescent="0.25">
      <c r="A7424" t="s">
        <v>6468</v>
      </c>
      <c r="B7424" t="s">
        <v>13</v>
      </c>
      <c r="C7424">
        <v>28</v>
      </c>
      <c r="D7424">
        <v>28</v>
      </c>
      <c r="E7424" t="s">
        <v>17</v>
      </c>
      <c r="F7424">
        <v>16.64</v>
      </c>
      <c r="G7424">
        <v>17.32</v>
      </c>
      <c r="H7424" t="s">
        <v>17</v>
      </c>
      <c r="I7424" t="str">
        <f>"063432005506"</f>
        <v>063432005506</v>
      </c>
    </row>
    <row r="7425" spans="1:9" x14ac:dyDescent="0.25">
      <c r="A7425" t="s">
        <v>6469</v>
      </c>
      <c r="B7425" t="s">
        <v>13</v>
      </c>
      <c r="C7425">
        <v>29</v>
      </c>
      <c r="D7425">
        <v>30</v>
      </c>
      <c r="E7425" t="s">
        <v>17</v>
      </c>
      <c r="F7425">
        <v>19.72</v>
      </c>
      <c r="G7425">
        <v>19.3</v>
      </c>
      <c r="H7425" t="s">
        <v>17</v>
      </c>
      <c r="I7425" t="str">
        <f>"063018004711"</f>
        <v>063018004711</v>
      </c>
    </row>
    <row r="7426" spans="1:9" x14ac:dyDescent="0.25">
      <c r="A7426" t="s">
        <v>6470</v>
      </c>
      <c r="B7426" t="s">
        <v>13</v>
      </c>
      <c r="C7426">
        <v>88.2</v>
      </c>
      <c r="D7426">
        <v>95.2</v>
      </c>
      <c r="E7426" t="s">
        <v>17</v>
      </c>
      <c r="F7426">
        <v>28.88</v>
      </c>
      <c r="G7426">
        <v>26.55</v>
      </c>
      <c r="H7426" t="s">
        <v>17</v>
      </c>
      <c r="I7426" t="str">
        <f>"063021004712"</f>
        <v>063021004712</v>
      </c>
    </row>
    <row r="7427" spans="1:9" x14ac:dyDescent="0.25">
      <c r="A7427" t="s">
        <v>6471</v>
      </c>
      <c r="B7427" t="s">
        <v>13</v>
      </c>
      <c r="C7427">
        <v>12.4</v>
      </c>
      <c r="D7427">
        <v>15.6</v>
      </c>
      <c r="E7427" t="s">
        <v>17</v>
      </c>
      <c r="F7427">
        <v>28.39</v>
      </c>
      <c r="G7427">
        <v>26.67</v>
      </c>
      <c r="H7427" t="s">
        <v>17</v>
      </c>
      <c r="I7427" t="str">
        <f>"063021004713"</f>
        <v>063021004713</v>
      </c>
    </row>
    <row r="7428" spans="1:9" x14ac:dyDescent="0.25">
      <c r="A7428" t="s">
        <v>6472</v>
      </c>
      <c r="B7428" t="s">
        <v>13</v>
      </c>
      <c r="C7428">
        <v>20</v>
      </c>
      <c r="D7428">
        <v>20.8</v>
      </c>
      <c r="E7428" t="s">
        <v>17</v>
      </c>
      <c r="F7428">
        <v>19.95</v>
      </c>
      <c r="G7428">
        <v>19.13</v>
      </c>
      <c r="H7428" t="s">
        <v>17</v>
      </c>
      <c r="I7428" t="str">
        <f>"063432005535"</f>
        <v>063432005535</v>
      </c>
    </row>
    <row r="7429" spans="1:9" x14ac:dyDescent="0.25">
      <c r="A7429" t="s">
        <v>6473</v>
      </c>
      <c r="B7429" t="s">
        <v>13</v>
      </c>
      <c r="C7429">
        <v>7.5</v>
      </c>
      <c r="D7429">
        <v>8</v>
      </c>
      <c r="E7429" t="s">
        <v>17</v>
      </c>
      <c r="F7429">
        <v>14.4</v>
      </c>
      <c r="G7429">
        <v>12.75</v>
      </c>
      <c r="H7429" t="s">
        <v>17</v>
      </c>
      <c r="I7429" t="str">
        <f>"060797007672"</f>
        <v>060797007672</v>
      </c>
    </row>
    <row r="7430" spans="1:9" x14ac:dyDescent="0.25">
      <c r="A7430" t="s">
        <v>6474</v>
      </c>
      <c r="B7430" t="s">
        <v>13</v>
      </c>
      <c r="C7430">
        <v>17.37</v>
      </c>
      <c r="D7430">
        <v>21</v>
      </c>
      <c r="E7430" t="s">
        <v>17</v>
      </c>
      <c r="F7430">
        <v>32.99</v>
      </c>
      <c r="G7430">
        <v>26.95</v>
      </c>
      <c r="H7430" t="s">
        <v>17</v>
      </c>
      <c r="I7430" t="str">
        <f>"063462005810"</f>
        <v>063462005810</v>
      </c>
    </row>
    <row r="7431" spans="1:9" x14ac:dyDescent="0.25">
      <c r="A7431" t="s">
        <v>6475</v>
      </c>
      <c r="B7431" t="s">
        <v>13</v>
      </c>
      <c r="C7431">
        <v>36.200000000000003</v>
      </c>
      <c r="D7431">
        <v>37.5</v>
      </c>
      <c r="E7431" t="s">
        <v>17</v>
      </c>
      <c r="F7431">
        <v>21.16</v>
      </c>
      <c r="G7431">
        <v>21.31</v>
      </c>
      <c r="H7431" t="s">
        <v>17</v>
      </c>
      <c r="I7431" t="str">
        <f>"063432005536"</f>
        <v>063432005536</v>
      </c>
    </row>
    <row r="7432" spans="1:9" x14ac:dyDescent="0.25">
      <c r="A7432" t="s">
        <v>6476</v>
      </c>
      <c r="B7432" t="s">
        <v>13</v>
      </c>
      <c r="C7432" t="s">
        <v>17</v>
      </c>
      <c r="D7432" t="s">
        <v>17</v>
      </c>
      <c r="E7432" t="s">
        <v>17</v>
      </c>
      <c r="F7432" t="s">
        <v>17</v>
      </c>
      <c r="G7432" t="s">
        <v>17</v>
      </c>
      <c r="H7432" t="s">
        <v>17</v>
      </c>
      <c r="I7432" t="str">
        <f>"062022007419"</f>
        <v>062022007419</v>
      </c>
    </row>
    <row r="7433" spans="1:9" x14ac:dyDescent="0.25">
      <c r="A7433" t="s">
        <v>6477</v>
      </c>
      <c r="B7433" t="s">
        <v>13</v>
      </c>
      <c r="C7433">
        <v>15.76</v>
      </c>
      <c r="D7433">
        <v>11.58</v>
      </c>
      <c r="E7433" t="s">
        <v>17</v>
      </c>
      <c r="F7433">
        <v>11.23</v>
      </c>
      <c r="G7433">
        <v>10.54</v>
      </c>
      <c r="H7433" t="s">
        <v>17</v>
      </c>
      <c r="I7433" t="str">
        <f>"062022002422"</f>
        <v>062022002422</v>
      </c>
    </row>
    <row r="7434" spans="1:9" x14ac:dyDescent="0.25">
      <c r="A7434" t="s">
        <v>6478</v>
      </c>
      <c r="B7434" t="s">
        <v>13</v>
      </c>
      <c r="C7434">
        <v>7.25</v>
      </c>
      <c r="D7434">
        <v>6.99</v>
      </c>
      <c r="E7434" t="s">
        <v>17</v>
      </c>
      <c r="F7434">
        <v>12.97</v>
      </c>
      <c r="G7434">
        <v>14.59</v>
      </c>
      <c r="H7434" t="s">
        <v>17</v>
      </c>
      <c r="I7434" t="str">
        <f>"062022002423"</f>
        <v>062022002423</v>
      </c>
    </row>
    <row r="7435" spans="1:9" x14ac:dyDescent="0.25">
      <c r="A7435" t="s">
        <v>6479</v>
      </c>
      <c r="B7435" t="s">
        <v>13</v>
      </c>
      <c r="C7435">
        <v>60.55</v>
      </c>
      <c r="D7435">
        <v>61</v>
      </c>
      <c r="E7435" t="s">
        <v>17</v>
      </c>
      <c r="F7435">
        <v>21.39</v>
      </c>
      <c r="G7435">
        <v>21.59</v>
      </c>
      <c r="H7435" t="s">
        <v>17</v>
      </c>
      <c r="I7435" t="str">
        <f>"063025004723"</f>
        <v>063025004723</v>
      </c>
    </row>
    <row r="7436" spans="1:9" x14ac:dyDescent="0.25">
      <c r="A7436" t="s">
        <v>6480</v>
      </c>
      <c r="B7436" t="s">
        <v>13</v>
      </c>
      <c r="C7436">
        <v>31.2</v>
      </c>
      <c r="D7436">
        <v>29.4</v>
      </c>
      <c r="E7436" t="s">
        <v>17</v>
      </c>
      <c r="F7436">
        <v>23.21</v>
      </c>
      <c r="G7436">
        <v>22.01</v>
      </c>
      <c r="H7436" t="s">
        <v>17</v>
      </c>
      <c r="I7436" t="str">
        <f>"063025004724"</f>
        <v>063025004724</v>
      </c>
    </row>
    <row r="7437" spans="1:9" x14ac:dyDescent="0.25">
      <c r="A7437" t="s">
        <v>6481</v>
      </c>
      <c r="B7437" t="s">
        <v>13</v>
      </c>
      <c r="C7437">
        <v>19</v>
      </c>
      <c r="D7437">
        <v>18.899999999999999</v>
      </c>
      <c r="E7437" t="s">
        <v>17</v>
      </c>
      <c r="F7437">
        <v>28.47</v>
      </c>
      <c r="G7437">
        <v>31.11</v>
      </c>
      <c r="H7437" t="s">
        <v>17</v>
      </c>
      <c r="I7437" t="str">
        <f>"063384005274"</f>
        <v>063384005274</v>
      </c>
    </row>
    <row r="7438" spans="1:9" x14ac:dyDescent="0.25">
      <c r="A7438" t="s">
        <v>6481</v>
      </c>
      <c r="B7438" t="s">
        <v>13</v>
      </c>
      <c r="C7438">
        <v>15</v>
      </c>
      <c r="D7438">
        <v>14</v>
      </c>
      <c r="E7438" t="s">
        <v>17</v>
      </c>
      <c r="F7438">
        <v>26.8</v>
      </c>
      <c r="G7438">
        <v>29</v>
      </c>
      <c r="H7438" t="s">
        <v>17</v>
      </c>
      <c r="I7438" t="str">
        <f>"064299007146"</f>
        <v>064299007146</v>
      </c>
    </row>
    <row r="7439" spans="1:9" x14ac:dyDescent="0.25">
      <c r="A7439" t="s">
        <v>6482</v>
      </c>
      <c r="B7439" t="s">
        <v>13</v>
      </c>
      <c r="C7439">
        <v>46.08</v>
      </c>
      <c r="D7439">
        <v>47.4</v>
      </c>
      <c r="E7439" t="s">
        <v>17</v>
      </c>
      <c r="F7439">
        <v>19.16</v>
      </c>
      <c r="G7439">
        <v>18.86</v>
      </c>
      <c r="H7439" t="s">
        <v>17</v>
      </c>
      <c r="I7439" t="str">
        <f>"063459005731"</f>
        <v>063459005731</v>
      </c>
    </row>
    <row r="7440" spans="1:9" x14ac:dyDescent="0.25">
      <c r="A7440" t="s">
        <v>6483</v>
      </c>
      <c r="B7440" t="s">
        <v>13</v>
      </c>
      <c r="C7440">
        <v>13.6</v>
      </c>
      <c r="D7440">
        <v>14.6</v>
      </c>
      <c r="E7440" t="s">
        <v>17</v>
      </c>
      <c r="F7440">
        <v>27.35</v>
      </c>
      <c r="G7440">
        <v>26.23</v>
      </c>
      <c r="H7440" t="s">
        <v>17</v>
      </c>
      <c r="I7440" t="str">
        <f>"061389001580"</f>
        <v>061389001580</v>
      </c>
    </row>
    <row r="7441" spans="1:9" x14ac:dyDescent="0.25">
      <c r="A7441" t="s">
        <v>6484</v>
      </c>
      <c r="B7441" t="s">
        <v>13</v>
      </c>
      <c r="C7441">
        <v>71.209999999999994</v>
      </c>
      <c r="D7441">
        <v>79.2</v>
      </c>
      <c r="E7441" t="s">
        <v>17</v>
      </c>
      <c r="F7441">
        <v>24.97</v>
      </c>
      <c r="G7441">
        <v>23.14</v>
      </c>
      <c r="H7441" t="s">
        <v>17</v>
      </c>
      <c r="I7441" t="str">
        <f>"062515001807"</f>
        <v>062515001807</v>
      </c>
    </row>
    <row r="7442" spans="1:9" x14ac:dyDescent="0.25">
      <c r="A7442" t="s">
        <v>6485</v>
      </c>
      <c r="B7442" t="s">
        <v>13</v>
      </c>
      <c r="C7442">
        <v>22.53</v>
      </c>
      <c r="D7442">
        <v>23.53</v>
      </c>
      <c r="E7442" t="s">
        <v>17</v>
      </c>
      <c r="F7442">
        <v>26.36</v>
      </c>
      <c r="G7442">
        <v>25.03</v>
      </c>
      <c r="H7442" t="s">
        <v>17</v>
      </c>
      <c r="I7442" t="str">
        <f>"062343003560"</f>
        <v>062343003560</v>
      </c>
    </row>
    <row r="7443" spans="1:9" x14ac:dyDescent="0.25">
      <c r="A7443" t="s">
        <v>6486</v>
      </c>
      <c r="B7443" t="s">
        <v>13</v>
      </c>
      <c r="C7443">
        <v>28.1</v>
      </c>
      <c r="D7443">
        <v>31.05</v>
      </c>
      <c r="E7443" t="s">
        <v>17</v>
      </c>
      <c r="F7443">
        <v>23.84</v>
      </c>
      <c r="G7443">
        <v>22.8</v>
      </c>
      <c r="H7443" t="s">
        <v>17</v>
      </c>
      <c r="I7443" t="str">
        <f>"060907000927"</f>
        <v>060907000927</v>
      </c>
    </row>
    <row r="7444" spans="1:9" x14ac:dyDescent="0.25">
      <c r="A7444" t="s">
        <v>6487</v>
      </c>
      <c r="B7444" t="s">
        <v>13</v>
      </c>
      <c r="C7444">
        <v>18.5</v>
      </c>
      <c r="D7444">
        <v>21</v>
      </c>
      <c r="E7444" t="s">
        <v>17</v>
      </c>
      <c r="F7444">
        <v>30.59</v>
      </c>
      <c r="G7444">
        <v>30.1</v>
      </c>
      <c r="H7444" t="s">
        <v>17</v>
      </c>
      <c r="I7444" t="str">
        <f>"064015007203"</f>
        <v>064015007203</v>
      </c>
    </row>
    <row r="7445" spans="1:9" x14ac:dyDescent="0.25">
      <c r="A7445" t="s">
        <v>6488</v>
      </c>
      <c r="B7445" t="s">
        <v>13</v>
      </c>
      <c r="C7445">
        <v>12.4</v>
      </c>
      <c r="D7445">
        <v>12.4</v>
      </c>
      <c r="E7445" t="s">
        <v>17</v>
      </c>
      <c r="F7445">
        <v>21.85</v>
      </c>
      <c r="G7445">
        <v>22.18</v>
      </c>
      <c r="H7445" t="s">
        <v>17</v>
      </c>
      <c r="I7445" t="str">
        <f>"069104107887"</f>
        <v>069104107887</v>
      </c>
    </row>
    <row r="7446" spans="1:9" x14ac:dyDescent="0.25">
      <c r="A7446" t="s">
        <v>6489</v>
      </c>
      <c r="B7446" t="s">
        <v>13</v>
      </c>
      <c r="C7446">
        <v>21</v>
      </c>
      <c r="D7446">
        <v>22</v>
      </c>
      <c r="E7446" t="s">
        <v>17</v>
      </c>
      <c r="F7446">
        <v>27.71</v>
      </c>
      <c r="G7446">
        <v>27.59</v>
      </c>
      <c r="H7446" t="s">
        <v>17</v>
      </c>
      <c r="I7446" t="str">
        <f>"063697007875"</f>
        <v>063697007875</v>
      </c>
    </row>
    <row r="7447" spans="1:9" x14ac:dyDescent="0.25">
      <c r="A7447" t="s">
        <v>6490</v>
      </c>
      <c r="B7447" t="s">
        <v>13</v>
      </c>
      <c r="C7447">
        <v>27</v>
      </c>
      <c r="D7447">
        <v>25</v>
      </c>
      <c r="E7447" t="s">
        <v>17</v>
      </c>
      <c r="F7447">
        <v>27.81</v>
      </c>
      <c r="G7447">
        <v>29.28</v>
      </c>
      <c r="H7447" t="s">
        <v>17</v>
      </c>
      <c r="I7447" t="str">
        <f>"060579008488"</f>
        <v>060579008488</v>
      </c>
    </row>
    <row r="7448" spans="1:9" x14ac:dyDescent="0.25">
      <c r="A7448" t="s">
        <v>6491</v>
      </c>
      <c r="B7448" t="s">
        <v>13</v>
      </c>
      <c r="C7448">
        <v>30.5</v>
      </c>
      <c r="D7448">
        <v>34.83</v>
      </c>
      <c r="E7448" t="s">
        <v>17</v>
      </c>
      <c r="F7448">
        <v>28.92</v>
      </c>
      <c r="G7448">
        <v>24.12</v>
      </c>
      <c r="H7448" t="s">
        <v>17</v>
      </c>
      <c r="I7448" t="str">
        <f>"063132004857"</f>
        <v>063132004857</v>
      </c>
    </row>
    <row r="7449" spans="1:9" x14ac:dyDescent="0.25">
      <c r="A7449" t="s">
        <v>6492</v>
      </c>
      <c r="B7449" t="s">
        <v>13</v>
      </c>
      <c r="C7449">
        <v>21.83</v>
      </c>
      <c r="D7449">
        <v>19.95</v>
      </c>
      <c r="E7449" t="s">
        <v>17</v>
      </c>
      <c r="F7449">
        <v>25.84</v>
      </c>
      <c r="G7449">
        <v>22.96</v>
      </c>
      <c r="H7449" t="s">
        <v>17</v>
      </c>
      <c r="I7449" t="str">
        <f>"060744009745"</f>
        <v>060744009745</v>
      </c>
    </row>
    <row r="7450" spans="1:9" x14ac:dyDescent="0.25">
      <c r="A7450" t="s">
        <v>6493</v>
      </c>
      <c r="B7450" t="s">
        <v>13</v>
      </c>
      <c r="C7450">
        <v>22.91</v>
      </c>
      <c r="D7450">
        <v>26.03</v>
      </c>
      <c r="E7450" t="s">
        <v>17</v>
      </c>
      <c r="F7450">
        <v>27.54</v>
      </c>
      <c r="G7450">
        <v>25.59</v>
      </c>
      <c r="H7450" t="s">
        <v>17</v>
      </c>
      <c r="I7450" t="str">
        <f>"063942006566"</f>
        <v>063942006566</v>
      </c>
    </row>
    <row r="7451" spans="1:9" x14ac:dyDescent="0.25">
      <c r="A7451" t="s">
        <v>6494</v>
      </c>
      <c r="B7451" t="s">
        <v>13</v>
      </c>
      <c r="C7451">
        <v>26</v>
      </c>
      <c r="D7451">
        <v>26</v>
      </c>
      <c r="E7451" t="s">
        <v>17</v>
      </c>
      <c r="F7451">
        <v>29.54</v>
      </c>
      <c r="G7451">
        <v>27.23</v>
      </c>
      <c r="H7451" t="s">
        <v>17</v>
      </c>
      <c r="I7451" t="str">
        <f>"060243011845"</f>
        <v>060243011845</v>
      </c>
    </row>
    <row r="7452" spans="1:9" x14ac:dyDescent="0.25">
      <c r="A7452" t="s">
        <v>6495</v>
      </c>
      <c r="B7452" t="s">
        <v>13</v>
      </c>
      <c r="C7452">
        <v>21</v>
      </c>
      <c r="D7452">
        <v>27.02</v>
      </c>
      <c r="E7452" t="s">
        <v>17</v>
      </c>
      <c r="F7452">
        <v>27.48</v>
      </c>
      <c r="G7452">
        <v>22.13</v>
      </c>
      <c r="H7452" t="s">
        <v>17</v>
      </c>
      <c r="I7452" t="str">
        <f>"062664004026"</f>
        <v>062664004026</v>
      </c>
    </row>
    <row r="7453" spans="1:9" x14ac:dyDescent="0.25">
      <c r="A7453" t="s">
        <v>6496</v>
      </c>
      <c r="B7453" t="s">
        <v>13</v>
      </c>
      <c r="C7453">
        <v>109</v>
      </c>
      <c r="D7453">
        <v>131.55000000000001</v>
      </c>
      <c r="E7453" t="s">
        <v>17</v>
      </c>
      <c r="F7453">
        <v>25.38</v>
      </c>
      <c r="G7453">
        <v>23.25</v>
      </c>
      <c r="H7453" t="s">
        <v>17</v>
      </c>
      <c r="I7453" t="str">
        <f>"062271002838"</f>
        <v>062271002838</v>
      </c>
    </row>
    <row r="7454" spans="1:9" x14ac:dyDescent="0.25">
      <c r="A7454" t="s">
        <v>6497</v>
      </c>
      <c r="B7454" t="s">
        <v>13</v>
      </c>
      <c r="C7454">
        <v>21</v>
      </c>
      <c r="D7454">
        <v>19</v>
      </c>
      <c r="E7454" t="s">
        <v>17</v>
      </c>
      <c r="F7454">
        <v>30.57</v>
      </c>
      <c r="G7454">
        <v>29.68</v>
      </c>
      <c r="H7454" t="s">
        <v>17</v>
      </c>
      <c r="I7454" t="str">
        <f>"063384005276"</f>
        <v>063384005276</v>
      </c>
    </row>
    <row r="7455" spans="1:9" x14ac:dyDescent="0.25">
      <c r="A7455" t="s">
        <v>6498</v>
      </c>
      <c r="B7455" t="s">
        <v>13</v>
      </c>
      <c r="C7455">
        <v>28.56</v>
      </c>
      <c r="D7455">
        <v>29.97</v>
      </c>
      <c r="E7455" t="s">
        <v>17</v>
      </c>
      <c r="F7455">
        <v>26.33</v>
      </c>
      <c r="G7455">
        <v>23.66</v>
      </c>
      <c r="H7455" t="s">
        <v>17</v>
      </c>
      <c r="I7455" t="str">
        <f>"060002008445"</f>
        <v>060002008445</v>
      </c>
    </row>
    <row r="7456" spans="1:9" x14ac:dyDescent="0.25">
      <c r="A7456" t="s">
        <v>6499</v>
      </c>
      <c r="B7456" t="s">
        <v>13</v>
      </c>
      <c r="C7456" t="str">
        <f>"0.80"</f>
        <v>0.80</v>
      </c>
      <c r="D7456">
        <v>1.43</v>
      </c>
      <c r="E7456" t="s">
        <v>17</v>
      </c>
      <c r="F7456">
        <v>5</v>
      </c>
      <c r="G7456">
        <v>9.09</v>
      </c>
      <c r="H7456" t="s">
        <v>17</v>
      </c>
      <c r="I7456" t="str">
        <f>"069101804617"</f>
        <v>069101804617</v>
      </c>
    </row>
    <row r="7457" spans="1:9" x14ac:dyDescent="0.25">
      <c r="A7457" t="s">
        <v>6499</v>
      </c>
      <c r="B7457" t="s">
        <v>13</v>
      </c>
      <c r="C7457">
        <v>45.3</v>
      </c>
      <c r="D7457">
        <v>46.5</v>
      </c>
      <c r="E7457" t="s">
        <v>17</v>
      </c>
      <c r="F7457">
        <v>24.44</v>
      </c>
      <c r="G7457">
        <v>25.85</v>
      </c>
      <c r="H7457" t="s">
        <v>17</v>
      </c>
      <c r="I7457" t="str">
        <f>"060001712663"</f>
        <v>060001712663</v>
      </c>
    </row>
    <row r="7458" spans="1:9" x14ac:dyDescent="0.25">
      <c r="A7458" t="s">
        <v>6500</v>
      </c>
      <c r="B7458" t="s">
        <v>13</v>
      </c>
      <c r="C7458">
        <v>5</v>
      </c>
      <c r="D7458">
        <v>7</v>
      </c>
      <c r="E7458" t="s">
        <v>17</v>
      </c>
      <c r="F7458">
        <v>17.399999999999999</v>
      </c>
      <c r="G7458">
        <v>10.57</v>
      </c>
      <c r="H7458" t="s">
        <v>17</v>
      </c>
      <c r="I7458" t="str">
        <f>"069107812742"</f>
        <v>069107812742</v>
      </c>
    </row>
    <row r="7459" spans="1:9" x14ac:dyDescent="0.25">
      <c r="A7459" t="s">
        <v>6501</v>
      </c>
      <c r="B7459" t="s">
        <v>13</v>
      </c>
      <c r="C7459">
        <v>1</v>
      </c>
      <c r="D7459" t="s">
        <v>17</v>
      </c>
      <c r="E7459" t="s">
        <v>17</v>
      </c>
      <c r="F7459">
        <v>3</v>
      </c>
      <c r="G7459" t="s">
        <v>17</v>
      </c>
      <c r="H7459" t="s">
        <v>17</v>
      </c>
      <c r="I7459" t="str">
        <f>"069101110804"</f>
        <v>069101110804</v>
      </c>
    </row>
    <row r="7460" spans="1:9" x14ac:dyDescent="0.25">
      <c r="A7460" t="s">
        <v>6502</v>
      </c>
      <c r="B7460" t="s">
        <v>13</v>
      </c>
      <c r="C7460">
        <v>3.5</v>
      </c>
      <c r="D7460">
        <v>3.01</v>
      </c>
      <c r="E7460" t="s">
        <v>17</v>
      </c>
      <c r="F7460">
        <v>22.57</v>
      </c>
      <c r="G7460">
        <v>26.58</v>
      </c>
      <c r="H7460" t="s">
        <v>17</v>
      </c>
      <c r="I7460" t="str">
        <f>"062271003279"</f>
        <v>062271003279</v>
      </c>
    </row>
    <row r="7461" spans="1:9" x14ac:dyDescent="0.25">
      <c r="A7461" t="s">
        <v>6503</v>
      </c>
      <c r="B7461" t="s">
        <v>13</v>
      </c>
      <c r="C7461">
        <v>6</v>
      </c>
      <c r="D7461">
        <v>6</v>
      </c>
      <c r="E7461" t="s">
        <v>17</v>
      </c>
      <c r="F7461">
        <v>7</v>
      </c>
      <c r="G7461">
        <v>8.33</v>
      </c>
      <c r="H7461" t="s">
        <v>17</v>
      </c>
      <c r="I7461" t="str">
        <f>"061455010490"</f>
        <v>061455010490</v>
      </c>
    </row>
    <row r="7462" spans="1:9" x14ac:dyDescent="0.25">
      <c r="A7462" t="s">
        <v>6504</v>
      </c>
      <c r="B7462" t="s">
        <v>13</v>
      </c>
      <c r="C7462">
        <v>4.0599999999999996</v>
      </c>
      <c r="D7462">
        <v>4.4000000000000004</v>
      </c>
      <c r="E7462" t="s">
        <v>17</v>
      </c>
      <c r="F7462">
        <v>20.440000000000001</v>
      </c>
      <c r="G7462">
        <v>21.59</v>
      </c>
      <c r="H7462" t="s">
        <v>17</v>
      </c>
      <c r="I7462" t="str">
        <f>"061182010318"</f>
        <v>061182010318</v>
      </c>
    </row>
    <row r="7463" spans="1:9" x14ac:dyDescent="0.25">
      <c r="A7463" t="s">
        <v>6504</v>
      </c>
      <c r="B7463" t="s">
        <v>13</v>
      </c>
      <c r="C7463">
        <v>6</v>
      </c>
      <c r="D7463">
        <v>7.11</v>
      </c>
      <c r="E7463" t="s">
        <v>17</v>
      </c>
      <c r="F7463">
        <v>24.33</v>
      </c>
      <c r="G7463">
        <v>15.75</v>
      </c>
      <c r="H7463" t="s">
        <v>17</v>
      </c>
      <c r="I7463" t="str">
        <f>"061623010308"</f>
        <v>061623010308</v>
      </c>
    </row>
    <row r="7464" spans="1:9" x14ac:dyDescent="0.25">
      <c r="A7464" t="s">
        <v>6505</v>
      </c>
      <c r="B7464" t="s">
        <v>13</v>
      </c>
      <c r="C7464">
        <v>2.2999999999999998</v>
      </c>
      <c r="D7464">
        <v>4.8899999999999997</v>
      </c>
      <c r="E7464" t="s">
        <v>17</v>
      </c>
      <c r="F7464">
        <v>2.61</v>
      </c>
      <c r="G7464">
        <v>10.220000000000001</v>
      </c>
      <c r="H7464" t="s">
        <v>17</v>
      </c>
      <c r="I7464" t="str">
        <f>"062211001726"</f>
        <v>062211001726</v>
      </c>
    </row>
    <row r="7465" spans="1:9" x14ac:dyDescent="0.25">
      <c r="A7465" t="s">
        <v>6505</v>
      </c>
      <c r="B7465" t="s">
        <v>13</v>
      </c>
      <c r="C7465">
        <v>4.2</v>
      </c>
      <c r="D7465">
        <v>4.0999999999999996</v>
      </c>
      <c r="E7465" t="s">
        <v>17</v>
      </c>
      <c r="F7465">
        <v>15.48</v>
      </c>
      <c r="G7465">
        <v>19.27</v>
      </c>
      <c r="H7465" t="s">
        <v>17</v>
      </c>
      <c r="I7465" t="str">
        <f>"064214006898"</f>
        <v>064214006898</v>
      </c>
    </row>
    <row r="7466" spans="1:9" x14ac:dyDescent="0.25">
      <c r="A7466" t="s">
        <v>6505</v>
      </c>
      <c r="B7466" t="s">
        <v>13</v>
      </c>
      <c r="C7466">
        <v>2.0299999999999998</v>
      </c>
      <c r="D7466">
        <v>2</v>
      </c>
      <c r="E7466" t="s">
        <v>17</v>
      </c>
      <c r="F7466">
        <v>19.21</v>
      </c>
      <c r="G7466">
        <v>18</v>
      </c>
      <c r="H7466" t="s">
        <v>17</v>
      </c>
      <c r="I7466" t="str">
        <f>"060994004119"</f>
        <v>060994004119</v>
      </c>
    </row>
    <row r="7467" spans="1:9" x14ac:dyDescent="0.25">
      <c r="A7467" t="s">
        <v>6506</v>
      </c>
      <c r="B7467" t="s">
        <v>13</v>
      </c>
      <c r="C7467">
        <v>14</v>
      </c>
      <c r="D7467">
        <v>14</v>
      </c>
      <c r="E7467" t="s">
        <v>17</v>
      </c>
      <c r="F7467">
        <v>8.5</v>
      </c>
      <c r="G7467">
        <v>9.86</v>
      </c>
      <c r="H7467" t="s">
        <v>17</v>
      </c>
      <c r="I7467" t="str">
        <f>"060282005827"</f>
        <v>060282005827</v>
      </c>
    </row>
    <row r="7468" spans="1:9" x14ac:dyDescent="0.25">
      <c r="A7468" t="s">
        <v>6507</v>
      </c>
      <c r="B7468" t="s">
        <v>13</v>
      </c>
      <c r="C7468">
        <v>1</v>
      </c>
      <c r="D7468" t="s">
        <v>14</v>
      </c>
      <c r="E7468" t="s">
        <v>14</v>
      </c>
      <c r="F7468">
        <v>2</v>
      </c>
      <c r="G7468" t="s">
        <v>14</v>
      </c>
      <c r="H7468" t="s">
        <v>14</v>
      </c>
      <c r="I7468" t="str">
        <f>"069103413078"</f>
        <v>069103413078</v>
      </c>
    </row>
    <row r="7469" spans="1:9" x14ac:dyDescent="0.25">
      <c r="A7469" t="s">
        <v>6508</v>
      </c>
      <c r="B7469" t="s">
        <v>13</v>
      </c>
      <c r="C7469">
        <v>1</v>
      </c>
      <c r="D7469" t="s">
        <v>14</v>
      </c>
      <c r="E7469" t="s">
        <v>14</v>
      </c>
      <c r="F7469">
        <v>1</v>
      </c>
      <c r="G7469" t="s">
        <v>14</v>
      </c>
      <c r="H7469" t="s">
        <v>14</v>
      </c>
      <c r="I7469" t="str">
        <f>"069103413128"</f>
        <v>069103413128</v>
      </c>
    </row>
    <row r="7470" spans="1:9" x14ac:dyDescent="0.25">
      <c r="A7470" t="s">
        <v>6509</v>
      </c>
      <c r="B7470" t="s">
        <v>13</v>
      </c>
      <c r="C7470">
        <v>1</v>
      </c>
      <c r="D7470" t="s">
        <v>17</v>
      </c>
      <c r="E7470" t="s">
        <v>17</v>
      </c>
      <c r="F7470">
        <v>9</v>
      </c>
      <c r="G7470" t="s">
        <v>17</v>
      </c>
      <c r="H7470" t="s">
        <v>17</v>
      </c>
      <c r="I7470" t="str">
        <f>"069103712364"</f>
        <v>069103712364</v>
      </c>
    </row>
    <row r="7471" spans="1:9" x14ac:dyDescent="0.25">
      <c r="A7471" t="s">
        <v>6510</v>
      </c>
      <c r="B7471" t="s">
        <v>13</v>
      </c>
      <c r="C7471">
        <v>8</v>
      </c>
      <c r="D7471">
        <v>8</v>
      </c>
      <c r="E7471" t="s">
        <v>17</v>
      </c>
      <c r="F7471">
        <v>3.75</v>
      </c>
      <c r="G7471">
        <v>5.63</v>
      </c>
      <c r="H7471" t="s">
        <v>17</v>
      </c>
      <c r="I7471" t="str">
        <f>"061455012434"</f>
        <v>061455012434</v>
      </c>
    </row>
    <row r="7472" spans="1:9" x14ac:dyDescent="0.25">
      <c r="A7472" t="s">
        <v>6511</v>
      </c>
      <c r="B7472" t="s">
        <v>13</v>
      </c>
      <c r="C7472">
        <v>1</v>
      </c>
      <c r="D7472">
        <v>1</v>
      </c>
      <c r="E7472" t="s">
        <v>17</v>
      </c>
      <c r="F7472">
        <v>5</v>
      </c>
      <c r="G7472">
        <v>4</v>
      </c>
      <c r="H7472" t="s">
        <v>17</v>
      </c>
      <c r="I7472" t="str">
        <f>"060658007454"</f>
        <v>060658007454</v>
      </c>
    </row>
    <row r="7473" spans="1:9" x14ac:dyDescent="0.25">
      <c r="A7473" t="s">
        <v>6512</v>
      </c>
      <c r="B7473" t="s">
        <v>13</v>
      </c>
      <c r="C7473">
        <v>37.630000000000003</v>
      </c>
      <c r="D7473">
        <v>37.630000000000003</v>
      </c>
      <c r="E7473" t="s">
        <v>17</v>
      </c>
      <c r="F7473">
        <v>25.54</v>
      </c>
      <c r="G7473">
        <v>26.12</v>
      </c>
      <c r="H7473" t="s">
        <v>17</v>
      </c>
      <c r="I7473" t="str">
        <f>"062718011329"</f>
        <v>062718011329</v>
      </c>
    </row>
    <row r="7474" spans="1:9" x14ac:dyDescent="0.25">
      <c r="A7474" t="s">
        <v>6513</v>
      </c>
      <c r="B7474" t="s">
        <v>13</v>
      </c>
      <c r="C7474">
        <v>15.01</v>
      </c>
      <c r="D7474">
        <v>16</v>
      </c>
      <c r="E7474" t="s">
        <v>17</v>
      </c>
      <c r="F7474">
        <v>25.58</v>
      </c>
      <c r="G7474">
        <v>23.31</v>
      </c>
      <c r="H7474" t="s">
        <v>17</v>
      </c>
      <c r="I7474" t="str">
        <f>"062805004308"</f>
        <v>062805004308</v>
      </c>
    </row>
    <row r="7475" spans="1:9" x14ac:dyDescent="0.25">
      <c r="A7475" t="s">
        <v>6514</v>
      </c>
      <c r="B7475" t="s">
        <v>13</v>
      </c>
      <c r="C7475">
        <v>42.21</v>
      </c>
      <c r="D7475">
        <v>42.64</v>
      </c>
      <c r="E7475" t="s">
        <v>17</v>
      </c>
      <c r="F7475">
        <v>17.579999999999998</v>
      </c>
      <c r="G7475">
        <v>17.59</v>
      </c>
      <c r="H7475" t="s">
        <v>17</v>
      </c>
      <c r="I7475" t="str">
        <f>"063033004731"</f>
        <v>063033004731</v>
      </c>
    </row>
    <row r="7476" spans="1:9" x14ac:dyDescent="0.25">
      <c r="A7476" t="s">
        <v>6515</v>
      </c>
      <c r="B7476" t="s">
        <v>13</v>
      </c>
      <c r="C7476">
        <v>87.49</v>
      </c>
      <c r="D7476">
        <v>85.3</v>
      </c>
      <c r="E7476" t="s">
        <v>17</v>
      </c>
      <c r="F7476">
        <v>25.25</v>
      </c>
      <c r="G7476">
        <v>25.89</v>
      </c>
      <c r="H7476" t="s">
        <v>17</v>
      </c>
      <c r="I7476" t="str">
        <f>"061182001307"</f>
        <v>061182001307</v>
      </c>
    </row>
    <row r="7477" spans="1:9" x14ac:dyDescent="0.25">
      <c r="A7477" t="s">
        <v>6516</v>
      </c>
      <c r="B7477" t="s">
        <v>13</v>
      </c>
      <c r="C7477">
        <v>32</v>
      </c>
      <c r="D7477">
        <v>33</v>
      </c>
      <c r="E7477" t="s">
        <v>17</v>
      </c>
      <c r="F7477">
        <v>25.31</v>
      </c>
      <c r="G7477">
        <v>25.24</v>
      </c>
      <c r="H7477" t="s">
        <v>17</v>
      </c>
      <c r="I7477" t="str">
        <f>"060480000464"</f>
        <v>060480000464</v>
      </c>
    </row>
    <row r="7478" spans="1:9" x14ac:dyDescent="0.25">
      <c r="A7478" t="s">
        <v>6516</v>
      </c>
      <c r="B7478" t="s">
        <v>13</v>
      </c>
      <c r="C7478">
        <v>35.6</v>
      </c>
      <c r="D7478">
        <v>33</v>
      </c>
      <c r="E7478" t="s">
        <v>17</v>
      </c>
      <c r="F7478">
        <v>17.670000000000002</v>
      </c>
      <c r="G7478">
        <v>17.91</v>
      </c>
      <c r="H7478" t="s">
        <v>17</v>
      </c>
      <c r="I7478" t="str">
        <f>"063033004732"</f>
        <v>063033004732</v>
      </c>
    </row>
    <row r="7479" spans="1:9" x14ac:dyDescent="0.25">
      <c r="A7479" t="s">
        <v>6517</v>
      </c>
      <c r="B7479" t="s">
        <v>13</v>
      </c>
      <c r="C7479" t="s">
        <v>17</v>
      </c>
      <c r="D7479" t="s">
        <v>14</v>
      </c>
      <c r="E7479" t="s">
        <v>14</v>
      </c>
      <c r="F7479" t="s">
        <v>17</v>
      </c>
      <c r="G7479" t="s">
        <v>14</v>
      </c>
      <c r="H7479" t="s">
        <v>14</v>
      </c>
      <c r="I7479" t="str">
        <f>"063033013442"</f>
        <v>063033013442</v>
      </c>
    </row>
    <row r="7480" spans="1:9" x14ac:dyDescent="0.25">
      <c r="A7480" t="s">
        <v>6518</v>
      </c>
      <c r="B7480" t="s">
        <v>13</v>
      </c>
      <c r="C7480">
        <v>13.3</v>
      </c>
      <c r="D7480">
        <v>13.3</v>
      </c>
      <c r="E7480" t="s">
        <v>17</v>
      </c>
      <c r="F7480">
        <v>25.64</v>
      </c>
      <c r="G7480">
        <v>25.34</v>
      </c>
      <c r="H7480" t="s">
        <v>17</v>
      </c>
      <c r="I7480" t="str">
        <f>"063680006239"</f>
        <v>063680006239</v>
      </c>
    </row>
    <row r="7481" spans="1:9" x14ac:dyDescent="0.25">
      <c r="A7481" t="s">
        <v>6519</v>
      </c>
      <c r="B7481" t="s">
        <v>13</v>
      </c>
      <c r="C7481">
        <v>18.5</v>
      </c>
      <c r="D7481">
        <v>18.239999999999998</v>
      </c>
      <c r="E7481" t="s">
        <v>17</v>
      </c>
      <c r="F7481">
        <v>20.43</v>
      </c>
      <c r="G7481">
        <v>19.57</v>
      </c>
      <c r="H7481" t="s">
        <v>17</v>
      </c>
      <c r="I7481" t="str">
        <f>"063036004736"</f>
        <v>063036004736</v>
      </c>
    </row>
    <row r="7482" spans="1:9" x14ac:dyDescent="0.25">
      <c r="A7482" t="s">
        <v>6520</v>
      </c>
      <c r="B7482" t="s">
        <v>13</v>
      </c>
      <c r="C7482">
        <v>11.03</v>
      </c>
      <c r="D7482">
        <v>12</v>
      </c>
      <c r="E7482" t="s">
        <v>17</v>
      </c>
      <c r="F7482">
        <v>28.56</v>
      </c>
      <c r="G7482">
        <v>25.67</v>
      </c>
      <c r="H7482" t="s">
        <v>17</v>
      </c>
      <c r="I7482" t="str">
        <f>"064098006761"</f>
        <v>064098006761</v>
      </c>
    </row>
    <row r="7483" spans="1:9" x14ac:dyDescent="0.25">
      <c r="A7483" t="s">
        <v>6521</v>
      </c>
      <c r="B7483" t="s">
        <v>13</v>
      </c>
      <c r="C7483">
        <v>1.5</v>
      </c>
      <c r="D7483">
        <v>1.5</v>
      </c>
      <c r="E7483" t="s">
        <v>17</v>
      </c>
      <c r="F7483">
        <v>26.67</v>
      </c>
      <c r="G7483">
        <v>23.33</v>
      </c>
      <c r="H7483" t="s">
        <v>17</v>
      </c>
      <c r="I7483" t="str">
        <f>"060678000602"</f>
        <v>060678000602</v>
      </c>
    </row>
    <row r="7484" spans="1:9" x14ac:dyDescent="0.25">
      <c r="A7484" t="s">
        <v>6522</v>
      </c>
      <c r="B7484" t="s">
        <v>13</v>
      </c>
      <c r="C7484">
        <v>42.6</v>
      </c>
      <c r="D7484">
        <v>45.4</v>
      </c>
      <c r="E7484" t="s">
        <v>17</v>
      </c>
      <c r="F7484">
        <v>27.77</v>
      </c>
      <c r="G7484">
        <v>26.08</v>
      </c>
      <c r="H7484" t="s">
        <v>17</v>
      </c>
      <c r="I7484" t="str">
        <f>"063021009176"</f>
        <v>063021009176</v>
      </c>
    </row>
    <row r="7485" spans="1:9" x14ac:dyDescent="0.25">
      <c r="A7485" t="s">
        <v>6523</v>
      </c>
      <c r="B7485" t="s">
        <v>13</v>
      </c>
      <c r="C7485" t="s">
        <v>14</v>
      </c>
      <c r="D7485" t="s">
        <v>14</v>
      </c>
      <c r="E7485" t="s">
        <v>17</v>
      </c>
      <c r="F7485" t="s">
        <v>14</v>
      </c>
      <c r="G7485" t="s">
        <v>14</v>
      </c>
      <c r="H7485" t="s">
        <v>17</v>
      </c>
      <c r="I7485" t="str">
        <f>"063618006179"</f>
        <v>063618006179</v>
      </c>
    </row>
    <row r="7486" spans="1:9" x14ac:dyDescent="0.25">
      <c r="A7486" t="s">
        <v>6524</v>
      </c>
      <c r="B7486" t="s">
        <v>13</v>
      </c>
      <c r="C7486">
        <v>10</v>
      </c>
      <c r="D7486">
        <v>10</v>
      </c>
      <c r="E7486" t="s">
        <v>17</v>
      </c>
      <c r="F7486">
        <v>20</v>
      </c>
      <c r="G7486">
        <v>17.899999999999999</v>
      </c>
      <c r="H7486" t="s">
        <v>17</v>
      </c>
      <c r="I7486" t="str">
        <f>"061743002187"</f>
        <v>061743002187</v>
      </c>
    </row>
    <row r="7487" spans="1:9" x14ac:dyDescent="0.25">
      <c r="A7487" t="s">
        <v>6525</v>
      </c>
      <c r="B7487" t="s">
        <v>13</v>
      </c>
      <c r="C7487">
        <v>11</v>
      </c>
      <c r="D7487">
        <v>10</v>
      </c>
      <c r="E7487" t="s">
        <v>17</v>
      </c>
      <c r="F7487">
        <v>21.45</v>
      </c>
      <c r="G7487">
        <v>22.5</v>
      </c>
      <c r="H7487" t="s">
        <v>17</v>
      </c>
      <c r="I7487" t="str">
        <f>"061077001197"</f>
        <v>061077001197</v>
      </c>
    </row>
    <row r="7488" spans="1:9" x14ac:dyDescent="0.25">
      <c r="A7488" t="s">
        <v>6525</v>
      </c>
      <c r="B7488" t="s">
        <v>13</v>
      </c>
      <c r="C7488">
        <v>19</v>
      </c>
      <c r="D7488">
        <v>21</v>
      </c>
      <c r="E7488" t="s">
        <v>17</v>
      </c>
      <c r="F7488">
        <v>28.32</v>
      </c>
      <c r="G7488">
        <v>28.76</v>
      </c>
      <c r="H7488" t="s">
        <v>17</v>
      </c>
      <c r="I7488" t="str">
        <f>"062871004467"</f>
        <v>062871004467</v>
      </c>
    </row>
    <row r="7489" spans="1:9" x14ac:dyDescent="0.25">
      <c r="A7489" t="s">
        <v>6526</v>
      </c>
      <c r="B7489" t="s">
        <v>13</v>
      </c>
      <c r="C7489">
        <v>9.9</v>
      </c>
      <c r="D7489">
        <v>9.9</v>
      </c>
      <c r="E7489" t="s">
        <v>17</v>
      </c>
      <c r="F7489">
        <v>27.78</v>
      </c>
      <c r="G7489">
        <v>27.07</v>
      </c>
      <c r="H7489" t="s">
        <v>17</v>
      </c>
      <c r="I7489" t="str">
        <f>"060245008790"</f>
        <v>060245008790</v>
      </c>
    </row>
    <row r="7490" spans="1:9" x14ac:dyDescent="0.25">
      <c r="A7490" t="s">
        <v>6527</v>
      </c>
      <c r="B7490" t="s">
        <v>13</v>
      </c>
      <c r="C7490" t="s">
        <v>14</v>
      </c>
      <c r="D7490" t="s">
        <v>17</v>
      </c>
      <c r="E7490" t="s">
        <v>17</v>
      </c>
      <c r="F7490" t="s">
        <v>14</v>
      </c>
      <c r="G7490" t="s">
        <v>17</v>
      </c>
      <c r="H7490" t="s">
        <v>17</v>
      </c>
      <c r="I7490" t="str">
        <f>"060005007486"</f>
        <v>060005007486</v>
      </c>
    </row>
    <row r="7491" spans="1:9" x14ac:dyDescent="0.25">
      <c r="A7491" t="s">
        <v>6527</v>
      </c>
      <c r="B7491" t="s">
        <v>13</v>
      </c>
      <c r="C7491" t="s">
        <v>17</v>
      </c>
      <c r="D7491" t="s">
        <v>14</v>
      </c>
      <c r="E7491" t="s">
        <v>14</v>
      </c>
      <c r="F7491" t="s">
        <v>17</v>
      </c>
      <c r="G7491" t="s">
        <v>14</v>
      </c>
      <c r="H7491" t="s">
        <v>14</v>
      </c>
      <c r="I7491" t="str">
        <f>"060142207486"</f>
        <v>060142207486</v>
      </c>
    </row>
    <row r="7492" spans="1:9" x14ac:dyDescent="0.25">
      <c r="A7492" t="s">
        <v>6528</v>
      </c>
      <c r="B7492" t="s">
        <v>13</v>
      </c>
      <c r="C7492">
        <v>13.1</v>
      </c>
      <c r="D7492">
        <v>13</v>
      </c>
      <c r="E7492" t="s">
        <v>17</v>
      </c>
      <c r="F7492">
        <v>22.44</v>
      </c>
      <c r="G7492">
        <v>19.920000000000002</v>
      </c>
      <c r="H7492" t="s">
        <v>17</v>
      </c>
      <c r="I7492" t="str">
        <f>"063735006313"</f>
        <v>063735006313</v>
      </c>
    </row>
    <row r="7493" spans="1:9" x14ac:dyDescent="0.25">
      <c r="A7493" t="s">
        <v>6529</v>
      </c>
      <c r="B7493" t="s">
        <v>13</v>
      </c>
      <c r="C7493">
        <v>31.4</v>
      </c>
      <c r="D7493">
        <v>31.8</v>
      </c>
      <c r="E7493" t="s">
        <v>17</v>
      </c>
      <c r="F7493">
        <v>22.55</v>
      </c>
      <c r="G7493">
        <v>22.77</v>
      </c>
      <c r="H7493" t="s">
        <v>17</v>
      </c>
      <c r="I7493" t="str">
        <f>"062637003965"</f>
        <v>062637003965</v>
      </c>
    </row>
    <row r="7494" spans="1:9" x14ac:dyDescent="0.25">
      <c r="A7494" t="s">
        <v>6530</v>
      </c>
      <c r="B7494" t="s">
        <v>13</v>
      </c>
      <c r="C7494">
        <v>3.5</v>
      </c>
      <c r="D7494">
        <v>4</v>
      </c>
      <c r="E7494" t="s">
        <v>17</v>
      </c>
      <c r="F7494">
        <v>26.57</v>
      </c>
      <c r="G7494">
        <v>19.5</v>
      </c>
      <c r="H7494" t="s">
        <v>17</v>
      </c>
      <c r="I7494" t="str">
        <f>"060002610815"</f>
        <v>060002610815</v>
      </c>
    </row>
    <row r="7495" spans="1:9" x14ac:dyDescent="0.25">
      <c r="A7495" t="s">
        <v>6531</v>
      </c>
      <c r="B7495" t="s">
        <v>13</v>
      </c>
      <c r="C7495">
        <v>22.6</v>
      </c>
      <c r="D7495">
        <v>25.7</v>
      </c>
      <c r="E7495" t="s">
        <v>17</v>
      </c>
      <c r="F7495">
        <v>22.17</v>
      </c>
      <c r="G7495">
        <v>20.82</v>
      </c>
      <c r="H7495" t="s">
        <v>17</v>
      </c>
      <c r="I7495" t="str">
        <f>"062982008937"</f>
        <v>062982008937</v>
      </c>
    </row>
    <row r="7496" spans="1:9" x14ac:dyDescent="0.25">
      <c r="A7496" t="s">
        <v>6532</v>
      </c>
      <c r="B7496" t="s">
        <v>13</v>
      </c>
      <c r="C7496">
        <v>8</v>
      </c>
      <c r="D7496">
        <v>8</v>
      </c>
      <c r="E7496" t="s">
        <v>17</v>
      </c>
      <c r="F7496">
        <v>11.75</v>
      </c>
      <c r="G7496">
        <v>10</v>
      </c>
      <c r="H7496" t="s">
        <v>17</v>
      </c>
      <c r="I7496" t="str">
        <f>"063039004737"</f>
        <v>063039004737</v>
      </c>
    </row>
    <row r="7497" spans="1:9" x14ac:dyDescent="0.25">
      <c r="A7497" t="s">
        <v>6533</v>
      </c>
      <c r="B7497" t="s">
        <v>13</v>
      </c>
      <c r="C7497">
        <v>19.5</v>
      </c>
      <c r="D7497">
        <v>21</v>
      </c>
      <c r="E7497" t="s">
        <v>17</v>
      </c>
      <c r="F7497">
        <v>19.64</v>
      </c>
      <c r="G7497">
        <v>18.57</v>
      </c>
      <c r="H7497" t="s">
        <v>17</v>
      </c>
      <c r="I7497" t="str">
        <f>"060140909309"</f>
        <v>060140909309</v>
      </c>
    </row>
    <row r="7498" spans="1:9" x14ac:dyDescent="0.25">
      <c r="A7498" t="s">
        <v>6534</v>
      </c>
      <c r="B7498" t="s">
        <v>13</v>
      </c>
      <c r="C7498" t="s">
        <v>14</v>
      </c>
      <c r="D7498">
        <v>5</v>
      </c>
      <c r="E7498" t="s">
        <v>17</v>
      </c>
      <c r="F7498" t="s">
        <v>17</v>
      </c>
      <c r="G7498">
        <v>22.8</v>
      </c>
      <c r="H7498" t="s">
        <v>17</v>
      </c>
      <c r="I7498" t="str">
        <f>"062610003908"</f>
        <v>062610003908</v>
      </c>
    </row>
    <row r="7499" spans="1:9" x14ac:dyDescent="0.25">
      <c r="A7499" t="s">
        <v>6535</v>
      </c>
      <c r="B7499" t="s">
        <v>13</v>
      </c>
      <c r="C7499">
        <v>37.340000000000003</v>
      </c>
      <c r="D7499">
        <v>37</v>
      </c>
      <c r="E7499" t="s">
        <v>17</v>
      </c>
      <c r="F7499">
        <v>25.82</v>
      </c>
      <c r="G7499">
        <v>24.97</v>
      </c>
      <c r="H7499" t="s">
        <v>17</v>
      </c>
      <c r="I7499" t="str">
        <f>"063513005955"</f>
        <v>063513005955</v>
      </c>
    </row>
    <row r="7500" spans="1:9" x14ac:dyDescent="0.25">
      <c r="A7500" t="s">
        <v>6535</v>
      </c>
      <c r="B7500" t="s">
        <v>13</v>
      </c>
      <c r="C7500">
        <v>3</v>
      </c>
      <c r="D7500" t="s">
        <v>14</v>
      </c>
      <c r="E7500" t="s">
        <v>14</v>
      </c>
      <c r="F7500">
        <v>18</v>
      </c>
      <c r="G7500" t="s">
        <v>14</v>
      </c>
      <c r="H7500" t="s">
        <v>14</v>
      </c>
      <c r="I7500" t="str">
        <f>"062610013109"</f>
        <v>062610013109</v>
      </c>
    </row>
    <row r="7501" spans="1:9" x14ac:dyDescent="0.25">
      <c r="A7501" t="s">
        <v>6536</v>
      </c>
      <c r="B7501" t="s">
        <v>13</v>
      </c>
      <c r="C7501" t="s">
        <v>14</v>
      </c>
      <c r="D7501">
        <v>3</v>
      </c>
      <c r="E7501" t="s">
        <v>17</v>
      </c>
      <c r="F7501" t="s">
        <v>17</v>
      </c>
      <c r="G7501">
        <v>13</v>
      </c>
      <c r="H7501" t="s">
        <v>17</v>
      </c>
      <c r="I7501" t="str">
        <f>"064020000964"</f>
        <v>064020000964</v>
      </c>
    </row>
    <row r="7502" spans="1:9" x14ac:dyDescent="0.25">
      <c r="A7502" t="s">
        <v>6537</v>
      </c>
      <c r="B7502" t="s">
        <v>13</v>
      </c>
      <c r="C7502">
        <v>18</v>
      </c>
      <c r="D7502">
        <v>18.5</v>
      </c>
      <c r="E7502" t="s">
        <v>17</v>
      </c>
      <c r="F7502">
        <v>25.56</v>
      </c>
      <c r="G7502">
        <v>24.54</v>
      </c>
      <c r="H7502" t="s">
        <v>17</v>
      </c>
      <c r="I7502" t="str">
        <f>"060903009761"</f>
        <v>060903009761</v>
      </c>
    </row>
    <row r="7503" spans="1:9" x14ac:dyDescent="0.25">
      <c r="A7503" t="s">
        <v>6538</v>
      </c>
      <c r="B7503" t="s">
        <v>13</v>
      </c>
      <c r="C7503">
        <v>44.7</v>
      </c>
      <c r="D7503">
        <v>46.9</v>
      </c>
      <c r="E7503" t="s">
        <v>17</v>
      </c>
      <c r="F7503">
        <v>20.76</v>
      </c>
      <c r="G7503">
        <v>21.26</v>
      </c>
      <c r="H7503" t="s">
        <v>17</v>
      </c>
      <c r="I7503" t="str">
        <f>"063583006128"</f>
        <v>063583006128</v>
      </c>
    </row>
    <row r="7504" spans="1:9" x14ac:dyDescent="0.25">
      <c r="A7504" t="s">
        <v>6539</v>
      </c>
      <c r="B7504" t="s">
        <v>13</v>
      </c>
      <c r="C7504">
        <v>8.1999999999999993</v>
      </c>
      <c r="D7504">
        <v>8.8000000000000007</v>
      </c>
      <c r="E7504" t="s">
        <v>17</v>
      </c>
      <c r="F7504">
        <v>24.15</v>
      </c>
      <c r="G7504">
        <v>23.86</v>
      </c>
      <c r="H7504" t="s">
        <v>17</v>
      </c>
      <c r="I7504" t="str">
        <f>"063045006676"</f>
        <v>063045006676</v>
      </c>
    </row>
    <row r="7505" spans="1:9" x14ac:dyDescent="0.25">
      <c r="A7505" t="s">
        <v>6540</v>
      </c>
      <c r="B7505" t="s">
        <v>13</v>
      </c>
      <c r="C7505">
        <v>24</v>
      </c>
      <c r="D7505">
        <v>25</v>
      </c>
      <c r="E7505" t="s">
        <v>17</v>
      </c>
      <c r="F7505">
        <v>25.33</v>
      </c>
      <c r="G7505">
        <v>25.92</v>
      </c>
      <c r="H7505" t="s">
        <v>17</v>
      </c>
      <c r="I7505" t="str">
        <f>"063822009448"</f>
        <v>063822009448</v>
      </c>
    </row>
    <row r="7506" spans="1:9" x14ac:dyDescent="0.25">
      <c r="A7506" t="s">
        <v>6541</v>
      </c>
      <c r="B7506" t="s">
        <v>13</v>
      </c>
      <c r="C7506">
        <v>15</v>
      </c>
      <c r="D7506">
        <v>16</v>
      </c>
      <c r="E7506" t="s">
        <v>17</v>
      </c>
      <c r="F7506">
        <v>23.4</v>
      </c>
      <c r="G7506">
        <v>23.63</v>
      </c>
      <c r="H7506" t="s">
        <v>17</v>
      </c>
      <c r="I7506" t="str">
        <f>"062271003280"</f>
        <v>062271003280</v>
      </c>
    </row>
    <row r="7507" spans="1:9" x14ac:dyDescent="0.25">
      <c r="A7507" t="s">
        <v>6542</v>
      </c>
      <c r="B7507" t="s">
        <v>13</v>
      </c>
      <c r="C7507">
        <v>17</v>
      </c>
      <c r="D7507">
        <v>18</v>
      </c>
      <c r="E7507" t="s">
        <v>17</v>
      </c>
      <c r="F7507">
        <v>22.82</v>
      </c>
      <c r="G7507">
        <v>21.39</v>
      </c>
      <c r="H7507" t="s">
        <v>17</v>
      </c>
      <c r="I7507" t="str">
        <f>"063129004832"</f>
        <v>063129004832</v>
      </c>
    </row>
    <row r="7508" spans="1:9" x14ac:dyDescent="0.25">
      <c r="A7508" t="s">
        <v>6543</v>
      </c>
      <c r="B7508" t="s">
        <v>13</v>
      </c>
      <c r="C7508">
        <v>19.03</v>
      </c>
      <c r="D7508">
        <v>21.03</v>
      </c>
      <c r="E7508" t="s">
        <v>17</v>
      </c>
      <c r="F7508">
        <v>26.69</v>
      </c>
      <c r="G7508">
        <v>26.53</v>
      </c>
      <c r="H7508" t="s">
        <v>17</v>
      </c>
      <c r="I7508" t="str">
        <f>"064116009457"</f>
        <v>064116009457</v>
      </c>
    </row>
    <row r="7509" spans="1:9" x14ac:dyDescent="0.25">
      <c r="A7509" t="s">
        <v>6544</v>
      </c>
      <c r="B7509" t="s">
        <v>13</v>
      </c>
      <c r="C7509">
        <v>3</v>
      </c>
      <c r="D7509">
        <v>4.5</v>
      </c>
      <c r="E7509" t="s">
        <v>17</v>
      </c>
      <c r="F7509">
        <v>15.67</v>
      </c>
      <c r="G7509">
        <v>6.44</v>
      </c>
      <c r="H7509" t="s">
        <v>17</v>
      </c>
      <c r="I7509" t="str">
        <f>"063705010973"</f>
        <v>063705010973</v>
      </c>
    </row>
    <row r="7510" spans="1:9" x14ac:dyDescent="0.25">
      <c r="A7510" t="s">
        <v>6545</v>
      </c>
      <c r="B7510" t="s">
        <v>13</v>
      </c>
      <c r="C7510">
        <v>28.92</v>
      </c>
      <c r="D7510">
        <v>29.92</v>
      </c>
      <c r="E7510" t="s">
        <v>17</v>
      </c>
      <c r="F7510">
        <v>23.55</v>
      </c>
      <c r="G7510">
        <v>22.16</v>
      </c>
      <c r="H7510" t="s">
        <v>17</v>
      </c>
      <c r="I7510" t="str">
        <f>"063255005051"</f>
        <v>063255005051</v>
      </c>
    </row>
    <row r="7511" spans="1:9" x14ac:dyDescent="0.25">
      <c r="A7511" t="s">
        <v>6546</v>
      </c>
      <c r="B7511" t="s">
        <v>13</v>
      </c>
      <c r="C7511">
        <v>58.11</v>
      </c>
      <c r="D7511">
        <v>64.14</v>
      </c>
      <c r="E7511" t="s">
        <v>17</v>
      </c>
      <c r="F7511">
        <v>23.18</v>
      </c>
      <c r="G7511">
        <v>22.67</v>
      </c>
      <c r="H7511" t="s">
        <v>17</v>
      </c>
      <c r="I7511" t="str">
        <f>"063255005052"</f>
        <v>063255005052</v>
      </c>
    </row>
    <row r="7512" spans="1:9" x14ac:dyDescent="0.25">
      <c r="A7512" t="s">
        <v>6547</v>
      </c>
      <c r="B7512" t="s">
        <v>13</v>
      </c>
      <c r="C7512">
        <v>15</v>
      </c>
      <c r="D7512">
        <v>15</v>
      </c>
      <c r="E7512" t="s">
        <v>17</v>
      </c>
      <c r="F7512">
        <v>29.13</v>
      </c>
      <c r="G7512">
        <v>28.8</v>
      </c>
      <c r="H7512" t="s">
        <v>17</v>
      </c>
      <c r="I7512" t="str">
        <f>"063697009640"</f>
        <v>063697009640</v>
      </c>
    </row>
    <row r="7513" spans="1:9" x14ac:dyDescent="0.25">
      <c r="A7513" t="s">
        <v>6548</v>
      </c>
      <c r="B7513" t="s">
        <v>13</v>
      </c>
      <c r="C7513">
        <v>32</v>
      </c>
      <c r="D7513">
        <v>33</v>
      </c>
      <c r="E7513" t="s">
        <v>17</v>
      </c>
      <c r="F7513">
        <v>24.41</v>
      </c>
      <c r="G7513">
        <v>24.21</v>
      </c>
      <c r="H7513" t="s">
        <v>17</v>
      </c>
      <c r="I7513" t="str">
        <f>"063697008987"</f>
        <v>063697008987</v>
      </c>
    </row>
    <row r="7514" spans="1:9" x14ac:dyDescent="0.25">
      <c r="A7514" t="s">
        <v>6549</v>
      </c>
      <c r="B7514" t="s">
        <v>13</v>
      </c>
      <c r="C7514">
        <v>20.5</v>
      </c>
      <c r="D7514">
        <v>26</v>
      </c>
      <c r="E7514" t="s">
        <v>17</v>
      </c>
      <c r="F7514">
        <v>30.88</v>
      </c>
      <c r="G7514">
        <v>26.65</v>
      </c>
      <c r="H7514" t="s">
        <v>17</v>
      </c>
      <c r="I7514" t="str">
        <f>"063531010265"</f>
        <v>063531010265</v>
      </c>
    </row>
    <row r="7515" spans="1:9" x14ac:dyDescent="0.25">
      <c r="A7515" t="s">
        <v>6550</v>
      </c>
      <c r="B7515" t="s">
        <v>13</v>
      </c>
      <c r="C7515">
        <v>27.33</v>
      </c>
      <c r="D7515">
        <v>26.51</v>
      </c>
      <c r="E7515" t="s">
        <v>17</v>
      </c>
      <c r="F7515">
        <v>24.3</v>
      </c>
      <c r="G7515">
        <v>25.31</v>
      </c>
      <c r="H7515" t="s">
        <v>17</v>
      </c>
      <c r="I7515" t="str">
        <f>"062271009152"</f>
        <v>062271009152</v>
      </c>
    </row>
    <row r="7516" spans="1:9" x14ac:dyDescent="0.25">
      <c r="A7516" t="s">
        <v>6551</v>
      </c>
      <c r="B7516" t="s">
        <v>13</v>
      </c>
      <c r="C7516" t="s">
        <v>17</v>
      </c>
      <c r="D7516" t="s">
        <v>14</v>
      </c>
      <c r="E7516" t="s">
        <v>14</v>
      </c>
      <c r="F7516" t="s">
        <v>17</v>
      </c>
      <c r="G7516" t="s">
        <v>14</v>
      </c>
      <c r="H7516" t="s">
        <v>14</v>
      </c>
      <c r="I7516" t="str">
        <f>"061089013246"</f>
        <v>061089013246</v>
      </c>
    </row>
    <row r="7517" spans="1:9" x14ac:dyDescent="0.25">
      <c r="A7517" t="s">
        <v>6552</v>
      </c>
      <c r="B7517" t="s">
        <v>13</v>
      </c>
      <c r="C7517">
        <v>1</v>
      </c>
      <c r="D7517" t="str">
        <f>"0.50"</f>
        <v>0.50</v>
      </c>
      <c r="E7517" t="s">
        <v>14</v>
      </c>
      <c r="F7517">
        <v>4</v>
      </c>
      <c r="G7517">
        <v>4</v>
      </c>
      <c r="H7517" t="s">
        <v>14</v>
      </c>
      <c r="I7517" t="str">
        <f>"063918011181"</f>
        <v>063918011181</v>
      </c>
    </row>
    <row r="7518" spans="1:9" x14ac:dyDescent="0.25">
      <c r="A7518" t="s">
        <v>6553</v>
      </c>
      <c r="B7518" t="s">
        <v>13</v>
      </c>
      <c r="C7518">
        <v>11.5</v>
      </c>
      <c r="D7518">
        <v>12</v>
      </c>
      <c r="E7518" t="s">
        <v>17</v>
      </c>
      <c r="F7518">
        <v>14.61</v>
      </c>
      <c r="G7518">
        <v>16</v>
      </c>
      <c r="H7518" t="s">
        <v>17</v>
      </c>
      <c r="I7518" t="str">
        <f>"063660008637"</f>
        <v>063660008637</v>
      </c>
    </row>
    <row r="7519" spans="1:9" x14ac:dyDescent="0.25">
      <c r="A7519" t="s">
        <v>6554</v>
      </c>
      <c r="B7519" t="s">
        <v>13</v>
      </c>
      <c r="C7519">
        <v>34.200000000000003</v>
      </c>
      <c r="D7519">
        <v>31.17</v>
      </c>
      <c r="E7519" t="s">
        <v>17</v>
      </c>
      <c r="F7519">
        <v>22.19</v>
      </c>
      <c r="G7519">
        <v>21.75</v>
      </c>
      <c r="H7519" t="s">
        <v>17</v>
      </c>
      <c r="I7519" t="str">
        <f>"060363000315"</f>
        <v>060363000315</v>
      </c>
    </row>
    <row r="7520" spans="1:9" x14ac:dyDescent="0.25">
      <c r="A7520" t="s">
        <v>6555</v>
      </c>
      <c r="B7520" t="s">
        <v>13</v>
      </c>
      <c r="C7520">
        <v>8</v>
      </c>
      <c r="D7520">
        <v>8</v>
      </c>
      <c r="E7520" t="s">
        <v>17</v>
      </c>
      <c r="F7520">
        <v>25.13</v>
      </c>
      <c r="G7520">
        <v>26.5</v>
      </c>
      <c r="H7520" t="s">
        <v>17</v>
      </c>
      <c r="I7520" t="str">
        <f>"060245008791"</f>
        <v>060245008791</v>
      </c>
    </row>
    <row r="7521" spans="1:9" x14ac:dyDescent="0.25">
      <c r="A7521" t="s">
        <v>6555</v>
      </c>
      <c r="B7521" t="s">
        <v>13</v>
      </c>
      <c r="C7521">
        <v>22</v>
      </c>
      <c r="D7521">
        <v>23</v>
      </c>
      <c r="E7521" t="s">
        <v>17</v>
      </c>
      <c r="F7521">
        <v>26.45</v>
      </c>
      <c r="G7521">
        <v>26.3</v>
      </c>
      <c r="H7521" t="s">
        <v>17</v>
      </c>
      <c r="I7521" t="str">
        <f>"063051004741"</f>
        <v>063051004741</v>
      </c>
    </row>
    <row r="7522" spans="1:9" x14ac:dyDescent="0.25">
      <c r="A7522" t="s">
        <v>6555</v>
      </c>
      <c r="B7522" t="s">
        <v>13</v>
      </c>
      <c r="C7522">
        <v>45</v>
      </c>
      <c r="D7522">
        <v>44.17</v>
      </c>
      <c r="E7522" t="s">
        <v>17</v>
      </c>
      <c r="F7522">
        <v>20.440000000000001</v>
      </c>
      <c r="G7522">
        <v>20.94</v>
      </c>
      <c r="H7522" t="s">
        <v>17</v>
      </c>
      <c r="I7522" t="str">
        <f>"064188003327"</f>
        <v>064188003327</v>
      </c>
    </row>
    <row r="7523" spans="1:9" x14ac:dyDescent="0.25">
      <c r="A7523" t="s">
        <v>6555</v>
      </c>
      <c r="B7523" t="s">
        <v>13</v>
      </c>
      <c r="C7523">
        <v>5.92</v>
      </c>
      <c r="D7523">
        <v>8.42</v>
      </c>
      <c r="E7523" t="s">
        <v>17</v>
      </c>
      <c r="F7523">
        <v>20.100000000000001</v>
      </c>
      <c r="G7523">
        <v>20.190000000000001</v>
      </c>
      <c r="H7523" t="s">
        <v>17</v>
      </c>
      <c r="I7523" t="str">
        <f>"063048004740"</f>
        <v>063048004740</v>
      </c>
    </row>
    <row r="7524" spans="1:9" x14ac:dyDescent="0.25">
      <c r="A7524" t="s">
        <v>6555</v>
      </c>
      <c r="B7524" t="s">
        <v>13</v>
      </c>
      <c r="C7524">
        <v>18.88</v>
      </c>
      <c r="D7524">
        <v>20.38</v>
      </c>
      <c r="E7524" t="s">
        <v>17</v>
      </c>
      <c r="F7524">
        <v>27.54</v>
      </c>
      <c r="G7524">
        <v>24.48</v>
      </c>
      <c r="H7524" t="s">
        <v>17</v>
      </c>
      <c r="I7524" t="str">
        <f>"061062001181"</f>
        <v>061062001181</v>
      </c>
    </row>
    <row r="7525" spans="1:9" x14ac:dyDescent="0.25">
      <c r="A7525" t="s">
        <v>6555</v>
      </c>
      <c r="B7525" t="s">
        <v>13</v>
      </c>
      <c r="C7525">
        <v>38</v>
      </c>
      <c r="D7525">
        <v>38.5</v>
      </c>
      <c r="E7525" t="s">
        <v>17</v>
      </c>
      <c r="F7525">
        <v>20.5</v>
      </c>
      <c r="G7525">
        <v>20.34</v>
      </c>
      <c r="H7525" t="s">
        <v>17</v>
      </c>
      <c r="I7525" t="str">
        <f>"061288001172"</f>
        <v>061288001172</v>
      </c>
    </row>
    <row r="7526" spans="1:9" x14ac:dyDescent="0.25">
      <c r="A7526" t="s">
        <v>6555</v>
      </c>
      <c r="B7526" t="s">
        <v>13</v>
      </c>
      <c r="C7526">
        <v>36</v>
      </c>
      <c r="D7526">
        <v>40</v>
      </c>
      <c r="E7526" t="s">
        <v>17</v>
      </c>
      <c r="F7526">
        <v>24.69</v>
      </c>
      <c r="G7526">
        <v>20.8</v>
      </c>
      <c r="H7526" t="s">
        <v>17</v>
      </c>
      <c r="I7526" t="str">
        <f>"062691007795"</f>
        <v>062691007795</v>
      </c>
    </row>
    <row r="7527" spans="1:9" x14ac:dyDescent="0.25">
      <c r="A7527" t="s">
        <v>6555</v>
      </c>
      <c r="B7527" t="s">
        <v>13</v>
      </c>
      <c r="C7527">
        <v>37.700000000000003</v>
      </c>
      <c r="D7527">
        <v>39</v>
      </c>
      <c r="E7527" t="s">
        <v>17</v>
      </c>
      <c r="F7527">
        <v>24.43</v>
      </c>
      <c r="G7527">
        <v>23.51</v>
      </c>
      <c r="H7527" t="s">
        <v>17</v>
      </c>
      <c r="I7527" t="str">
        <f>"060591010753"</f>
        <v>060591010753</v>
      </c>
    </row>
    <row r="7528" spans="1:9" x14ac:dyDescent="0.25">
      <c r="A7528" t="s">
        <v>6555</v>
      </c>
      <c r="B7528" t="s">
        <v>13</v>
      </c>
      <c r="C7528">
        <v>23.5</v>
      </c>
      <c r="D7528">
        <v>24.67</v>
      </c>
      <c r="E7528" t="s">
        <v>17</v>
      </c>
      <c r="F7528">
        <v>26.98</v>
      </c>
      <c r="G7528">
        <v>26.51</v>
      </c>
      <c r="H7528" t="s">
        <v>17</v>
      </c>
      <c r="I7528" t="str">
        <f>"060133205105"</f>
        <v>060133205105</v>
      </c>
    </row>
    <row r="7529" spans="1:9" x14ac:dyDescent="0.25">
      <c r="A7529" t="s">
        <v>6556</v>
      </c>
      <c r="B7529" t="s">
        <v>13</v>
      </c>
      <c r="C7529" t="s">
        <v>17</v>
      </c>
      <c r="D7529" t="s">
        <v>14</v>
      </c>
      <c r="E7529" t="s">
        <v>14</v>
      </c>
      <c r="F7529" t="s">
        <v>17</v>
      </c>
      <c r="G7529" t="s">
        <v>14</v>
      </c>
      <c r="H7529" t="s">
        <v>14</v>
      </c>
      <c r="I7529" t="str">
        <f>"061632313509"</f>
        <v>061632313509</v>
      </c>
    </row>
    <row r="7530" spans="1:9" x14ac:dyDescent="0.25">
      <c r="A7530" t="s">
        <v>6557</v>
      </c>
      <c r="B7530" t="s">
        <v>13</v>
      </c>
      <c r="C7530">
        <v>65.75</v>
      </c>
      <c r="D7530">
        <v>68.8</v>
      </c>
      <c r="E7530" t="s">
        <v>17</v>
      </c>
      <c r="F7530">
        <v>24.75</v>
      </c>
      <c r="G7530">
        <v>23.95</v>
      </c>
      <c r="H7530" t="s">
        <v>17</v>
      </c>
      <c r="I7530" t="str">
        <f>"063459005732"</f>
        <v>063459005732</v>
      </c>
    </row>
    <row r="7531" spans="1:9" x14ac:dyDescent="0.25">
      <c r="A7531" t="s">
        <v>6557</v>
      </c>
      <c r="B7531" t="s">
        <v>13</v>
      </c>
      <c r="C7531">
        <v>68.95</v>
      </c>
      <c r="D7531">
        <v>74.81</v>
      </c>
      <c r="E7531" t="s">
        <v>17</v>
      </c>
      <c r="F7531">
        <v>22.58</v>
      </c>
      <c r="G7531">
        <v>21.19</v>
      </c>
      <c r="H7531" t="s">
        <v>17</v>
      </c>
      <c r="I7531" t="str">
        <f>"064308011380"</f>
        <v>064308011380</v>
      </c>
    </row>
    <row r="7532" spans="1:9" x14ac:dyDescent="0.25">
      <c r="A7532" t="s">
        <v>6557</v>
      </c>
      <c r="B7532" t="s">
        <v>13</v>
      </c>
      <c r="C7532">
        <v>58.5</v>
      </c>
      <c r="D7532">
        <v>54.6</v>
      </c>
      <c r="E7532" t="s">
        <v>17</v>
      </c>
      <c r="F7532">
        <v>24.24</v>
      </c>
      <c r="G7532">
        <v>26.01</v>
      </c>
      <c r="H7532" t="s">
        <v>17</v>
      </c>
      <c r="I7532" t="str">
        <f>"064248006953"</f>
        <v>064248006953</v>
      </c>
    </row>
    <row r="7533" spans="1:9" x14ac:dyDescent="0.25">
      <c r="A7533" t="s">
        <v>6558</v>
      </c>
      <c r="B7533" t="s">
        <v>13</v>
      </c>
      <c r="C7533" t="str">
        <f>"0.83"</f>
        <v>0.83</v>
      </c>
      <c r="D7533">
        <v>1.1000000000000001</v>
      </c>
      <c r="E7533" t="s">
        <v>17</v>
      </c>
      <c r="F7533">
        <v>13.25</v>
      </c>
      <c r="G7533">
        <v>12.73</v>
      </c>
      <c r="H7533" t="s">
        <v>17</v>
      </c>
      <c r="I7533" t="str">
        <f>"061632308853"</f>
        <v>061632308853</v>
      </c>
    </row>
    <row r="7534" spans="1:9" x14ac:dyDescent="0.25">
      <c r="A7534" t="s">
        <v>6558</v>
      </c>
      <c r="B7534" t="s">
        <v>13</v>
      </c>
      <c r="C7534" t="str">
        <f>"0.80"</f>
        <v>0.80</v>
      </c>
      <c r="D7534">
        <v>1.1000000000000001</v>
      </c>
      <c r="E7534" t="s">
        <v>17</v>
      </c>
      <c r="F7534">
        <v>11.25</v>
      </c>
      <c r="G7534">
        <v>15.45</v>
      </c>
      <c r="H7534" t="s">
        <v>17</v>
      </c>
      <c r="I7534" t="str">
        <f>"062688010262"</f>
        <v>062688010262</v>
      </c>
    </row>
    <row r="7535" spans="1:9" x14ac:dyDescent="0.25">
      <c r="A7535" t="s">
        <v>6559</v>
      </c>
      <c r="B7535" t="s">
        <v>13</v>
      </c>
      <c r="C7535">
        <v>37.200000000000003</v>
      </c>
      <c r="D7535">
        <v>40.6</v>
      </c>
      <c r="E7535" t="s">
        <v>17</v>
      </c>
      <c r="F7535">
        <v>25.78</v>
      </c>
      <c r="G7535">
        <v>24.66</v>
      </c>
      <c r="H7535" t="s">
        <v>17</v>
      </c>
      <c r="I7535" t="str">
        <f>"060001609092"</f>
        <v>060001609092</v>
      </c>
    </row>
    <row r="7536" spans="1:9" x14ac:dyDescent="0.25">
      <c r="A7536" t="s">
        <v>6560</v>
      </c>
      <c r="B7536" t="s">
        <v>13</v>
      </c>
      <c r="C7536">
        <v>24.7</v>
      </c>
      <c r="D7536">
        <v>23.6</v>
      </c>
      <c r="E7536" t="s">
        <v>17</v>
      </c>
      <c r="F7536">
        <v>21.62</v>
      </c>
      <c r="G7536">
        <v>21.4</v>
      </c>
      <c r="H7536" t="s">
        <v>17</v>
      </c>
      <c r="I7536" t="str">
        <f>"060006404873"</f>
        <v>060006404873</v>
      </c>
    </row>
    <row r="7537" spans="1:9" x14ac:dyDescent="0.25">
      <c r="A7537" t="s">
        <v>6560</v>
      </c>
      <c r="B7537" t="s">
        <v>13</v>
      </c>
      <c r="C7537">
        <v>42.81</v>
      </c>
      <c r="D7537">
        <v>46.16</v>
      </c>
      <c r="E7537" t="s">
        <v>17</v>
      </c>
      <c r="F7537">
        <v>28.31</v>
      </c>
      <c r="G7537">
        <v>28.86</v>
      </c>
      <c r="H7537" t="s">
        <v>17</v>
      </c>
      <c r="I7537" t="str">
        <f>"064015008250"</f>
        <v>064015008250</v>
      </c>
    </row>
    <row r="7538" spans="1:9" x14ac:dyDescent="0.25">
      <c r="A7538" t="s">
        <v>6560</v>
      </c>
      <c r="B7538" t="s">
        <v>13</v>
      </c>
      <c r="C7538">
        <v>23</v>
      </c>
      <c r="D7538">
        <v>23</v>
      </c>
      <c r="E7538" t="s">
        <v>17</v>
      </c>
      <c r="F7538">
        <v>25.04</v>
      </c>
      <c r="G7538">
        <v>25.83</v>
      </c>
      <c r="H7538" t="s">
        <v>17</v>
      </c>
      <c r="I7538" t="str">
        <f>"063051010226"</f>
        <v>063051010226</v>
      </c>
    </row>
    <row r="7539" spans="1:9" x14ac:dyDescent="0.25">
      <c r="A7539" t="s">
        <v>6561</v>
      </c>
      <c r="B7539" t="s">
        <v>13</v>
      </c>
      <c r="C7539">
        <v>2</v>
      </c>
      <c r="D7539">
        <v>1.9</v>
      </c>
      <c r="E7539" t="s">
        <v>17</v>
      </c>
      <c r="F7539">
        <v>18</v>
      </c>
      <c r="G7539">
        <v>21.05</v>
      </c>
      <c r="H7539" t="s">
        <v>17</v>
      </c>
      <c r="I7539" t="str">
        <f>"063459001517"</f>
        <v>063459001517</v>
      </c>
    </row>
    <row r="7540" spans="1:9" x14ac:dyDescent="0.25">
      <c r="A7540" t="s">
        <v>6562</v>
      </c>
      <c r="B7540" t="s">
        <v>13</v>
      </c>
      <c r="C7540">
        <v>8</v>
      </c>
      <c r="D7540">
        <v>11.04</v>
      </c>
      <c r="E7540" t="s">
        <v>17</v>
      </c>
      <c r="F7540">
        <v>19.25</v>
      </c>
      <c r="G7540">
        <v>18.21</v>
      </c>
      <c r="H7540" t="s">
        <v>17</v>
      </c>
      <c r="I7540" t="str">
        <f>"069101710539"</f>
        <v>069101710539</v>
      </c>
    </row>
    <row r="7541" spans="1:9" x14ac:dyDescent="0.25">
      <c r="A7541" t="s">
        <v>6563</v>
      </c>
      <c r="B7541" t="s">
        <v>13</v>
      </c>
      <c r="C7541">
        <v>99.87</v>
      </c>
      <c r="D7541">
        <v>100.58</v>
      </c>
      <c r="E7541" t="s">
        <v>17</v>
      </c>
      <c r="F7541">
        <v>26.21</v>
      </c>
      <c r="G7541">
        <v>26.3</v>
      </c>
      <c r="H7541" t="s">
        <v>17</v>
      </c>
      <c r="I7541" t="str">
        <f>"063567011438"</f>
        <v>063567011438</v>
      </c>
    </row>
    <row r="7542" spans="1:9" x14ac:dyDescent="0.25">
      <c r="A7542" t="s">
        <v>6564</v>
      </c>
      <c r="B7542" t="s">
        <v>13</v>
      </c>
      <c r="C7542">
        <v>9</v>
      </c>
      <c r="D7542">
        <v>11.5</v>
      </c>
      <c r="E7542" t="s">
        <v>17</v>
      </c>
      <c r="F7542">
        <v>30.78</v>
      </c>
      <c r="G7542">
        <v>25.57</v>
      </c>
      <c r="H7542" t="s">
        <v>17</v>
      </c>
      <c r="I7542" t="str">
        <f>"061380001556"</f>
        <v>061380001556</v>
      </c>
    </row>
    <row r="7543" spans="1:9" x14ac:dyDescent="0.25">
      <c r="A7543" t="s">
        <v>6565</v>
      </c>
      <c r="B7543" t="s">
        <v>13</v>
      </c>
      <c r="C7543">
        <v>20</v>
      </c>
      <c r="D7543">
        <v>23.25</v>
      </c>
      <c r="E7543" t="s">
        <v>17</v>
      </c>
      <c r="F7543">
        <v>27.95</v>
      </c>
      <c r="G7543">
        <v>26.24</v>
      </c>
      <c r="H7543" t="s">
        <v>17</v>
      </c>
      <c r="I7543" t="str">
        <f>"063801011780"</f>
        <v>063801011780</v>
      </c>
    </row>
    <row r="7544" spans="1:9" x14ac:dyDescent="0.25">
      <c r="A7544" t="s">
        <v>6566</v>
      </c>
      <c r="B7544" t="s">
        <v>13</v>
      </c>
      <c r="C7544">
        <v>111.66</v>
      </c>
      <c r="D7544">
        <v>107.45</v>
      </c>
      <c r="E7544" t="s">
        <v>17</v>
      </c>
      <c r="F7544">
        <v>25.76</v>
      </c>
      <c r="G7544">
        <v>25.38</v>
      </c>
      <c r="H7544" t="s">
        <v>17</v>
      </c>
      <c r="I7544" t="str">
        <f>"063060004752"</f>
        <v>063060004752</v>
      </c>
    </row>
    <row r="7545" spans="1:9" x14ac:dyDescent="0.25">
      <c r="A7545" t="s">
        <v>6567</v>
      </c>
      <c r="B7545" t="s">
        <v>13</v>
      </c>
      <c r="C7545">
        <v>46.76</v>
      </c>
      <c r="D7545">
        <v>48.55</v>
      </c>
      <c r="E7545" t="s">
        <v>17</v>
      </c>
      <c r="F7545">
        <v>20.68</v>
      </c>
      <c r="G7545">
        <v>24.18</v>
      </c>
      <c r="H7545" t="s">
        <v>17</v>
      </c>
      <c r="I7545" t="str">
        <f>"062088002512"</f>
        <v>062088002512</v>
      </c>
    </row>
    <row r="7546" spans="1:9" x14ac:dyDescent="0.25">
      <c r="A7546" t="s">
        <v>6568</v>
      </c>
      <c r="B7546" t="s">
        <v>13</v>
      </c>
      <c r="C7546">
        <v>4</v>
      </c>
      <c r="D7546">
        <v>4</v>
      </c>
      <c r="E7546" t="s">
        <v>17</v>
      </c>
      <c r="F7546">
        <v>14.5</v>
      </c>
      <c r="G7546">
        <v>15.75</v>
      </c>
      <c r="H7546" t="s">
        <v>17</v>
      </c>
      <c r="I7546" t="str">
        <f>"060696008121"</f>
        <v>060696008121</v>
      </c>
    </row>
    <row r="7547" spans="1:9" x14ac:dyDescent="0.25">
      <c r="A7547" t="s">
        <v>6569</v>
      </c>
      <c r="B7547" t="s">
        <v>13</v>
      </c>
      <c r="C7547">
        <v>6.75</v>
      </c>
      <c r="D7547">
        <v>5</v>
      </c>
      <c r="E7547" t="s">
        <v>17</v>
      </c>
      <c r="F7547">
        <v>16.739999999999998</v>
      </c>
      <c r="G7547">
        <v>15.6</v>
      </c>
      <c r="H7547" t="s">
        <v>17</v>
      </c>
      <c r="I7547" t="str">
        <f>"062610012823"</f>
        <v>062610012823</v>
      </c>
    </row>
    <row r="7548" spans="1:9" x14ac:dyDescent="0.25">
      <c r="A7548" t="s">
        <v>6570</v>
      </c>
      <c r="B7548" t="s">
        <v>13</v>
      </c>
      <c r="C7548">
        <v>4.5</v>
      </c>
      <c r="D7548">
        <v>3.25</v>
      </c>
      <c r="E7548" t="s">
        <v>14</v>
      </c>
      <c r="F7548">
        <v>10</v>
      </c>
      <c r="G7548">
        <v>4.62</v>
      </c>
      <c r="H7548" t="s">
        <v>14</v>
      </c>
      <c r="I7548" t="str">
        <f>"061548013032"</f>
        <v>061548013032</v>
      </c>
    </row>
    <row r="7549" spans="1:9" x14ac:dyDescent="0.25">
      <c r="A7549" t="s">
        <v>6571</v>
      </c>
      <c r="B7549" t="s">
        <v>13</v>
      </c>
      <c r="C7549">
        <v>3.5</v>
      </c>
      <c r="D7549">
        <v>2.5</v>
      </c>
      <c r="E7549" t="s">
        <v>14</v>
      </c>
      <c r="F7549">
        <v>4</v>
      </c>
      <c r="G7549">
        <v>4.8</v>
      </c>
      <c r="H7549" t="s">
        <v>14</v>
      </c>
      <c r="I7549" t="str">
        <f>"062778013025"</f>
        <v>062778013025</v>
      </c>
    </row>
    <row r="7550" spans="1:9" x14ac:dyDescent="0.25">
      <c r="A7550" t="s">
        <v>6572</v>
      </c>
      <c r="B7550" t="s">
        <v>13</v>
      </c>
      <c r="C7550" t="s">
        <v>14</v>
      </c>
      <c r="D7550" t="s">
        <v>14</v>
      </c>
      <c r="E7550" t="s">
        <v>17</v>
      </c>
      <c r="F7550" t="s">
        <v>14</v>
      </c>
      <c r="G7550" t="s">
        <v>14</v>
      </c>
      <c r="H7550" t="s">
        <v>17</v>
      </c>
      <c r="I7550" t="str">
        <f>"060837012507"</f>
        <v>060837012507</v>
      </c>
    </row>
    <row r="7551" spans="1:9" x14ac:dyDescent="0.25">
      <c r="A7551" t="s">
        <v>6573</v>
      </c>
      <c r="B7551" t="s">
        <v>13</v>
      </c>
      <c r="C7551">
        <v>7</v>
      </c>
      <c r="D7551">
        <v>4</v>
      </c>
      <c r="E7551" t="s">
        <v>17</v>
      </c>
      <c r="F7551">
        <v>12.14</v>
      </c>
      <c r="G7551">
        <v>7.5</v>
      </c>
      <c r="H7551" t="s">
        <v>17</v>
      </c>
      <c r="I7551" t="str">
        <f>"062784012484"</f>
        <v>062784012484</v>
      </c>
    </row>
    <row r="7552" spans="1:9" x14ac:dyDescent="0.25">
      <c r="A7552" t="s">
        <v>6574</v>
      </c>
      <c r="B7552" t="s">
        <v>13</v>
      </c>
      <c r="C7552">
        <v>34</v>
      </c>
      <c r="D7552">
        <v>33.5</v>
      </c>
      <c r="E7552" t="s">
        <v>17</v>
      </c>
      <c r="F7552">
        <v>23.29</v>
      </c>
      <c r="G7552">
        <v>23.82</v>
      </c>
      <c r="H7552" t="s">
        <v>17</v>
      </c>
      <c r="I7552" t="str">
        <f>"063063004754"</f>
        <v>063063004754</v>
      </c>
    </row>
    <row r="7553" spans="1:9" x14ac:dyDescent="0.25">
      <c r="A7553" t="s">
        <v>6575</v>
      </c>
      <c r="B7553" t="s">
        <v>13</v>
      </c>
      <c r="C7553">
        <v>13</v>
      </c>
      <c r="D7553">
        <v>14</v>
      </c>
      <c r="E7553" t="s">
        <v>17</v>
      </c>
      <c r="F7553">
        <v>26.69</v>
      </c>
      <c r="G7553">
        <v>23.21</v>
      </c>
      <c r="H7553" t="s">
        <v>17</v>
      </c>
      <c r="I7553" t="str">
        <f>"063063012170"</f>
        <v>063063012170</v>
      </c>
    </row>
    <row r="7554" spans="1:9" x14ac:dyDescent="0.25">
      <c r="A7554" t="s">
        <v>6576</v>
      </c>
      <c r="B7554" t="s">
        <v>13</v>
      </c>
      <c r="C7554">
        <v>5</v>
      </c>
      <c r="D7554">
        <v>13.5</v>
      </c>
      <c r="E7554" t="s">
        <v>17</v>
      </c>
      <c r="F7554">
        <v>14.4</v>
      </c>
      <c r="G7554">
        <v>16.739999999999998</v>
      </c>
      <c r="H7554" t="s">
        <v>17</v>
      </c>
      <c r="I7554" t="str">
        <f>"069102510573"</f>
        <v>069102510573</v>
      </c>
    </row>
    <row r="7555" spans="1:9" x14ac:dyDescent="0.25">
      <c r="A7555" t="s">
        <v>6577</v>
      </c>
      <c r="B7555" t="s">
        <v>13</v>
      </c>
      <c r="C7555">
        <v>2</v>
      </c>
      <c r="D7555">
        <v>1.5</v>
      </c>
      <c r="E7555" t="s">
        <v>17</v>
      </c>
      <c r="F7555">
        <v>7</v>
      </c>
      <c r="G7555">
        <v>13.33</v>
      </c>
      <c r="H7555" t="s">
        <v>17</v>
      </c>
      <c r="I7555" t="str">
        <f>"069102509237"</f>
        <v>069102509237</v>
      </c>
    </row>
    <row r="7556" spans="1:9" x14ac:dyDescent="0.25">
      <c r="A7556" t="s">
        <v>6578</v>
      </c>
      <c r="B7556" t="s">
        <v>13</v>
      </c>
      <c r="C7556">
        <v>15.14</v>
      </c>
      <c r="D7556" t="s">
        <v>14</v>
      </c>
      <c r="E7556" t="s">
        <v>14</v>
      </c>
      <c r="F7556">
        <v>16.12</v>
      </c>
      <c r="G7556" t="s">
        <v>14</v>
      </c>
      <c r="H7556" t="s">
        <v>14</v>
      </c>
      <c r="I7556" t="str">
        <f>"069102513072"</f>
        <v>069102513072</v>
      </c>
    </row>
    <row r="7557" spans="1:9" x14ac:dyDescent="0.25">
      <c r="A7557" t="s">
        <v>6579</v>
      </c>
      <c r="B7557" t="s">
        <v>13</v>
      </c>
      <c r="C7557">
        <v>32</v>
      </c>
      <c r="D7557">
        <v>30</v>
      </c>
      <c r="E7557" t="s">
        <v>17</v>
      </c>
      <c r="F7557">
        <v>5.84</v>
      </c>
      <c r="G7557">
        <v>6.63</v>
      </c>
      <c r="H7557" t="s">
        <v>17</v>
      </c>
      <c r="I7557" t="str">
        <f>"069102509030"</f>
        <v>069102509030</v>
      </c>
    </row>
    <row r="7558" spans="1:9" x14ac:dyDescent="0.25">
      <c r="A7558" t="s">
        <v>6580</v>
      </c>
      <c r="B7558" t="s">
        <v>13</v>
      </c>
      <c r="C7558">
        <v>20.399999999999999</v>
      </c>
      <c r="D7558">
        <v>20.5</v>
      </c>
      <c r="E7558" t="s">
        <v>17</v>
      </c>
      <c r="F7558">
        <v>20.93</v>
      </c>
      <c r="G7558">
        <v>21.17</v>
      </c>
      <c r="H7558" t="s">
        <v>17</v>
      </c>
      <c r="I7558" t="str">
        <f>"062256002773"</f>
        <v>062256002773</v>
      </c>
    </row>
    <row r="7559" spans="1:9" x14ac:dyDescent="0.25">
      <c r="A7559" t="s">
        <v>6581</v>
      </c>
      <c r="B7559" t="s">
        <v>13</v>
      </c>
      <c r="C7559">
        <v>58.45</v>
      </c>
      <c r="D7559">
        <v>58.43</v>
      </c>
      <c r="E7559" t="s">
        <v>17</v>
      </c>
      <c r="F7559">
        <v>24</v>
      </c>
      <c r="G7559">
        <v>23.4</v>
      </c>
      <c r="H7559" t="s">
        <v>17</v>
      </c>
      <c r="I7559" t="str">
        <f>"063075004784"</f>
        <v>063075004784</v>
      </c>
    </row>
    <row r="7560" spans="1:9" x14ac:dyDescent="0.25">
      <c r="A7560" t="s">
        <v>6582</v>
      </c>
      <c r="B7560" t="s">
        <v>13</v>
      </c>
      <c r="C7560">
        <v>41.45</v>
      </c>
      <c r="D7560">
        <v>43.05</v>
      </c>
      <c r="E7560" t="s">
        <v>17</v>
      </c>
      <c r="F7560">
        <v>25.6</v>
      </c>
      <c r="G7560">
        <v>24.41</v>
      </c>
      <c r="H7560" t="s">
        <v>17</v>
      </c>
      <c r="I7560" t="str">
        <f>"064251006960"</f>
        <v>064251006960</v>
      </c>
    </row>
    <row r="7561" spans="1:9" x14ac:dyDescent="0.25">
      <c r="A7561" t="s">
        <v>6583</v>
      </c>
      <c r="B7561" t="s">
        <v>13</v>
      </c>
      <c r="C7561">
        <v>12.84</v>
      </c>
      <c r="D7561">
        <v>13.9</v>
      </c>
      <c r="E7561" t="s">
        <v>17</v>
      </c>
      <c r="F7561">
        <v>24.38</v>
      </c>
      <c r="G7561">
        <v>24.82</v>
      </c>
      <c r="H7561" t="s">
        <v>17</v>
      </c>
      <c r="I7561" t="str">
        <f>"064308007006"</f>
        <v>064308007006</v>
      </c>
    </row>
    <row r="7562" spans="1:9" x14ac:dyDescent="0.25">
      <c r="A7562" t="s">
        <v>6584</v>
      </c>
      <c r="B7562" t="s">
        <v>13</v>
      </c>
      <c r="C7562">
        <v>7</v>
      </c>
      <c r="D7562">
        <v>5.6</v>
      </c>
      <c r="E7562" t="s">
        <v>17</v>
      </c>
      <c r="F7562">
        <v>19</v>
      </c>
      <c r="G7562">
        <v>24.11</v>
      </c>
      <c r="H7562" t="s">
        <v>17</v>
      </c>
      <c r="I7562" t="str">
        <f>"063081004788"</f>
        <v>063081004788</v>
      </c>
    </row>
    <row r="7563" spans="1:9" x14ac:dyDescent="0.25">
      <c r="A7563" t="s">
        <v>6585</v>
      </c>
      <c r="B7563" t="s">
        <v>13</v>
      </c>
      <c r="C7563">
        <v>15</v>
      </c>
      <c r="D7563">
        <v>15</v>
      </c>
      <c r="E7563" t="s">
        <v>17</v>
      </c>
      <c r="F7563">
        <v>21.07</v>
      </c>
      <c r="G7563">
        <v>21.53</v>
      </c>
      <c r="H7563" t="s">
        <v>17</v>
      </c>
      <c r="I7563" t="str">
        <f>"062271003281"</f>
        <v>062271003281</v>
      </c>
    </row>
    <row r="7564" spans="1:9" x14ac:dyDescent="0.25">
      <c r="A7564" t="s">
        <v>6586</v>
      </c>
      <c r="B7564" t="s">
        <v>13</v>
      </c>
      <c r="C7564">
        <v>26</v>
      </c>
      <c r="D7564">
        <v>27</v>
      </c>
      <c r="E7564" t="s">
        <v>17</v>
      </c>
      <c r="F7564">
        <v>20.46</v>
      </c>
      <c r="G7564">
        <v>19</v>
      </c>
      <c r="H7564" t="s">
        <v>17</v>
      </c>
      <c r="I7564" t="str">
        <f>"063084004789"</f>
        <v>063084004789</v>
      </c>
    </row>
    <row r="7565" spans="1:9" x14ac:dyDescent="0.25">
      <c r="A7565" t="s">
        <v>6587</v>
      </c>
      <c r="B7565" t="s">
        <v>13</v>
      </c>
      <c r="C7565">
        <v>25</v>
      </c>
      <c r="D7565">
        <v>24</v>
      </c>
      <c r="E7565" t="s">
        <v>17</v>
      </c>
      <c r="F7565">
        <v>27.04</v>
      </c>
      <c r="G7565">
        <v>29.13</v>
      </c>
      <c r="H7565" t="s">
        <v>17</v>
      </c>
      <c r="I7565" t="str">
        <f>"061605002007"</f>
        <v>061605002007</v>
      </c>
    </row>
    <row r="7566" spans="1:9" x14ac:dyDescent="0.25">
      <c r="A7566" t="s">
        <v>6588</v>
      </c>
      <c r="B7566" t="s">
        <v>13</v>
      </c>
      <c r="C7566">
        <v>25</v>
      </c>
      <c r="D7566">
        <v>25.5</v>
      </c>
      <c r="E7566" t="s">
        <v>17</v>
      </c>
      <c r="F7566">
        <v>30.36</v>
      </c>
      <c r="G7566">
        <v>28.31</v>
      </c>
      <c r="H7566" t="s">
        <v>17</v>
      </c>
      <c r="I7566" t="str">
        <f>"061605002008"</f>
        <v>061605002008</v>
      </c>
    </row>
    <row r="7567" spans="1:9" x14ac:dyDescent="0.25">
      <c r="A7567" t="s">
        <v>6589</v>
      </c>
      <c r="B7567" t="s">
        <v>13</v>
      </c>
      <c r="C7567">
        <v>1</v>
      </c>
      <c r="D7567">
        <v>1</v>
      </c>
      <c r="E7567" t="s">
        <v>17</v>
      </c>
      <c r="F7567">
        <v>11</v>
      </c>
      <c r="G7567">
        <v>7</v>
      </c>
      <c r="H7567" t="s">
        <v>17</v>
      </c>
      <c r="I7567" t="str">
        <f>"061816002239"</f>
        <v>061816002239</v>
      </c>
    </row>
    <row r="7568" spans="1:9" x14ac:dyDescent="0.25">
      <c r="A7568" t="s">
        <v>6590</v>
      </c>
      <c r="B7568" t="s">
        <v>13</v>
      </c>
      <c r="C7568">
        <v>20</v>
      </c>
      <c r="D7568">
        <v>19</v>
      </c>
      <c r="E7568" t="s">
        <v>17</v>
      </c>
      <c r="F7568">
        <v>24.6</v>
      </c>
      <c r="G7568">
        <v>24.05</v>
      </c>
      <c r="H7568" t="s">
        <v>17</v>
      </c>
      <c r="I7568" t="str">
        <f>"061422001633"</f>
        <v>061422001633</v>
      </c>
    </row>
    <row r="7569" spans="1:9" x14ac:dyDescent="0.25">
      <c r="A7569" t="s">
        <v>6591</v>
      </c>
      <c r="B7569" t="s">
        <v>13</v>
      </c>
      <c r="C7569">
        <v>10</v>
      </c>
      <c r="D7569">
        <v>10</v>
      </c>
      <c r="E7569" t="s">
        <v>17</v>
      </c>
      <c r="F7569">
        <v>22.8</v>
      </c>
      <c r="G7569">
        <v>22.1</v>
      </c>
      <c r="H7569" t="s">
        <v>17</v>
      </c>
      <c r="I7569" t="str">
        <f>"062271003283"</f>
        <v>062271003283</v>
      </c>
    </row>
    <row r="7570" spans="1:9" x14ac:dyDescent="0.25">
      <c r="A7570" t="s">
        <v>6592</v>
      </c>
      <c r="B7570" t="s">
        <v>13</v>
      </c>
      <c r="C7570">
        <v>12</v>
      </c>
      <c r="D7570" t="s">
        <v>14</v>
      </c>
      <c r="E7570" t="s">
        <v>14</v>
      </c>
      <c r="F7570">
        <v>21.33</v>
      </c>
      <c r="G7570" t="s">
        <v>14</v>
      </c>
      <c r="H7570" t="s">
        <v>14</v>
      </c>
      <c r="I7570" t="str">
        <f>"062271013195"</f>
        <v>062271013195</v>
      </c>
    </row>
    <row r="7571" spans="1:9" x14ac:dyDescent="0.25">
      <c r="A7571" t="s">
        <v>6593</v>
      </c>
      <c r="B7571" t="s">
        <v>13</v>
      </c>
      <c r="C7571">
        <v>6</v>
      </c>
      <c r="D7571">
        <v>6</v>
      </c>
      <c r="E7571" t="s">
        <v>17</v>
      </c>
      <c r="F7571">
        <v>22.33</v>
      </c>
      <c r="G7571">
        <v>23.5</v>
      </c>
      <c r="H7571" t="s">
        <v>17</v>
      </c>
      <c r="I7571" t="str">
        <f>"063087004790"</f>
        <v>063087004790</v>
      </c>
    </row>
    <row r="7572" spans="1:9" x14ac:dyDescent="0.25">
      <c r="A7572" t="s">
        <v>6594</v>
      </c>
      <c r="B7572" t="s">
        <v>13</v>
      </c>
      <c r="C7572">
        <v>9.75</v>
      </c>
      <c r="D7572">
        <v>9</v>
      </c>
      <c r="E7572" t="s">
        <v>17</v>
      </c>
      <c r="F7572">
        <v>15.59</v>
      </c>
      <c r="G7572">
        <v>20.22</v>
      </c>
      <c r="H7572" t="s">
        <v>17</v>
      </c>
      <c r="I7572" t="str">
        <f>"062223002776"</f>
        <v>062223002776</v>
      </c>
    </row>
    <row r="7573" spans="1:9" x14ac:dyDescent="0.25">
      <c r="A7573" t="s">
        <v>6595</v>
      </c>
      <c r="B7573" t="s">
        <v>13</v>
      </c>
      <c r="C7573">
        <v>31.29</v>
      </c>
      <c r="D7573">
        <v>31.13</v>
      </c>
      <c r="E7573" t="s">
        <v>17</v>
      </c>
      <c r="F7573">
        <v>30.71</v>
      </c>
      <c r="G7573">
        <v>30.49</v>
      </c>
      <c r="H7573" t="s">
        <v>17</v>
      </c>
      <c r="I7573" t="str">
        <f>"068450008252"</f>
        <v>068450008252</v>
      </c>
    </row>
    <row r="7574" spans="1:9" x14ac:dyDescent="0.25">
      <c r="A7574" t="s">
        <v>6596</v>
      </c>
      <c r="B7574" t="s">
        <v>13</v>
      </c>
      <c r="C7574">
        <v>33</v>
      </c>
      <c r="D7574">
        <v>33</v>
      </c>
      <c r="E7574" t="s">
        <v>17</v>
      </c>
      <c r="F7574">
        <v>22.39</v>
      </c>
      <c r="G7574">
        <v>22.39</v>
      </c>
      <c r="H7574" t="s">
        <v>17</v>
      </c>
      <c r="I7574" t="str">
        <f>"063987009201"</f>
        <v>063987009201</v>
      </c>
    </row>
    <row r="7575" spans="1:9" x14ac:dyDescent="0.25">
      <c r="A7575" t="s">
        <v>6597</v>
      </c>
      <c r="B7575" t="s">
        <v>13</v>
      </c>
      <c r="C7575">
        <v>8</v>
      </c>
      <c r="D7575">
        <v>8</v>
      </c>
      <c r="E7575" t="s">
        <v>17</v>
      </c>
      <c r="F7575">
        <v>21.88</v>
      </c>
      <c r="G7575">
        <v>21</v>
      </c>
      <c r="H7575" t="s">
        <v>17</v>
      </c>
      <c r="I7575" t="str">
        <f>"063090004791"</f>
        <v>063090004791</v>
      </c>
    </row>
    <row r="7576" spans="1:9" x14ac:dyDescent="0.25">
      <c r="A7576" t="s">
        <v>6598</v>
      </c>
      <c r="B7576" t="s">
        <v>13</v>
      </c>
      <c r="C7576">
        <v>16</v>
      </c>
      <c r="D7576">
        <v>17</v>
      </c>
      <c r="E7576" t="s">
        <v>17</v>
      </c>
      <c r="F7576">
        <v>27.31</v>
      </c>
      <c r="G7576">
        <v>24.94</v>
      </c>
      <c r="H7576" t="s">
        <v>17</v>
      </c>
      <c r="I7576" t="str">
        <f>"061233001409"</f>
        <v>061233001409</v>
      </c>
    </row>
    <row r="7577" spans="1:9" x14ac:dyDescent="0.25">
      <c r="A7577" t="s">
        <v>6599</v>
      </c>
      <c r="B7577" t="s">
        <v>13</v>
      </c>
      <c r="C7577">
        <v>105.26</v>
      </c>
      <c r="D7577">
        <v>108.54</v>
      </c>
      <c r="E7577" t="s">
        <v>17</v>
      </c>
      <c r="F7577">
        <v>24.06</v>
      </c>
      <c r="G7577">
        <v>22.94</v>
      </c>
      <c r="H7577" t="s">
        <v>17</v>
      </c>
      <c r="I7577" t="str">
        <f>"061233011067"</f>
        <v>061233011067</v>
      </c>
    </row>
    <row r="7578" spans="1:9" x14ac:dyDescent="0.25">
      <c r="A7578" t="s">
        <v>6600</v>
      </c>
      <c r="B7578" t="s">
        <v>13</v>
      </c>
      <c r="C7578">
        <v>28</v>
      </c>
      <c r="D7578">
        <v>28.86</v>
      </c>
      <c r="E7578" t="s">
        <v>17</v>
      </c>
      <c r="F7578">
        <v>21.82</v>
      </c>
      <c r="G7578">
        <v>21.76</v>
      </c>
      <c r="H7578" t="s">
        <v>17</v>
      </c>
      <c r="I7578" t="str">
        <f>"063231011168"</f>
        <v>063231011168</v>
      </c>
    </row>
    <row r="7579" spans="1:9" x14ac:dyDescent="0.25">
      <c r="A7579" t="s">
        <v>6601</v>
      </c>
      <c r="B7579" t="s">
        <v>13</v>
      </c>
      <c r="C7579" t="s">
        <v>14</v>
      </c>
      <c r="D7579" t="s">
        <v>17</v>
      </c>
      <c r="E7579" t="s">
        <v>17</v>
      </c>
      <c r="F7579" t="s">
        <v>17</v>
      </c>
      <c r="G7579" t="s">
        <v>17</v>
      </c>
      <c r="H7579" t="s">
        <v>17</v>
      </c>
      <c r="I7579" t="str">
        <f>"062637012590"</f>
        <v>062637012590</v>
      </c>
    </row>
    <row r="7580" spans="1:9" x14ac:dyDescent="0.25">
      <c r="A7580" t="s">
        <v>6602</v>
      </c>
      <c r="B7580" t="s">
        <v>13</v>
      </c>
      <c r="C7580">
        <v>27</v>
      </c>
      <c r="D7580">
        <v>26.79</v>
      </c>
      <c r="E7580" t="s">
        <v>17</v>
      </c>
      <c r="F7580">
        <v>25.37</v>
      </c>
      <c r="G7580">
        <v>24.71</v>
      </c>
      <c r="H7580" t="s">
        <v>17</v>
      </c>
      <c r="I7580" t="str">
        <f>"062637003967"</f>
        <v>062637003967</v>
      </c>
    </row>
    <row r="7581" spans="1:9" x14ac:dyDescent="0.25">
      <c r="A7581" t="s">
        <v>6603</v>
      </c>
      <c r="B7581" t="s">
        <v>13</v>
      </c>
      <c r="C7581">
        <v>36.53</v>
      </c>
      <c r="D7581">
        <v>35.18</v>
      </c>
      <c r="E7581" t="s">
        <v>17</v>
      </c>
      <c r="F7581">
        <v>25.08</v>
      </c>
      <c r="G7581">
        <v>23.71</v>
      </c>
      <c r="H7581" t="s">
        <v>17</v>
      </c>
      <c r="I7581" t="str">
        <f>"062637007076"</f>
        <v>062637007076</v>
      </c>
    </row>
    <row r="7582" spans="1:9" x14ac:dyDescent="0.25">
      <c r="A7582" t="s">
        <v>6604</v>
      </c>
      <c r="B7582" t="s">
        <v>13</v>
      </c>
      <c r="C7582" t="s">
        <v>17</v>
      </c>
      <c r="D7582" t="s">
        <v>17</v>
      </c>
      <c r="E7582" t="s">
        <v>17</v>
      </c>
      <c r="F7582" t="s">
        <v>17</v>
      </c>
      <c r="G7582" t="s">
        <v>17</v>
      </c>
      <c r="H7582" t="s">
        <v>17</v>
      </c>
      <c r="I7582" t="str">
        <f>"063093004793"</f>
        <v>063093004793</v>
      </c>
    </row>
    <row r="7583" spans="1:9" x14ac:dyDescent="0.25">
      <c r="A7583" t="s">
        <v>6605</v>
      </c>
      <c r="B7583" t="s">
        <v>13</v>
      </c>
      <c r="C7583" t="s">
        <v>17</v>
      </c>
      <c r="D7583" t="s">
        <v>17</v>
      </c>
      <c r="E7583" t="s">
        <v>17</v>
      </c>
      <c r="F7583" t="s">
        <v>17</v>
      </c>
      <c r="G7583" t="s">
        <v>17</v>
      </c>
      <c r="H7583" t="s">
        <v>17</v>
      </c>
      <c r="I7583" t="str">
        <f>"063093011273"</f>
        <v>063093011273</v>
      </c>
    </row>
    <row r="7584" spans="1:9" x14ac:dyDescent="0.25">
      <c r="A7584" t="s">
        <v>6606</v>
      </c>
      <c r="B7584" t="s">
        <v>13</v>
      </c>
      <c r="C7584" t="s">
        <v>17</v>
      </c>
      <c r="D7584" t="s">
        <v>14</v>
      </c>
      <c r="E7584" t="s">
        <v>14</v>
      </c>
      <c r="F7584" t="s">
        <v>17</v>
      </c>
      <c r="G7584" t="s">
        <v>14</v>
      </c>
      <c r="H7584" t="s">
        <v>14</v>
      </c>
      <c r="I7584" t="str">
        <f>"063093013599"</f>
        <v>063093013599</v>
      </c>
    </row>
    <row r="7585" spans="1:9" x14ac:dyDescent="0.25">
      <c r="A7585" t="s">
        <v>6607</v>
      </c>
      <c r="B7585" t="s">
        <v>13</v>
      </c>
      <c r="C7585" t="s">
        <v>14</v>
      </c>
      <c r="D7585" t="s">
        <v>14</v>
      </c>
      <c r="E7585" t="s">
        <v>17</v>
      </c>
      <c r="F7585" t="s">
        <v>14</v>
      </c>
      <c r="G7585" t="s">
        <v>14</v>
      </c>
      <c r="H7585" t="s">
        <v>17</v>
      </c>
      <c r="I7585" t="str">
        <f>"063096011250"</f>
        <v>063096011250</v>
      </c>
    </row>
    <row r="7586" spans="1:9" x14ac:dyDescent="0.25">
      <c r="A7586" t="s">
        <v>6608</v>
      </c>
      <c r="B7586" t="s">
        <v>13</v>
      </c>
      <c r="C7586">
        <v>9.68</v>
      </c>
      <c r="D7586">
        <v>9.83</v>
      </c>
      <c r="E7586" t="s">
        <v>17</v>
      </c>
      <c r="F7586">
        <v>29.34</v>
      </c>
      <c r="G7586">
        <v>28.89</v>
      </c>
      <c r="H7586" t="s">
        <v>17</v>
      </c>
      <c r="I7586" t="str">
        <f>"063096004794"</f>
        <v>063096004794</v>
      </c>
    </row>
    <row r="7587" spans="1:9" x14ac:dyDescent="0.25">
      <c r="A7587" t="s">
        <v>6608</v>
      </c>
      <c r="B7587" t="s">
        <v>13</v>
      </c>
      <c r="C7587">
        <v>23.1</v>
      </c>
      <c r="D7587">
        <v>23.6</v>
      </c>
      <c r="E7587" t="s">
        <v>17</v>
      </c>
      <c r="F7587">
        <v>20.78</v>
      </c>
      <c r="G7587">
        <v>18.940000000000001</v>
      </c>
      <c r="H7587" t="s">
        <v>17</v>
      </c>
      <c r="I7587" t="str">
        <f>"062772004193"</f>
        <v>062772004193</v>
      </c>
    </row>
    <row r="7588" spans="1:9" x14ac:dyDescent="0.25">
      <c r="A7588" t="s">
        <v>6608</v>
      </c>
      <c r="B7588" t="s">
        <v>13</v>
      </c>
      <c r="C7588">
        <v>6</v>
      </c>
      <c r="D7588">
        <v>5</v>
      </c>
      <c r="E7588" t="s">
        <v>17</v>
      </c>
      <c r="F7588">
        <v>21</v>
      </c>
      <c r="G7588">
        <v>23</v>
      </c>
      <c r="H7588" t="s">
        <v>17</v>
      </c>
      <c r="I7588" t="str">
        <f>"063102004808"</f>
        <v>063102004808</v>
      </c>
    </row>
    <row r="7589" spans="1:9" x14ac:dyDescent="0.25">
      <c r="A7589" t="s">
        <v>6609</v>
      </c>
      <c r="B7589" t="s">
        <v>13</v>
      </c>
      <c r="C7589">
        <v>80.3</v>
      </c>
      <c r="D7589">
        <v>81.099999999999994</v>
      </c>
      <c r="E7589" t="s">
        <v>17</v>
      </c>
      <c r="F7589">
        <v>24.02</v>
      </c>
      <c r="G7589">
        <v>24.03</v>
      </c>
      <c r="H7589" t="s">
        <v>17</v>
      </c>
      <c r="I7589" t="str">
        <f>"060837000827"</f>
        <v>060837000827</v>
      </c>
    </row>
    <row r="7590" spans="1:9" x14ac:dyDescent="0.25">
      <c r="A7590" t="s">
        <v>6610</v>
      </c>
      <c r="B7590" t="s">
        <v>13</v>
      </c>
      <c r="C7590">
        <v>6.4</v>
      </c>
      <c r="D7590">
        <v>7</v>
      </c>
      <c r="E7590" t="s">
        <v>17</v>
      </c>
      <c r="F7590">
        <v>21.25</v>
      </c>
      <c r="G7590">
        <v>15.86</v>
      </c>
      <c r="H7590" t="s">
        <v>17</v>
      </c>
      <c r="I7590" t="str">
        <f>"061539010199"</f>
        <v>061539010199</v>
      </c>
    </row>
    <row r="7591" spans="1:9" x14ac:dyDescent="0.25">
      <c r="A7591" t="s">
        <v>6611</v>
      </c>
      <c r="B7591" t="s">
        <v>13</v>
      </c>
      <c r="C7591" t="s">
        <v>17</v>
      </c>
      <c r="D7591" t="s">
        <v>14</v>
      </c>
      <c r="E7591" t="s">
        <v>14</v>
      </c>
      <c r="F7591" t="s">
        <v>17</v>
      </c>
      <c r="G7591" t="s">
        <v>14</v>
      </c>
      <c r="H7591" t="s">
        <v>14</v>
      </c>
      <c r="I7591" t="str">
        <f>"063096013239"</f>
        <v>063096013239</v>
      </c>
    </row>
    <row r="7592" spans="1:9" x14ac:dyDescent="0.25">
      <c r="A7592" t="s">
        <v>6612</v>
      </c>
      <c r="B7592" t="s">
        <v>13</v>
      </c>
      <c r="C7592" t="s">
        <v>17</v>
      </c>
      <c r="D7592" t="s">
        <v>14</v>
      </c>
      <c r="E7592" t="s">
        <v>14</v>
      </c>
      <c r="F7592" t="s">
        <v>17</v>
      </c>
      <c r="G7592" t="s">
        <v>14</v>
      </c>
      <c r="H7592" t="s">
        <v>14</v>
      </c>
      <c r="I7592" t="str">
        <f>"062814013419"</f>
        <v>062814013419</v>
      </c>
    </row>
    <row r="7593" spans="1:9" x14ac:dyDescent="0.25">
      <c r="A7593" t="s">
        <v>6613</v>
      </c>
      <c r="B7593" t="s">
        <v>13</v>
      </c>
      <c r="C7593">
        <v>21</v>
      </c>
      <c r="D7593">
        <v>23</v>
      </c>
      <c r="E7593" t="s">
        <v>17</v>
      </c>
      <c r="F7593">
        <v>26.95</v>
      </c>
      <c r="G7593">
        <v>25.74</v>
      </c>
      <c r="H7593" t="s">
        <v>17</v>
      </c>
      <c r="I7593" t="str">
        <f>"063105004809"</f>
        <v>063105004809</v>
      </c>
    </row>
    <row r="7594" spans="1:9" x14ac:dyDescent="0.25">
      <c r="A7594" t="s">
        <v>6613</v>
      </c>
      <c r="B7594" t="s">
        <v>13</v>
      </c>
      <c r="C7594">
        <v>20</v>
      </c>
      <c r="D7594">
        <v>22</v>
      </c>
      <c r="E7594" t="s">
        <v>17</v>
      </c>
      <c r="F7594">
        <v>23.6</v>
      </c>
      <c r="G7594">
        <v>22.86</v>
      </c>
      <c r="H7594" t="s">
        <v>17</v>
      </c>
      <c r="I7594" t="str">
        <f>"060369000337"</f>
        <v>060369000337</v>
      </c>
    </row>
    <row r="7595" spans="1:9" x14ac:dyDescent="0.25">
      <c r="A7595" t="s">
        <v>6614</v>
      </c>
      <c r="B7595" t="s">
        <v>13</v>
      </c>
      <c r="C7595" t="s">
        <v>17</v>
      </c>
      <c r="D7595" t="s">
        <v>17</v>
      </c>
      <c r="E7595" t="s">
        <v>17</v>
      </c>
      <c r="F7595" t="s">
        <v>17</v>
      </c>
      <c r="G7595" t="s">
        <v>17</v>
      </c>
      <c r="H7595" t="s">
        <v>17</v>
      </c>
      <c r="I7595" t="str">
        <f>"063105012544"</f>
        <v>063105012544</v>
      </c>
    </row>
    <row r="7596" spans="1:9" x14ac:dyDescent="0.25">
      <c r="A7596" t="s">
        <v>6615</v>
      </c>
      <c r="B7596" t="s">
        <v>13</v>
      </c>
      <c r="C7596">
        <v>52.31</v>
      </c>
      <c r="D7596">
        <v>51.31</v>
      </c>
      <c r="E7596" t="s">
        <v>17</v>
      </c>
      <c r="F7596">
        <v>22.84</v>
      </c>
      <c r="G7596">
        <v>23.85</v>
      </c>
      <c r="H7596" t="s">
        <v>17</v>
      </c>
      <c r="I7596" t="str">
        <f>"060002009682"</f>
        <v>060002009682</v>
      </c>
    </row>
    <row r="7597" spans="1:9" x14ac:dyDescent="0.25">
      <c r="A7597" t="s">
        <v>6616</v>
      </c>
      <c r="B7597" t="s">
        <v>13</v>
      </c>
      <c r="C7597">
        <v>25</v>
      </c>
      <c r="D7597">
        <v>30</v>
      </c>
      <c r="E7597" t="s">
        <v>17</v>
      </c>
      <c r="F7597">
        <v>29.52</v>
      </c>
      <c r="G7597">
        <v>25.27</v>
      </c>
      <c r="H7597" t="s">
        <v>17</v>
      </c>
      <c r="I7597" t="str">
        <f>"063597007532"</f>
        <v>063597007532</v>
      </c>
    </row>
    <row r="7598" spans="1:9" x14ac:dyDescent="0.25">
      <c r="A7598" t="s">
        <v>6617</v>
      </c>
      <c r="B7598" t="s">
        <v>13</v>
      </c>
      <c r="C7598">
        <v>1</v>
      </c>
      <c r="D7598">
        <v>1</v>
      </c>
      <c r="E7598" t="s">
        <v>17</v>
      </c>
      <c r="F7598">
        <v>17</v>
      </c>
      <c r="G7598">
        <v>10</v>
      </c>
      <c r="H7598" t="s">
        <v>17</v>
      </c>
      <c r="I7598" t="str">
        <f>"063114004817"</f>
        <v>063114004817</v>
      </c>
    </row>
    <row r="7599" spans="1:9" x14ac:dyDescent="0.25">
      <c r="A7599" t="s">
        <v>6618</v>
      </c>
      <c r="B7599" t="s">
        <v>13</v>
      </c>
      <c r="C7599">
        <v>9.2799999999999994</v>
      </c>
      <c r="D7599">
        <v>10.18</v>
      </c>
      <c r="E7599" t="s">
        <v>17</v>
      </c>
      <c r="F7599">
        <v>26.08</v>
      </c>
      <c r="G7599">
        <v>22.3</v>
      </c>
      <c r="H7599" t="s">
        <v>17</v>
      </c>
      <c r="I7599" t="str">
        <f>"063918010743"</f>
        <v>063918010743</v>
      </c>
    </row>
    <row r="7600" spans="1:9" x14ac:dyDescent="0.25">
      <c r="A7600" t="s">
        <v>6619</v>
      </c>
      <c r="B7600" t="s">
        <v>13</v>
      </c>
      <c r="C7600">
        <v>9.9499999999999993</v>
      </c>
      <c r="D7600">
        <v>10.41</v>
      </c>
      <c r="E7600" t="s">
        <v>17</v>
      </c>
      <c r="F7600">
        <v>19.3</v>
      </c>
      <c r="G7600">
        <v>17.87</v>
      </c>
      <c r="H7600" t="s">
        <v>17</v>
      </c>
      <c r="I7600" t="str">
        <f>"063117007601"</f>
        <v>063117007601</v>
      </c>
    </row>
    <row r="7601" spans="1:9" x14ac:dyDescent="0.25">
      <c r="A7601" t="s">
        <v>6620</v>
      </c>
      <c r="B7601" t="s">
        <v>13</v>
      </c>
      <c r="C7601">
        <v>1</v>
      </c>
      <c r="D7601" t="s">
        <v>17</v>
      </c>
      <c r="E7601" t="s">
        <v>17</v>
      </c>
      <c r="F7601">
        <v>5</v>
      </c>
      <c r="G7601" t="s">
        <v>17</v>
      </c>
      <c r="H7601" t="s">
        <v>17</v>
      </c>
      <c r="I7601" t="str">
        <f>"069110210576"</f>
        <v>069110210576</v>
      </c>
    </row>
    <row r="7602" spans="1:9" x14ac:dyDescent="0.25">
      <c r="A7602" t="s">
        <v>6621</v>
      </c>
      <c r="B7602" t="s">
        <v>13</v>
      </c>
      <c r="C7602">
        <v>4</v>
      </c>
      <c r="D7602" t="s">
        <v>17</v>
      </c>
      <c r="E7602" t="s">
        <v>17</v>
      </c>
      <c r="F7602">
        <v>2.25</v>
      </c>
      <c r="G7602" t="s">
        <v>17</v>
      </c>
      <c r="H7602" t="s">
        <v>17</v>
      </c>
      <c r="I7602" t="str">
        <f>"069110211706"</f>
        <v>069110211706</v>
      </c>
    </row>
    <row r="7603" spans="1:9" x14ac:dyDescent="0.25">
      <c r="A7603" t="s">
        <v>6622</v>
      </c>
      <c r="B7603" t="s">
        <v>13</v>
      </c>
      <c r="C7603" t="s">
        <v>17</v>
      </c>
      <c r="D7603" t="s">
        <v>17</v>
      </c>
      <c r="E7603" t="s">
        <v>17</v>
      </c>
      <c r="F7603" t="s">
        <v>17</v>
      </c>
      <c r="G7603" t="s">
        <v>17</v>
      </c>
      <c r="H7603" t="s">
        <v>17</v>
      </c>
      <c r="I7603" t="str">
        <f>"060008311011"</f>
        <v>060008311011</v>
      </c>
    </row>
    <row r="7604" spans="1:9" x14ac:dyDescent="0.25">
      <c r="A7604" t="s">
        <v>6623</v>
      </c>
      <c r="B7604" t="s">
        <v>13</v>
      </c>
      <c r="C7604">
        <v>40</v>
      </c>
      <c r="D7604">
        <v>36</v>
      </c>
      <c r="E7604" t="s">
        <v>17</v>
      </c>
      <c r="F7604">
        <v>24.5</v>
      </c>
      <c r="G7604">
        <v>24.67</v>
      </c>
      <c r="H7604" t="s">
        <v>17</v>
      </c>
      <c r="I7604" t="str">
        <f>"062271003284"</f>
        <v>062271003284</v>
      </c>
    </row>
    <row r="7605" spans="1:9" x14ac:dyDescent="0.25">
      <c r="A7605" t="s">
        <v>6624</v>
      </c>
      <c r="B7605" t="s">
        <v>13</v>
      </c>
      <c r="C7605">
        <v>17.809999999999999</v>
      </c>
      <c r="D7605">
        <v>17.55</v>
      </c>
      <c r="E7605" t="s">
        <v>17</v>
      </c>
      <c r="F7605">
        <v>23.13</v>
      </c>
      <c r="G7605">
        <v>23.99</v>
      </c>
      <c r="H7605" t="s">
        <v>17</v>
      </c>
      <c r="I7605" t="str">
        <f>"062532003781"</f>
        <v>062532003781</v>
      </c>
    </row>
    <row r="7606" spans="1:9" x14ac:dyDescent="0.25">
      <c r="A7606" t="s">
        <v>6624</v>
      </c>
      <c r="B7606" t="s">
        <v>13</v>
      </c>
      <c r="C7606">
        <v>9.9</v>
      </c>
      <c r="D7606">
        <v>9.9</v>
      </c>
      <c r="E7606" t="s">
        <v>17</v>
      </c>
      <c r="F7606">
        <v>23.84</v>
      </c>
      <c r="G7606">
        <v>22.22</v>
      </c>
      <c r="H7606" t="s">
        <v>17</v>
      </c>
      <c r="I7606" t="str">
        <f>"060245008792"</f>
        <v>060245008792</v>
      </c>
    </row>
    <row r="7607" spans="1:9" x14ac:dyDescent="0.25">
      <c r="A7607" t="s">
        <v>6625</v>
      </c>
      <c r="B7607" t="s">
        <v>13</v>
      </c>
      <c r="C7607">
        <v>18.32</v>
      </c>
      <c r="D7607">
        <v>14.37</v>
      </c>
      <c r="E7607" t="s">
        <v>17</v>
      </c>
      <c r="F7607">
        <v>22.49</v>
      </c>
      <c r="G7607">
        <v>21.36</v>
      </c>
      <c r="H7607" t="s">
        <v>17</v>
      </c>
      <c r="I7607" t="str">
        <f>"062223012344"</f>
        <v>062223012344</v>
      </c>
    </row>
    <row r="7608" spans="1:9" x14ac:dyDescent="0.25">
      <c r="A7608" t="s">
        <v>6626</v>
      </c>
      <c r="B7608" t="s">
        <v>13</v>
      </c>
      <c r="C7608">
        <v>18</v>
      </c>
      <c r="D7608">
        <v>18</v>
      </c>
      <c r="E7608" t="s">
        <v>17</v>
      </c>
      <c r="F7608">
        <v>28</v>
      </c>
      <c r="G7608">
        <v>30.06</v>
      </c>
      <c r="H7608" t="s">
        <v>17</v>
      </c>
      <c r="I7608" t="str">
        <f>"060750011987"</f>
        <v>060750011987</v>
      </c>
    </row>
    <row r="7609" spans="1:9" x14ac:dyDescent="0.25">
      <c r="A7609" t="s">
        <v>6626</v>
      </c>
      <c r="B7609" t="s">
        <v>13</v>
      </c>
      <c r="C7609">
        <v>20.8</v>
      </c>
      <c r="D7609">
        <v>22.51</v>
      </c>
      <c r="E7609" t="s">
        <v>17</v>
      </c>
      <c r="F7609">
        <v>24.18</v>
      </c>
      <c r="G7609">
        <v>22.75</v>
      </c>
      <c r="H7609" t="s">
        <v>17</v>
      </c>
      <c r="I7609" t="str">
        <f>"064098006762"</f>
        <v>064098006762</v>
      </c>
    </row>
    <row r="7610" spans="1:9" x14ac:dyDescent="0.25">
      <c r="A7610" t="s">
        <v>6627</v>
      </c>
      <c r="B7610" t="s">
        <v>13</v>
      </c>
      <c r="C7610">
        <v>11.97</v>
      </c>
      <c r="D7610">
        <v>12.89</v>
      </c>
      <c r="E7610" t="s">
        <v>17</v>
      </c>
      <c r="F7610">
        <v>13.2</v>
      </c>
      <c r="G7610">
        <v>13.27</v>
      </c>
      <c r="H7610" t="s">
        <v>17</v>
      </c>
      <c r="I7610" t="str">
        <f>"063123004831"</f>
        <v>063123004831</v>
      </c>
    </row>
    <row r="7611" spans="1:9" x14ac:dyDescent="0.25">
      <c r="A7611" t="s">
        <v>6628</v>
      </c>
      <c r="B7611" t="s">
        <v>13</v>
      </c>
      <c r="C7611">
        <v>12</v>
      </c>
      <c r="D7611">
        <v>12</v>
      </c>
      <c r="E7611" t="s">
        <v>17</v>
      </c>
      <c r="F7611">
        <v>20.420000000000002</v>
      </c>
      <c r="G7611">
        <v>21.42</v>
      </c>
      <c r="H7611" t="s">
        <v>17</v>
      </c>
      <c r="I7611" t="str">
        <f>"063570007138"</f>
        <v>063570007138</v>
      </c>
    </row>
    <row r="7612" spans="1:9" x14ac:dyDescent="0.25">
      <c r="A7612" t="s">
        <v>6629</v>
      </c>
      <c r="B7612" t="s">
        <v>13</v>
      </c>
      <c r="C7612">
        <v>14</v>
      </c>
      <c r="D7612">
        <v>12.17</v>
      </c>
      <c r="E7612" t="s">
        <v>17</v>
      </c>
      <c r="F7612">
        <v>22.71</v>
      </c>
      <c r="G7612">
        <v>25.47</v>
      </c>
      <c r="H7612" t="s">
        <v>17</v>
      </c>
      <c r="I7612" t="str">
        <f>"062271003285"</f>
        <v>062271003285</v>
      </c>
    </row>
    <row r="7613" spans="1:9" x14ac:dyDescent="0.25">
      <c r="A7613" t="s">
        <v>6630</v>
      </c>
      <c r="B7613" t="s">
        <v>13</v>
      </c>
      <c r="C7613">
        <v>84.93</v>
      </c>
      <c r="D7613">
        <v>86.6</v>
      </c>
      <c r="E7613" t="s">
        <v>17</v>
      </c>
      <c r="F7613">
        <v>23.05</v>
      </c>
      <c r="G7613">
        <v>22.96</v>
      </c>
      <c r="H7613" t="s">
        <v>17</v>
      </c>
      <c r="I7613" t="str">
        <f>"063432005537"</f>
        <v>063432005537</v>
      </c>
    </row>
    <row r="7614" spans="1:9" x14ac:dyDescent="0.25">
      <c r="A7614" t="s">
        <v>6631</v>
      </c>
      <c r="B7614" t="s">
        <v>13</v>
      </c>
      <c r="C7614">
        <v>19</v>
      </c>
      <c r="D7614">
        <v>18</v>
      </c>
      <c r="E7614" t="s">
        <v>17</v>
      </c>
      <c r="F7614">
        <v>20.79</v>
      </c>
      <c r="G7614">
        <v>21.61</v>
      </c>
      <c r="H7614" t="s">
        <v>17</v>
      </c>
      <c r="I7614" t="str">
        <f>"062970004618"</f>
        <v>062970004618</v>
      </c>
    </row>
    <row r="7615" spans="1:9" x14ac:dyDescent="0.25">
      <c r="A7615" t="s">
        <v>6632</v>
      </c>
      <c r="B7615" t="s">
        <v>13</v>
      </c>
      <c r="C7615">
        <v>5</v>
      </c>
      <c r="D7615">
        <v>10.44</v>
      </c>
      <c r="E7615" t="s">
        <v>17</v>
      </c>
      <c r="F7615">
        <v>32.200000000000003</v>
      </c>
      <c r="G7615">
        <v>16.28</v>
      </c>
      <c r="H7615" t="s">
        <v>17</v>
      </c>
      <c r="I7615" t="str">
        <f>"060263008115"</f>
        <v>060263008115</v>
      </c>
    </row>
    <row r="7616" spans="1:9" x14ac:dyDescent="0.25">
      <c r="A7616" t="s">
        <v>6633</v>
      </c>
      <c r="B7616" t="s">
        <v>13</v>
      </c>
      <c r="C7616">
        <v>1</v>
      </c>
      <c r="D7616">
        <v>1</v>
      </c>
      <c r="E7616" t="s">
        <v>17</v>
      </c>
      <c r="F7616">
        <v>5</v>
      </c>
      <c r="G7616">
        <v>2</v>
      </c>
      <c r="H7616" t="s">
        <v>17</v>
      </c>
      <c r="I7616" t="str">
        <f>"063680500409"</f>
        <v>063680500409</v>
      </c>
    </row>
    <row r="7617" spans="1:9" x14ac:dyDescent="0.25">
      <c r="A7617" t="s">
        <v>6634</v>
      </c>
      <c r="B7617" t="s">
        <v>13</v>
      </c>
      <c r="C7617">
        <v>170.99</v>
      </c>
      <c r="D7617">
        <v>174.68</v>
      </c>
      <c r="E7617" t="s">
        <v>17</v>
      </c>
      <c r="F7617">
        <v>27.1</v>
      </c>
      <c r="G7617">
        <v>27.16</v>
      </c>
      <c r="H7617" t="s">
        <v>17</v>
      </c>
      <c r="I7617" t="str">
        <f>"062250002751"</f>
        <v>062250002751</v>
      </c>
    </row>
    <row r="7618" spans="1:9" x14ac:dyDescent="0.25">
      <c r="A7618" t="s">
        <v>6634</v>
      </c>
      <c r="B7618" t="s">
        <v>13</v>
      </c>
      <c r="C7618">
        <v>100.21</v>
      </c>
      <c r="D7618">
        <v>100.5</v>
      </c>
      <c r="E7618" t="s">
        <v>17</v>
      </c>
      <c r="F7618">
        <v>28.7</v>
      </c>
      <c r="G7618">
        <v>28.37</v>
      </c>
      <c r="H7618" t="s">
        <v>17</v>
      </c>
      <c r="I7618" t="str">
        <f>"063315005156"</f>
        <v>063315005156</v>
      </c>
    </row>
    <row r="7619" spans="1:9" x14ac:dyDescent="0.25">
      <c r="A7619" t="s">
        <v>6635</v>
      </c>
      <c r="B7619" t="s">
        <v>13</v>
      </c>
      <c r="C7619">
        <v>25</v>
      </c>
      <c r="D7619">
        <v>26</v>
      </c>
      <c r="E7619" t="s">
        <v>17</v>
      </c>
      <c r="F7619">
        <v>24.76</v>
      </c>
      <c r="G7619">
        <v>24.96</v>
      </c>
      <c r="H7619" t="s">
        <v>17</v>
      </c>
      <c r="I7619" t="str">
        <f>"062271003286"</f>
        <v>062271003286</v>
      </c>
    </row>
    <row r="7620" spans="1:9" x14ac:dyDescent="0.25">
      <c r="A7620" t="s">
        <v>6636</v>
      </c>
      <c r="B7620" t="s">
        <v>13</v>
      </c>
      <c r="C7620">
        <v>17.5</v>
      </c>
      <c r="D7620">
        <v>18.5</v>
      </c>
      <c r="E7620" t="s">
        <v>17</v>
      </c>
      <c r="F7620">
        <v>27.94</v>
      </c>
      <c r="G7620">
        <v>27.14</v>
      </c>
      <c r="H7620" t="s">
        <v>17</v>
      </c>
      <c r="I7620" t="str">
        <f>"063153004892"</f>
        <v>063153004892</v>
      </c>
    </row>
    <row r="7621" spans="1:9" x14ac:dyDescent="0.25">
      <c r="A7621" t="s">
        <v>6637</v>
      </c>
      <c r="B7621" t="s">
        <v>13</v>
      </c>
      <c r="C7621">
        <v>18</v>
      </c>
      <c r="D7621">
        <v>20.5</v>
      </c>
      <c r="E7621" t="s">
        <v>17</v>
      </c>
      <c r="F7621">
        <v>29.33</v>
      </c>
      <c r="G7621">
        <v>27.56</v>
      </c>
      <c r="H7621" t="s">
        <v>17</v>
      </c>
      <c r="I7621" t="str">
        <f>"063543006048"</f>
        <v>063543006048</v>
      </c>
    </row>
    <row r="7622" spans="1:9" x14ac:dyDescent="0.25">
      <c r="A7622" t="s">
        <v>6638</v>
      </c>
      <c r="B7622" t="s">
        <v>13</v>
      </c>
      <c r="C7622">
        <v>28</v>
      </c>
      <c r="D7622">
        <v>27.7</v>
      </c>
      <c r="E7622" t="s">
        <v>17</v>
      </c>
      <c r="F7622">
        <v>23.36</v>
      </c>
      <c r="G7622">
        <v>23.86</v>
      </c>
      <c r="H7622" t="s">
        <v>17</v>
      </c>
      <c r="I7622" t="str">
        <f>"062007010228"</f>
        <v>062007010228</v>
      </c>
    </row>
    <row r="7623" spans="1:9" x14ac:dyDescent="0.25">
      <c r="A7623" t="s">
        <v>6639</v>
      </c>
      <c r="B7623" t="s">
        <v>13</v>
      </c>
      <c r="C7623">
        <v>35.1</v>
      </c>
      <c r="D7623">
        <v>32.9</v>
      </c>
      <c r="E7623" t="s">
        <v>17</v>
      </c>
      <c r="F7623">
        <v>21.45</v>
      </c>
      <c r="G7623">
        <v>21</v>
      </c>
      <c r="H7623" t="s">
        <v>17</v>
      </c>
      <c r="I7623" t="str">
        <f>"064030006660"</f>
        <v>064030006660</v>
      </c>
    </row>
    <row r="7624" spans="1:9" x14ac:dyDescent="0.25">
      <c r="A7624" t="s">
        <v>6640</v>
      </c>
      <c r="B7624" t="s">
        <v>13</v>
      </c>
      <c r="C7624">
        <v>5</v>
      </c>
      <c r="D7624">
        <v>2</v>
      </c>
      <c r="E7624" t="s">
        <v>17</v>
      </c>
      <c r="F7624">
        <v>4.4000000000000004</v>
      </c>
      <c r="G7624">
        <v>15</v>
      </c>
      <c r="H7624" t="s">
        <v>17</v>
      </c>
      <c r="I7624" t="str">
        <f>"063132010247"</f>
        <v>063132010247</v>
      </c>
    </row>
    <row r="7625" spans="1:9" x14ac:dyDescent="0.25">
      <c r="A7625" t="s">
        <v>6641</v>
      </c>
      <c r="B7625" t="s">
        <v>13</v>
      </c>
      <c r="C7625" t="str">
        <f>"0.50"</f>
        <v>0.50</v>
      </c>
      <c r="D7625" t="s">
        <v>17</v>
      </c>
      <c r="E7625" t="s">
        <v>17</v>
      </c>
      <c r="F7625">
        <v>22</v>
      </c>
      <c r="G7625" t="s">
        <v>17</v>
      </c>
      <c r="H7625" t="s">
        <v>17</v>
      </c>
      <c r="I7625" t="str">
        <f>"063132010909"</f>
        <v>063132010909</v>
      </c>
    </row>
    <row r="7626" spans="1:9" x14ac:dyDescent="0.25">
      <c r="A7626" t="s">
        <v>6642</v>
      </c>
      <c r="B7626" t="s">
        <v>13</v>
      </c>
      <c r="C7626">
        <v>21.98</v>
      </c>
      <c r="D7626">
        <v>22</v>
      </c>
      <c r="E7626" t="s">
        <v>17</v>
      </c>
      <c r="F7626">
        <v>23.16</v>
      </c>
      <c r="G7626">
        <v>23.95</v>
      </c>
      <c r="H7626" t="s">
        <v>17</v>
      </c>
      <c r="I7626" t="str">
        <f>"062724004128"</f>
        <v>062724004128</v>
      </c>
    </row>
    <row r="7627" spans="1:9" x14ac:dyDescent="0.25">
      <c r="A7627" t="s">
        <v>6643</v>
      </c>
      <c r="B7627" t="s">
        <v>13</v>
      </c>
      <c r="C7627">
        <v>63.25</v>
      </c>
      <c r="D7627">
        <v>64.83</v>
      </c>
      <c r="E7627" t="s">
        <v>17</v>
      </c>
      <c r="F7627">
        <v>23.78</v>
      </c>
      <c r="G7627">
        <v>24.26</v>
      </c>
      <c r="H7627" t="s">
        <v>17</v>
      </c>
      <c r="I7627" t="str">
        <f>"063132004858"</f>
        <v>063132004858</v>
      </c>
    </row>
    <row r="7628" spans="1:9" x14ac:dyDescent="0.25">
      <c r="A7628" t="s">
        <v>6644</v>
      </c>
      <c r="B7628" t="s">
        <v>13</v>
      </c>
      <c r="C7628">
        <v>12</v>
      </c>
      <c r="D7628">
        <v>12</v>
      </c>
      <c r="E7628" t="s">
        <v>17</v>
      </c>
      <c r="F7628">
        <v>19.920000000000002</v>
      </c>
      <c r="G7628">
        <v>19.420000000000002</v>
      </c>
      <c r="H7628" t="s">
        <v>17</v>
      </c>
      <c r="I7628" t="str">
        <f>"063135004865"</f>
        <v>063135004865</v>
      </c>
    </row>
    <row r="7629" spans="1:9" x14ac:dyDescent="0.25">
      <c r="A7629" t="s">
        <v>6645</v>
      </c>
      <c r="B7629" t="s">
        <v>13</v>
      </c>
      <c r="C7629" t="s">
        <v>17</v>
      </c>
      <c r="D7629">
        <v>1</v>
      </c>
      <c r="E7629" t="s">
        <v>17</v>
      </c>
      <c r="F7629" t="s">
        <v>17</v>
      </c>
      <c r="G7629">
        <v>1</v>
      </c>
      <c r="H7629" t="s">
        <v>17</v>
      </c>
      <c r="I7629" t="str">
        <f>"063680507972"</f>
        <v>063680507972</v>
      </c>
    </row>
    <row r="7630" spans="1:9" x14ac:dyDescent="0.25">
      <c r="A7630" t="s">
        <v>6646</v>
      </c>
      <c r="B7630" t="s">
        <v>13</v>
      </c>
      <c r="C7630">
        <v>21.4</v>
      </c>
      <c r="D7630">
        <v>21</v>
      </c>
      <c r="E7630" t="s">
        <v>17</v>
      </c>
      <c r="F7630">
        <v>23.83</v>
      </c>
      <c r="G7630">
        <v>22.86</v>
      </c>
      <c r="H7630" t="s">
        <v>17</v>
      </c>
      <c r="I7630" t="str">
        <f>"062982004641"</f>
        <v>062982004641</v>
      </c>
    </row>
    <row r="7631" spans="1:9" x14ac:dyDescent="0.25">
      <c r="A7631" t="s">
        <v>6646</v>
      </c>
      <c r="B7631" t="s">
        <v>13</v>
      </c>
      <c r="C7631">
        <v>21</v>
      </c>
      <c r="D7631">
        <v>22.5</v>
      </c>
      <c r="E7631" t="s">
        <v>17</v>
      </c>
      <c r="F7631">
        <v>26.19</v>
      </c>
      <c r="G7631">
        <v>24.8</v>
      </c>
      <c r="H7631" t="s">
        <v>17</v>
      </c>
      <c r="I7631" t="str">
        <f>"063543006049"</f>
        <v>063543006049</v>
      </c>
    </row>
    <row r="7632" spans="1:9" x14ac:dyDescent="0.25">
      <c r="A7632" t="s">
        <v>6646</v>
      </c>
      <c r="B7632" t="s">
        <v>13</v>
      </c>
      <c r="C7632">
        <v>20</v>
      </c>
      <c r="D7632">
        <v>19.5</v>
      </c>
      <c r="E7632" t="s">
        <v>17</v>
      </c>
      <c r="F7632">
        <v>22.05</v>
      </c>
      <c r="G7632">
        <v>22.62</v>
      </c>
      <c r="H7632" t="s">
        <v>17</v>
      </c>
      <c r="I7632" t="str">
        <f>"063753006349"</f>
        <v>063753006349</v>
      </c>
    </row>
    <row r="7633" spans="1:9" x14ac:dyDescent="0.25">
      <c r="A7633" t="s">
        <v>6646</v>
      </c>
      <c r="B7633" t="s">
        <v>13</v>
      </c>
      <c r="C7633">
        <v>42.99</v>
      </c>
      <c r="D7633">
        <v>42.74</v>
      </c>
      <c r="E7633" t="s">
        <v>17</v>
      </c>
      <c r="F7633">
        <v>26.63</v>
      </c>
      <c r="G7633">
        <v>27.26</v>
      </c>
      <c r="H7633" t="s">
        <v>17</v>
      </c>
      <c r="I7633" t="str">
        <f>"060261012518"</f>
        <v>060261012518</v>
      </c>
    </row>
    <row r="7634" spans="1:9" x14ac:dyDescent="0.25">
      <c r="A7634" t="s">
        <v>6647</v>
      </c>
      <c r="B7634" t="s">
        <v>13</v>
      </c>
      <c r="C7634">
        <v>70.489999999999995</v>
      </c>
      <c r="D7634">
        <v>74.75</v>
      </c>
      <c r="E7634" t="s">
        <v>17</v>
      </c>
      <c r="F7634">
        <v>26.94</v>
      </c>
      <c r="G7634">
        <v>25.28</v>
      </c>
      <c r="H7634" t="s">
        <v>17</v>
      </c>
      <c r="I7634" t="str">
        <f>"061207001344"</f>
        <v>061207001344</v>
      </c>
    </row>
    <row r="7635" spans="1:9" x14ac:dyDescent="0.25">
      <c r="A7635" t="s">
        <v>6648</v>
      </c>
      <c r="B7635" t="s">
        <v>13</v>
      </c>
      <c r="C7635">
        <v>15</v>
      </c>
      <c r="D7635">
        <v>18</v>
      </c>
      <c r="E7635" t="s">
        <v>17</v>
      </c>
      <c r="F7635">
        <v>30</v>
      </c>
      <c r="G7635">
        <v>25.5</v>
      </c>
      <c r="H7635" t="s">
        <v>17</v>
      </c>
      <c r="I7635" t="str">
        <f>"063384005277"</f>
        <v>063384005277</v>
      </c>
    </row>
    <row r="7636" spans="1:9" x14ac:dyDescent="0.25">
      <c r="A7636" t="s">
        <v>6649</v>
      </c>
      <c r="B7636" t="s">
        <v>13</v>
      </c>
      <c r="C7636">
        <v>4.5999999999999996</v>
      </c>
      <c r="D7636">
        <v>4.0999999999999996</v>
      </c>
      <c r="E7636" t="s">
        <v>17</v>
      </c>
      <c r="F7636">
        <v>11.52</v>
      </c>
      <c r="G7636">
        <v>16.829999999999998</v>
      </c>
      <c r="H7636" t="s">
        <v>17</v>
      </c>
      <c r="I7636" t="str">
        <f>"063138004866"</f>
        <v>063138004866</v>
      </c>
    </row>
    <row r="7637" spans="1:9" x14ac:dyDescent="0.25">
      <c r="A7637" t="s">
        <v>6650</v>
      </c>
      <c r="B7637" t="s">
        <v>13</v>
      </c>
      <c r="C7637">
        <v>7.5</v>
      </c>
      <c r="D7637">
        <v>8.61</v>
      </c>
      <c r="E7637" t="s">
        <v>17</v>
      </c>
      <c r="F7637">
        <v>25.2</v>
      </c>
      <c r="G7637">
        <v>21.49</v>
      </c>
      <c r="H7637" t="s">
        <v>17</v>
      </c>
      <c r="I7637" t="str">
        <f>"063918006545"</f>
        <v>063918006545</v>
      </c>
    </row>
    <row r="7638" spans="1:9" x14ac:dyDescent="0.25">
      <c r="A7638" t="s">
        <v>6651</v>
      </c>
      <c r="B7638" t="s">
        <v>13</v>
      </c>
      <c r="C7638">
        <v>26.68</v>
      </c>
      <c r="D7638">
        <v>27.51</v>
      </c>
      <c r="E7638" t="s">
        <v>17</v>
      </c>
      <c r="F7638">
        <v>26.16</v>
      </c>
      <c r="G7638">
        <v>26.32</v>
      </c>
      <c r="H7638" t="s">
        <v>17</v>
      </c>
      <c r="I7638" t="str">
        <f>"061392001598"</f>
        <v>061392001598</v>
      </c>
    </row>
    <row r="7639" spans="1:9" x14ac:dyDescent="0.25">
      <c r="A7639" t="s">
        <v>6652</v>
      </c>
      <c r="B7639" t="s">
        <v>13</v>
      </c>
      <c r="C7639">
        <v>44.9</v>
      </c>
      <c r="D7639">
        <v>43.7</v>
      </c>
      <c r="E7639" t="s">
        <v>17</v>
      </c>
      <c r="F7639">
        <v>21.47</v>
      </c>
      <c r="G7639">
        <v>21.35</v>
      </c>
      <c r="H7639" t="s">
        <v>17</v>
      </c>
      <c r="I7639" t="str">
        <f>"062271010864"</f>
        <v>062271010864</v>
      </c>
    </row>
    <row r="7640" spans="1:9" x14ac:dyDescent="0.25">
      <c r="A7640" t="s">
        <v>6653</v>
      </c>
      <c r="B7640" t="s">
        <v>13</v>
      </c>
      <c r="C7640">
        <v>57.6</v>
      </c>
      <c r="D7640">
        <v>59.1</v>
      </c>
      <c r="E7640" t="s">
        <v>17</v>
      </c>
      <c r="F7640">
        <v>19.25</v>
      </c>
      <c r="G7640">
        <v>17.579999999999998</v>
      </c>
      <c r="H7640" t="s">
        <v>17</v>
      </c>
      <c r="I7640" t="str">
        <f>"063432011382"</f>
        <v>063432011382</v>
      </c>
    </row>
    <row r="7641" spans="1:9" x14ac:dyDescent="0.25">
      <c r="A7641" t="s">
        <v>6654</v>
      </c>
      <c r="B7641" t="s">
        <v>13</v>
      </c>
      <c r="C7641">
        <v>29</v>
      </c>
      <c r="D7641" t="s">
        <v>14</v>
      </c>
      <c r="E7641" t="s">
        <v>14</v>
      </c>
      <c r="F7641">
        <v>24.76</v>
      </c>
      <c r="G7641" t="s">
        <v>14</v>
      </c>
      <c r="H7641" t="s">
        <v>14</v>
      </c>
      <c r="I7641" t="str">
        <f>"062271013175"</f>
        <v>062271013175</v>
      </c>
    </row>
    <row r="7642" spans="1:9" x14ac:dyDescent="0.25">
      <c r="A7642" t="s">
        <v>6655</v>
      </c>
      <c r="B7642" t="s">
        <v>13</v>
      </c>
      <c r="C7642">
        <v>70.489999999999995</v>
      </c>
      <c r="D7642">
        <v>67.040000000000006</v>
      </c>
      <c r="E7642" t="s">
        <v>17</v>
      </c>
      <c r="F7642">
        <v>26.7</v>
      </c>
      <c r="G7642">
        <v>27.18</v>
      </c>
      <c r="H7642" t="s">
        <v>17</v>
      </c>
      <c r="I7642" t="str">
        <f>"060006404880"</f>
        <v>060006404880</v>
      </c>
    </row>
    <row r="7643" spans="1:9" x14ac:dyDescent="0.25">
      <c r="A7643" t="s">
        <v>6656</v>
      </c>
      <c r="B7643" t="s">
        <v>13</v>
      </c>
      <c r="C7643">
        <v>9.5</v>
      </c>
      <c r="D7643">
        <v>9.6999999999999993</v>
      </c>
      <c r="E7643" t="s">
        <v>17</v>
      </c>
      <c r="F7643">
        <v>32</v>
      </c>
      <c r="G7643">
        <v>30.82</v>
      </c>
      <c r="H7643" t="s">
        <v>17</v>
      </c>
      <c r="I7643" t="str">
        <f>"063423008626"</f>
        <v>063423008626</v>
      </c>
    </row>
    <row r="7644" spans="1:9" x14ac:dyDescent="0.25">
      <c r="A7644" t="s">
        <v>6656</v>
      </c>
      <c r="B7644" t="s">
        <v>13</v>
      </c>
      <c r="C7644">
        <v>23.99</v>
      </c>
      <c r="D7644">
        <v>24.3</v>
      </c>
      <c r="E7644" t="s">
        <v>17</v>
      </c>
      <c r="F7644">
        <v>25.68</v>
      </c>
      <c r="G7644">
        <v>25.35</v>
      </c>
      <c r="H7644" t="s">
        <v>17</v>
      </c>
      <c r="I7644" t="str">
        <f>"064098006763"</f>
        <v>064098006763</v>
      </c>
    </row>
    <row r="7645" spans="1:9" x14ac:dyDescent="0.25">
      <c r="A7645" t="s">
        <v>6657</v>
      </c>
      <c r="B7645" t="s">
        <v>13</v>
      </c>
      <c r="C7645">
        <v>28.7</v>
      </c>
      <c r="D7645">
        <v>28.8</v>
      </c>
      <c r="E7645" t="s">
        <v>17</v>
      </c>
      <c r="F7645">
        <v>26.83</v>
      </c>
      <c r="G7645">
        <v>27.81</v>
      </c>
      <c r="H7645" t="s">
        <v>17</v>
      </c>
      <c r="I7645" t="str">
        <f>"063386000770"</f>
        <v>063386000770</v>
      </c>
    </row>
    <row r="7646" spans="1:9" x14ac:dyDescent="0.25">
      <c r="A7646" t="s">
        <v>6658</v>
      </c>
      <c r="B7646" t="s">
        <v>13</v>
      </c>
      <c r="C7646">
        <v>21.25</v>
      </c>
      <c r="D7646">
        <v>20</v>
      </c>
      <c r="E7646" t="s">
        <v>17</v>
      </c>
      <c r="F7646">
        <v>24.71</v>
      </c>
      <c r="G7646">
        <v>23.3</v>
      </c>
      <c r="H7646" t="s">
        <v>17</v>
      </c>
      <c r="I7646" t="str">
        <f>"063255005053"</f>
        <v>063255005053</v>
      </c>
    </row>
    <row r="7647" spans="1:9" x14ac:dyDescent="0.25">
      <c r="A7647" t="s">
        <v>6659</v>
      </c>
      <c r="B7647" t="s">
        <v>13</v>
      </c>
      <c r="C7647">
        <v>14.33</v>
      </c>
      <c r="D7647" t="s">
        <v>17</v>
      </c>
      <c r="E7647" t="s">
        <v>17</v>
      </c>
      <c r="F7647">
        <v>17.52</v>
      </c>
      <c r="G7647" t="s">
        <v>17</v>
      </c>
      <c r="H7647" t="s">
        <v>17</v>
      </c>
      <c r="I7647" t="str">
        <f>"063117004825"</f>
        <v>063117004825</v>
      </c>
    </row>
    <row r="7648" spans="1:9" x14ac:dyDescent="0.25">
      <c r="A7648" t="s">
        <v>6660</v>
      </c>
      <c r="B7648" t="s">
        <v>13</v>
      </c>
      <c r="C7648">
        <v>40.06</v>
      </c>
      <c r="D7648">
        <v>41</v>
      </c>
      <c r="E7648" t="s">
        <v>17</v>
      </c>
      <c r="F7648">
        <v>18.399999999999999</v>
      </c>
      <c r="G7648">
        <v>19.37</v>
      </c>
      <c r="H7648" t="s">
        <v>17</v>
      </c>
      <c r="I7648" t="str">
        <f>"062865004446"</f>
        <v>062865004446</v>
      </c>
    </row>
    <row r="7649" spans="1:9" x14ac:dyDescent="0.25">
      <c r="A7649" t="s">
        <v>6661</v>
      </c>
      <c r="B7649" t="s">
        <v>13</v>
      </c>
      <c r="C7649">
        <v>3.75</v>
      </c>
      <c r="D7649" t="s">
        <v>17</v>
      </c>
      <c r="E7649" t="s">
        <v>17</v>
      </c>
      <c r="F7649">
        <v>4.8</v>
      </c>
      <c r="G7649" t="s">
        <v>17</v>
      </c>
      <c r="H7649" t="s">
        <v>17</v>
      </c>
      <c r="I7649" t="str">
        <f>"069110208554"</f>
        <v>069110208554</v>
      </c>
    </row>
    <row r="7650" spans="1:9" x14ac:dyDescent="0.25">
      <c r="A7650" t="s">
        <v>6662</v>
      </c>
      <c r="B7650" t="s">
        <v>13</v>
      </c>
      <c r="C7650">
        <v>4</v>
      </c>
      <c r="D7650">
        <v>4</v>
      </c>
      <c r="E7650" t="s">
        <v>17</v>
      </c>
      <c r="F7650">
        <v>27.25</v>
      </c>
      <c r="G7650">
        <v>31</v>
      </c>
      <c r="H7650" t="s">
        <v>17</v>
      </c>
      <c r="I7650" t="str">
        <f>"061965007734"</f>
        <v>061965007734</v>
      </c>
    </row>
    <row r="7651" spans="1:9" x14ac:dyDescent="0.25">
      <c r="A7651" t="s">
        <v>6663</v>
      </c>
      <c r="B7651" t="s">
        <v>13</v>
      </c>
      <c r="C7651">
        <v>24</v>
      </c>
      <c r="D7651">
        <v>25</v>
      </c>
      <c r="E7651" t="s">
        <v>17</v>
      </c>
      <c r="F7651">
        <v>24.92</v>
      </c>
      <c r="G7651">
        <v>23.16</v>
      </c>
      <c r="H7651" t="s">
        <v>17</v>
      </c>
      <c r="I7651" t="str">
        <f>"061488001873"</f>
        <v>061488001873</v>
      </c>
    </row>
    <row r="7652" spans="1:9" x14ac:dyDescent="0.25">
      <c r="A7652" t="s">
        <v>6664</v>
      </c>
      <c r="B7652" t="s">
        <v>13</v>
      </c>
      <c r="C7652">
        <v>39</v>
      </c>
      <c r="D7652">
        <v>40.5</v>
      </c>
      <c r="E7652" t="s">
        <v>17</v>
      </c>
      <c r="F7652">
        <v>24.69</v>
      </c>
      <c r="G7652">
        <v>24.59</v>
      </c>
      <c r="H7652" t="s">
        <v>17</v>
      </c>
      <c r="I7652" t="str">
        <f>"061209001356"</f>
        <v>061209001356</v>
      </c>
    </row>
    <row r="7653" spans="1:9" x14ac:dyDescent="0.25">
      <c r="A7653" t="s">
        <v>6664</v>
      </c>
      <c r="B7653" t="s">
        <v>13</v>
      </c>
      <c r="C7653">
        <v>10</v>
      </c>
      <c r="D7653">
        <v>12</v>
      </c>
      <c r="E7653" t="s">
        <v>17</v>
      </c>
      <c r="F7653">
        <v>26.1</v>
      </c>
      <c r="G7653">
        <v>21.5</v>
      </c>
      <c r="H7653" t="s">
        <v>17</v>
      </c>
      <c r="I7653" t="str">
        <f>"062610003909"</f>
        <v>062610003909</v>
      </c>
    </row>
    <row r="7654" spans="1:9" x14ac:dyDescent="0.25">
      <c r="A7654" t="s">
        <v>6665</v>
      </c>
      <c r="B7654" t="s">
        <v>13</v>
      </c>
      <c r="C7654">
        <v>14</v>
      </c>
      <c r="D7654">
        <v>16</v>
      </c>
      <c r="E7654" t="s">
        <v>17</v>
      </c>
      <c r="F7654">
        <v>35.57</v>
      </c>
      <c r="G7654">
        <v>31.94</v>
      </c>
      <c r="H7654" t="s">
        <v>17</v>
      </c>
      <c r="I7654" t="str">
        <f>"062547003806"</f>
        <v>062547003806</v>
      </c>
    </row>
    <row r="7655" spans="1:9" x14ac:dyDescent="0.25">
      <c r="A7655" t="s">
        <v>6666</v>
      </c>
      <c r="B7655" t="s">
        <v>13</v>
      </c>
      <c r="C7655" t="s">
        <v>17</v>
      </c>
      <c r="D7655" t="s">
        <v>17</v>
      </c>
      <c r="E7655" t="s">
        <v>17</v>
      </c>
      <c r="F7655" t="s">
        <v>17</v>
      </c>
      <c r="G7655" t="s">
        <v>17</v>
      </c>
      <c r="H7655" t="s">
        <v>17</v>
      </c>
      <c r="I7655" t="str">
        <f>"063140010554"</f>
        <v>063140010554</v>
      </c>
    </row>
    <row r="7656" spans="1:9" x14ac:dyDescent="0.25">
      <c r="A7656" t="s">
        <v>6667</v>
      </c>
      <c r="B7656" t="s">
        <v>13</v>
      </c>
      <c r="C7656">
        <v>7.7</v>
      </c>
      <c r="D7656">
        <v>6.8</v>
      </c>
      <c r="E7656" t="s">
        <v>17</v>
      </c>
      <c r="F7656">
        <v>19.09</v>
      </c>
      <c r="G7656">
        <v>19.12</v>
      </c>
      <c r="H7656" t="s">
        <v>17</v>
      </c>
      <c r="I7656" t="str">
        <f>"063140004867"</f>
        <v>063140004867</v>
      </c>
    </row>
    <row r="7657" spans="1:9" x14ac:dyDescent="0.25">
      <c r="A7657" t="s">
        <v>6668</v>
      </c>
      <c r="B7657" t="s">
        <v>13</v>
      </c>
      <c r="C7657">
        <v>7.47</v>
      </c>
      <c r="D7657">
        <v>7.45</v>
      </c>
      <c r="E7657" t="s">
        <v>17</v>
      </c>
      <c r="F7657">
        <v>12.45</v>
      </c>
      <c r="G7657">
        <v>11.28</v>
      </c>
      <c r="H7657" t="s">
        <v>17</v>
      </c>
      <c r="I7657" t="str">
        <f>"063140004868"</f>
        <v>063140004868</v>
      </c>
    </row>
    <row r="7658" spans="1:9" x14ac:dyDescent="0.25">
      <c r="A7658" t="s">
        <v>6669</v>
      </c>
      <c r="B7658" t="s">
        <v>13</v>
      </c>
      <c r="C7658">
        <v>3.29</v>
      </c>
      <c r="D7658">
        <v>3.29</v>
      </c>
      <c r="E7658" t="s">
        <v>17</v>
      </c>
      <c r="F7658">
        <v>12.46</v>
      </c>
      <c r="G7658">
        <v>13.37</v>
      </c>
      <c r="H7658" t="s">
        <v>17</v>
      </c>
      <c r="I7658" t="str">
        <f>"063140010958"</f>
        <v>063140010958</v>
      </c>
    </row>
    <row r="7659" spans="1:9" x14ac:dyDescent="0.25">
      <c r="A7659" t="s">
        <v>6670</v>
      </c>
      <c r="B7659" t="s">
        <v>13</v>
      </c>
      <c r="C7659">
        <v>81.900000000000006</v>
      </c>
      <c r="D7659">
        <v>85.65</v>
      </c>
      <c r="E7659" t="s">
        <v>17</v>
      </c>
      <c r="F7659">
        <v>29.04</v>
      </c>
      <c r="G7659">
        <v>28.48</v>
      </c>
      <c r="H7659" t="s">
        <v>17</v>
      </c>
      <c r="I7659" t="str">
        <f>"063153004893"</f>
        <v>063153004893</v>
      </c>
    </row>
    <row r="7660" spans="1:9" x14ac:dyDescent="0.25">
      <c r="A7660" t="s">
        <v>6671</v>
      </c>
      <c r="B7660" t="s">
        <v>13</v>
      </c>
      <c r="C7660">
        <v>47</v>
      </c>
      <c r="D7660">
        <v>46.01</v>
      </c>
      <c r="E7660" t="s">
        <v>17</v>
      </c>
      <c r="F7660">
        <v>28.26</v>
      </c>
      <c r="G7660">
        <v>27.97</v>
      </c>
      <c r="H7660" t="s">
        <v>17</v>
      </c>
      <c r="I7660" t="str">
        <f>"062250008025"</f>
        <v>062250008025</v>
      </c>
    </row>
    <row r="7661" spans="1:9" x14ac:dyDescent="0.25">
      <c r="A7661" t="s">
        <v>6672</v>
      </c>
      <c r="B7661" t="s">
        <v>13</v>
      </c>
      <c r="C7661">
        <v>18</v>
      </c>
      <c r="D7661">
        <v>19</v>
      </c>
      <c r="E7661" t="s">
        <v>17</v>
      </c>
      <c r="F7661">
        <v>27.44</v>
      </c>
      <c r="G7661">
        <v>25.37</v>
      </c>
      <c r="H7661" t="s">
        <v>17</v>
      </c>
      <c r="I7661" t="str">
        <f>"061455001758"</f>
        <v>061455001758</v>
      </c>
    </row>
    <row r="7662" spans="1:9" x14ac:dyDescent="0.25">
      <c r="A7662" t="s">
        <v>6673</v>
      </c>
      <c r="B7662" t="s">
        <v>13</v>
      </c>
      <c r="C7662">
        <v>34.5</v>
      </c>
      <c r="D7662">
        <v>37.5</v>
      </c>
      <c r="E7662" t="s">
        <v>17</v>
      </c>
      <c r="F7662">
        <v>23.68</v>
      </c>
      <c r="G7662">
        <v>22.51</v>
      </c>
      <c r="H7662" t="s">
        <v>17</v>
      </c>
      <c r="I7662" t="str">
        <f>"060985009355"</f>
        <v>060985009355</v>
      </c>
    </row>
    <row r="7663" spans="1:9" x14ac:dyDescent="0.25">
      <c r="A7663" t="s">
        <v>6674</v>
      </c>
      <c r="B7663" t="s">
        <v>13</v>
      </c>
      <c r="C7663">
        <v>42</v>
      </c>
      <c r="D7663">
        <v>43.9</v>
      </c>
      <c r="E7663" t="s">
        <v>17</v>
      </c>
      <c r="F7663">
        <v>24.6</v>
      </c>
      <c r="G7663">
        <v>24.56</v>
      </c>
      <c r="H7663" t="s">
        <v>17</v>
      </c>
      <c r="I7663" t="str">
        <f>"061233001411"</f>
        <v>061233001411</v>
      </c>
    </row>
    <row r="7664" spans="1:9" x14ac:dyDescent="0.25">
      <c r="A7664" t="s">
        <v>6674</v>
      </c>
      <c r="B7664" t="s">
        <v>13</v>
      </c>
      <c r="C7664">
        <v>10</v>
      </c>
      <c r="D7664">
        <v>8.9600000000000009</v>
      </c>
      <c r="E7664" t="s">
        <v>17</v>
      </c>
      <c r="F7664">
        <v>24.4</v>
      </c>
      <c r="G7664">
        <v>25.33</v>
      </c>
      <c r="H7664" t="s">
        <v>17</v>
      </c>
      <c r="I7664" t="str">
        <f>"062928004523"</f>
        <v>062928004523</v>
      </c>
    </row>
    <row r="7665" spans="1:9" x14ac:dyDescent="0.25">
      <c r="A7665" t="s">
        <v>6675</v>
      </c>
      <c r="B7665" t="s">
        <v>13</v>
      </c>
      <c r="C7665">
        <v>41.09</v>
      </c>
      <c r="D7665">
        <v>42</v>
      </c>
      <c r="E7665" t="s">
        <v>17</v>
      </c>
      <c r="F7665">
        <v>23.78</v>
      </c>
      <c r="G7665">
        <v>23.38</v>
      </c>
      <c r="H7665" t="s">
        <v>17</v>
      </c>
      <c r="I7665" t="str">
        <f>"061668007520"</f>
        <v>061668007520</v>
      </c>
    </row>
    <row r="7666" spans="1:9" x14ac:dyDescent="0.25">
      <c r="A7666" t="s">
        <v>6676</v>
      </c>
      <c r="B7666" t="s">
        <v>13</v>
      </c>
      <c r="C7666" t="s">
        <v>17</v>
      </c>
      <c r="D7666" t="s">
        <v>14</v>
      </c>
      <c r="E7666" t="s">
        <v>14</v>
      </c>
      <c r="F7666" t="s">
        <v>17</v>
      </c>
      <c r="G7666" t="s">
        <v>14</v>
      </c>
      <c r="H7666" t="s">
        <v>14</v>
      </c>
      <c r="I7666" t="str">
        <f>"062271013348"</f>
        <v>062271013348</v>
      </c>
    </row>
    <row r="7667" spans="1:9" x14ac:dyDescent="0.25">
      <c r="A7667" t="s">
        <v>6677</v>
      </c>
      <c r="B7667" t="s">
        <v>13</v>
      </c>
      <c r="C7667">
        <v>8</v>
      </c>
      <c r="D7667">
        <v>8</v>
      </c>
      <c r="E7667" t="s">
        <v>17</v>
      </c>
      <c r="F7667">
        <v>24.75</v>
      </c>
      <c r="G7667">
        <v>21.5</v>
      </c>
      <c r="H7667" t="s">
        <v>17</v>
      </c>
      <c r="I7667" t="str">
        <f>"062805004309"</f>
        <v>062805004309</v>
      </c>
    </row>
    <row r="7668" spans="1:9" x14ac:dyDescent="0.25">
      <c r="A7668" t="s">
        <v>6678</v>
      </c>
      <c r="B7668" t="s">
        <v>13</v>
      </c>
      <c r="C7668" t="s">
        <v>17</v>
      </c>
      <c r="D7668" t="s">
        <v>14</v>
      </c>
      <c r="E7668" t="s">
        <v>14</v>
      </c>
      <c r="F7668" t="s">
        <v>17</v>
      </c>
      <c r="G7668" t="s">
        <v>14</v>
      </c>
      <c r="H7668" t="s">
        <v>14</v>
      </c>
      <c r="I7668" t="str">
        <f>"062586013375"</f>
        <v>062586013375</v>
      </c>
    </row>
    <row r="7669" spans="1:9" x14ac:dyDescent="0.25">
      <c r="A7669" t="s">
        <v>6678</v>
      </c>
      <c r="B7669" t="s">
        <v>13</v>
      </c>
      <c r="C7669" t="s">
        <v>17</v>
      </c>
      <c r="D7669" t="s">
        <v>14</v>
      </c>
      <c r="E7669" t="s">
        <v>14</v>
      </c>
      <c r="F7669" t="s">
        <v>17</v>
      </c>
      <c r="G7669" t="s">
        <v>14</v>
      </c>
      <c r="H7669" t="s">
        <v>14</v>
      </c>
      <c r="I7669" t="str">
        <f>"060002713213"</f>
        <v>060002713213</v>
      </c>
    </row>
    <row r="7670" spans="1:9" x14ac:dyDescent="0.25">
      <c r="A7670" t="s">
        <v>6679</v>
      </c>
      <c r="B7670" t="s">
        <v>13</v>
      </c>
      <c r="C7670" t="s">
        <v>17</v>
      </c>
      <c r="D7670" t="s">
        <v>14</v>
      </c>
      <c r="E7670" t="s">
        <v>14</v>
      </c>
      <c r="F7670" t="s">
        <v>17</v>
      </c>
      <c r="G7670" t="s">
        <v>14</v>
      </c>
      <c r="H7670" t="s">
        <v>14</v>
      </c>
      <c r="I7670" t="str">
        <f>"069102613302"</f>
        <v>069102613302</v>
      </c>
    </row>
    <row r="7671" spans="1:9" x14ac:dyDescent="0.25">
      <c r="A7671" t="s">
        <v>6680</v>
      </c>
      <c r="B7671" t="s">
        <v>13</v>
      </c>
      <c r="C7671">
        <v>30.21</v>
      </c>
      <c r="D7671">
        <v>30.05</v>
      </c>
      <c r="E7671" t="s">
        <v>17</v>
      </c>
      <c r="F7671">
        <v>21.95</v>
      </c>
      <c r="G7671">
        <v>21.4</v>
      </c>
      <c r="H7671" t="s">
        <v>17</v>
      </c>
      <c r="I7671" t="str">
        <f>"063795006396"</f>
        <v>063795006396</v>
      </c>
    </row>
    <row r="7672" spans="1:9" x14ac:dyDescent="0.25">
      <c r="A7672" t="s">
        <v>6681</v>
      </c>
      <c r="B7672" t="s">
        <v>13</v>
      </c>
      <c r="C7672">
        <v>22</v>
      </c>
      <c r="D7672">
        <v>23</v>
      </c>
      <c r="E7672" t="s">
        <v>17</v>
      </c>
      <c r="F7672">
        <v>21.09</v>
      </c>
      <c r="G7672">
        <v>21.17</v>
      </c>
      <c r="H7672" t="s">
        <v>17</v>
      </c>
      <c r="I7672" t="str">
        <f>"062271003291"</f>
        <v>062271003291</v>
      </c>
    </row>
    <row r="7673" spans="1:9" x14ac:dyDescent="0.25">
      <c r="A7673" t="s">
        <v>6682</v>
      </c>
      <c r="B7673" t="s">
        <v>13</v>
      </c>
      <c r="C7673" t="s">
        <v>17</v>
      </c>
      <c r="D7673" t="s">
        <v>14</v>
      </c>
      <c r="E7673" t="s">
        <v>14</v>
      </c>
      <c r="F7673" t="s">
        <v>17</v>
      </c>
      <c r="G7673" t="s">
        <v>14</v>
      </c>
      <c r="H7673" t="s">
        <v>14</v>
      </c>
      <c r="I7673" t="str">
        <f>"063441013488"</f>
        <v>063441013488</v>
      </c>
    </row>
    <row r="7674" spans="1:9" x14ac:dyDescent="0.25">
      <c r="A7674" t="s">
        <v>6683</v>
      </c>
      <c r="B7674" t="s">
        <v>13</v>
      </c>
      <c r="C7674">
        <v>49.65</v>
      </c>
      <c r="D7674">
        <v>46.5</v>
      </c>
      <c r="E7674" t="s">
        <v>17</v>
      </c>
      <c r="F7674">
        <v>23.56</v>
      </c>
      <c r="G7674">
        <v>25.33</v>
      </c>
      <c r="H7674" t="s">
        <v>17</v>
      </c>
      <c r="I7674" t="str">
        <f>"063441005657"</f>
        <v>063441005657</v>
      </c>
    </row>
    <row r="7675" spans="1:9" x14ac:dyDescent="0.25">
      <c r="A7675" t="s">
        <v>6684</v>
      </c>
      <c r="B7675" t="s">
        <v>13</v>
      </c>
      <c r="C7675">
        <v>19.29</v>
      </c>
      <c r="D7675">
        <v>19.57</v>
      </c>
      <c r="E7675" t="s">
        <v>17</v>
      </c>
      <c r="F7675">
        <v>28.2</v>
      </c>
      <c r="G7675">
        <v>29.54</v>
      </c>
      <c r="H7675" t="s">
        <v>17</v>
      </c>
      <c r="I7675" t="str">
        <f>"063237004997"</f>
        <v>063237004997</v>
      </c>
    </row>
    <row r="7676" spans="1:9" x14ac:dyDescent="0.25">
      <c r="A7676" t="s">
        <v>6685</v>
      </c>
      <c r="B7676" t="s">
        <v>13</v>
      </c>
      <c r="C7676">
        <v>19</v>
      </c>
      <c r="D7676">
        <v>21.47</v>
      </c>
      <c r="E7676" t="s">
        <v>17</v>
      </c>
      <c r="F7676">
        <v>24.42</v>
      </c>
      <c r="G7676">
        <v>22.82</v>
      </c>
      <c r="H7676" t="s">
        <v>17</v>
      </c>
      <c r="I7676" t="str">
        <f>"063720006302"</f>
        <v>063720006302</v>
      </c>
    </row>
    <row r="7677" spans="1:9" x14ac:dyDescent="0.25">
      <c r="A7677" t="s">
        <v>6686</v>
      </c>
      <c r="B7677" t="s">
        <v>13</v>
      </c>
      <c r="C7677">
        <v>37.19</v>
      </c>
      <c r="D7677">
        <v>36.46</v>
      </c>
      <c r="E7677" t="s">
        <v>17</v>
      </c>
      <c r="F7677">
        <v>22.21</v>
      </c>
      <c r="G7677">
        <v>22.41</v>
      </c>
      <c r="H7677" t="s">
        <v>17</v>
      </c>
      <c r="I7677" t="str">
        <f>"063432008303"</f>
        <v>063432008303</v>
      </c>
    </row>
    <row r="7678" spans="1:9" x14ac:dyDescent="0.25">
      <c r="A7678" t="s">
        <v>6687</v>
      </c>
      <c r="B7678" t="s">
        <v>13</v>
      </c>
      <c r="C7678">
        <v>29.54</v>
      </c>
      <c r="D7678">
        <v>33.56</v>
      </c>
      <c r="E7678" t="s">
        <v>17</v>
      </c>
      <c r="F7678">
        <v>25.42</v>
      </c>
      <c r="G7678">
        <v>26.85</v>
      </c>
      <c r="H7678" t="s">
        <v>17</v>
      </c>
      <c r="I7678" t="str">
        <f>"060261000163"</f>
        <v>060261000163</v>
      </c>
    </row>
    <row r="7679" spans="1:9" x14ac:dyDescent="0.25">
      <c r="A7679" t="s">
        <v>6688</v>
      </c>
      <c r="B7679" t="s">
        <v>13</v>
      </c>
      <c r="C7679">
        <v>43.5</v>
      </c>
      <c r="D7679">
        <v>42.83</v>
      </c>
      <c r="E7679" t="s">
        <v>17</v>
      </c>
      <c r="F7679">
        <v>24.64</v>
      </c>
      <c r="G7679">
        <v>24.59</v>
      </c>
      <c r="H7679" t="s">
        <v>17</v>
      </c>
      <c r="I7679" t="str">
        <f>"060714000654"</f>
        <v>060714000654</v>
      </c>
    </row>
    <row r="7680" spans="1:9" x14ac:dyDescent="0.25">
      <c r="A7680" t="s">
        <v>6689</v>
      </c>
      <c r="B7680" t="s">
        <v>13</v>
      </c>
      <c r="C7680">
        <v>32</v>
      </c>
      <c r="D7680">
        <v>31.5</v>
      </c>
      <c r="E7680" t="s">
        <v>17</v>
      </c>
      <c r="F7680">
        <v>26.13</v>
      </c>
      <c r="G7680">
        <v>26.22</v>
      </c>
      <c r="H7680" t="s">
        <v>17</v>
      </c>
      <c r="I7680" t="str">
        <f>"061146001271"</f>
        <v>061146001271</v>
      </c>
    </row>
    <row r="7681" spans="1:9" x14ac:dyDescent="0.25">
      <c r="A7681" t="s">
        <v>6690</v>
      </c>
      <c r="B7681" t="s">
        <v>13</v>
      </c>
      <c r="C7681">
        <v>21.25</v>
      </c>
      <c r="D7681">
        <v>22.8</v>
      </c>
      <c r="E7681" t="s">
        <v>17</v>
      </c>
      <c r="F7681">
        <v>22.45</v>
      </c>
      <c r="G7681">
        <v>21.45</v>
      </c>
      <c r="H7681" t="s">
        <v>17</v>
      </c>
      <c r="I7681" t="str">
        <f>"060004507093"</f>
        <v>060004507093</v>
      </c>
    </row>
    <row r="7682" spans="1:9" x14ac:dyDescent="0.25">
      <c r="A7682" t="s">
        <v>6691</v>
      </c>
      <c r="B7682" t="s">
        <v>13</v>
      </c>
      <c r="C7682">
        <v>24.23</v>
      </c>
      <c r="D7682">
        <v>22.73</v>
      </c>
      <c r="E7682" t="s">
        <v>17</v>
      </c>
      <c r="F7682">
        <v>23.07</v>
      </c>
      <c r="G7682">
        <v>23.23</v>
      </c>
      <c r="H7682" t="s">
        <v>17</v>
      </c>
      <c r="I7682" t="str">
        <f>"063588006143"</f>
        <v>063588006143</v>
      </c>
    </row>
    <row r="7683" spans="1:9" x14ac:dyDescent="0.25">
      <c r="A7683" t="s">
        <v>6692</v>
      </c>
      <c r="B7683" t="s">
        <v>13</v>
      </c>
      <c r="C7683">
        <v>2.83</v>
      </c>
      <c r="D7683">
        <v>3.83</v>
      </c>
      <c r="E7683" t="s">
        <v>17</v>
      </c>
      <c r="F7683">
        <v>24.38</v>
      </c>
      <c r="G7683">
        <v>9.92</v>
      </c>
      <c r="H7683" t="s">
        <v>17</v>
      </c>
      <c r="I7683" t="str">
        <f>"062181012338"</f>
        <v>062181012338</v>
      </c>
    </row>
    <row r="7684" spans="1:9" x14ac:dyDescent="0.25">
      <c r="A7684" t="s">
        <v>6693</v>
      </c>
      <c r="B7684" t="s">
        <v>13</v>
      </c>
      <c r="C7684">
        <v>13</v>
      </c>
      <c r="D7684">
        <v>12</v>
      </c>
      <c r="E7684" t="s">
        <v>17</v>
      </c>
      <c r="F7684">
        <v>22.62</v>
      </c>
      <c r="G7684">
        <v>21.83</v>
      </c>
      <c r="H7684" t="s">
        <v>17</v>
      </c>
      <c r="I7684" t="str">
        <f>"062271008029"</f>
        <v>062271008029</v>
      </c>
    </row>
    <row r="7685" spans="1:9" x14ac:dyDescent="0.25">
      <c r="A7685" t="s">
        <v>6694</v>
      </c>
      <c r="B7685" t="s">
        <v>13</v>
      </c>
      <c r="C7685">
        <v>15</v>
      </c>
      <c r="D7685">
        <v>16</v>
      </c>
      <c r="E7685" t="s">
        <v>17</v>
      </c>
      <c r="F7685">
        <v>21.73</v>
      </c>
      <c r="G7685">
        <v>21.13</v>
      </c>
      <c r="H7685" t="s">
        <v>17</v>
      </c>
      <c r="I7685" t="str">
        <f>"060004711425"</f>
        <v>060004711425</v>
      </c>
    </row>
    <row r="7686" spans="1:9" x14ac:dyDescent="0.25">
      <c r="A7686" t="s">
        <v>6695</v>
      </c>
      <c r="B7686" t="s">
        <v>13</v>
      </c>
      <c r="C7686">
        <v>6.53</v>
      </c>
      <c r="D7686">
        <v>5.83</v>
      </c>
      <c r="E7686" t="s">
        <v>17</v>
      </c>
      <c r="F7686">
        <v>34.61</v>
      </c>
      <c r="G7686">
        <v>34.65</v>
      </c>
      <c r="H7686" t="s">
        <v>17</v>
      </c>
      <c r="I7686" t="str">
        <f>"063801012698"</f>
        <v>063801012698</v>
      </c>
    </row>
    <row r="7687" spans="1:9" x14ac:dyDescent="0.25">
      <c r="A7687" t="s">
        <v>6696</v>
      </c>
      <c r="B7687" t="s">
        <v>13</v>
      </c>
      <c r="C7687">
        <v>4.5</v>
      </c>
      <c r="D7687">
        <v>4.5</v>
      </c>
      <c r="E7687" t="s">
        <v>17</v>
      </c>
      <c r="F7687">
        <v>18.670000000000002</v>
      </c>
      <c r="G7687">
        <v>22</v>
      </c>
      <c r="H7687" t="s">
        <v>17</v>
      </c>
      <c r="I7687" t="str">
        <f>"063162004901"</f>
        <v>063162004901</v>
      </c>
    </row>
    <row r="7688" spans="1:9" x14ac:dyDescent="0.25">
      <c r="A7688" t="s">
        <v>6697</v>
      </c>
      <c r="B7688" t="s">
        <v>13</v>
      </c>
      <c r="C7688" t="s">
        <v>17</v>
      </c>
      <c r="D7688" t="s">
        <v>17</v>
      </c>
      <c r="E7688" t="s">
        <v>17</v>
      </c>
      <c r="F7688" t="s">
        <v>17</v>
      </c>
      <c r="G7688" t="s">
        <v>17</v>
      </c>
      <c r="H7688" t="s">
        <v>17</v>
      </c>
      <c r="I7688" t="str">
        <f>"063162010497"</f>
        <v>063162010497</v>
      </c>
    </row>
    <row r="7689" spans="1:9" x14ac:dyDescent="0.25">
      <c r="A7689" t="s">
        <v>6698</v>
      </c>
      <c r="B7689" t="s">
        <v>13</v>
      </c>
      <c r="C7689" t="s">
        <v>17</v>
      </c>
      <c r="D7689" t="s">
        <v>17</v>
      </c>
      <c r="E7689" t="s">
        <v>17</v>
      </c>
      <c r="F7689" t="s">
        <v>17</v>
      </c>
      <c r="G7689" t="s">
        <v>17</v>
      </c>
      <c r="H7689" t="s">
        <v>17</v>
      </c>
      <c r="I7689" t="str">
        <f>"063162010496"</f>
        <v>063162010496</v>
      </c>
    </row>
    <row r="7690" spans="1:9" x14ac:dyDescent="0.25">
      <c r="A7690" t="s">
        <v>6699</v>
      </c>
      <c r="B7690" t="s">
        <v>13</v>
      </c>
      <c r="C7690">
        <v>9</v>
      </c>
      <c r="D7690">
        <v>9</v>
      </c>
      <c r="E7690" t="s">
        <v>17</v>
      </c>
      <c r="F7690">
        <v>13.11</v>
      </c>
      <c r="G7690">
        <v>12</v>
      </c>
      <c r="H7690" t="s">
        <v>17</v>
      </c>
      <c r="I7690" t="str">
        <f>"063162004902"</f>
        <v>063162004902</v>
      </c>
    </row>
    <row r="7691" spans="1:9" x14ac:dyDescent="0.25">
      <c r="A7691" t="s">
        <v>6700</v>
      </c>
      <c r="B7691" t="s">
        <v>13</v>
      </c>
      <c r="C7691">
        <v>32.5</v>
      </c>
      <c r="D7691">
        <v>30</v>
      </c>
      <c r="E7691" t="s">
        <v>17</v>
      </c>
      <c r="F7691">
        <v>20.309999999999999</v>
      </c>
      <c r="G7691">
        <v>24.53</v>
      </c>
      <c r="H7691" t="s">
        <v>17</v>
      </c>
      <c r="I7691" t="str">
        <f>"061089002034"</f>
        <v>061089002034</v>
      </c>
    </row>
    <row r="7692" spans="1:9" x14ac:dyDescent="0.25">
      <c r="A7692" t="s">
        <v>6701</v>
      </c>
      <c r="B7692" t="s">
        <v>13</v>
      </c>
      <c r="C7692">
        <v>24</v>
      </c>
      <c r="D7692">
        <v>24.4</v>
      </c>
      <c r="E7692" t="s">
        <v>17</v>
      </c>
      <c r="F7692">
        <v>25.79</v>
      </c>
      <c r="G7692">
        <v>25.04</v>
      </c>
      <c r="H7692" t="s">
        <v>17</v>
      </c>
      <c r="I7692" t="str">
        <f>"062250002752"</f>
        <v>062250002752</v>
      </c>
    </row>
    <row r="7693" spans="1:9" x14ac:dyDescent="0.25">
      <c r="A7693" t="s">
        <v>6702</v>
      </c>
      <c r="B7693" t="s">
        <v>13</v>
      </c>
      <c r="C7693">
        <v>22.48</v>
      </c>
      <c r="D7693">
        <v>24.86</v>
      </c>
      <c r="E7693" t="s">
        <v>17</v>
      </c>
      <c r="F7693">
        <v>23.27</v>
      </c>
      <c r="G7693">
        <v>20.149999999999999</v>
      </c>
      <c r="H7693" t="s">
        <v>17</v>
      </c>
      <c r="I7693" t="str">
        <f>"060780000749"</f>
        <v>060780000749</v>
      </c>
    </row>
    <row r="7694" spans="1:9" x14ac:dyDescent="0.25">
      <c r="A7694" t="s">
        <v>6703</v>
      </c>
      <c r="B7694" t="s">
        <v>13</v>
      </c>
      <c r="C7694">
        <v>23.8</v>
      </c>
      <c r="D7694">
        <v>22.25</v>
      </c>
      <c r="E7694" t="s">
        <v>17</v>
      </c>
      <c r="F7694">
        <v>19.079999999999998</v>
      </c>
      <c r="G7694">
        <v>20.54</v>
      </c>
      <c r="H7694" t="s">
        <v>17</v>
      </c>
      <c r="I7694" t="str">
        <f>"063581006129"</f>
        <v>063581006129</v>
      </c>
    </row>
    <row r="7695" spans="1:9" x14ac:dyDescent="0.25">
      <c r="A7695" t="s">
        <v>6704</v>
      </c>
      <c r="B7695" t="s">
        <v>13</v>
      </c>
      <c r="C7695" t="s">
        <v>14</v>
      </c>
      <c r="D7695" t="s">
        <v>14</v>
      </c>
      <c r="E7695" t="s">
        <v>17</v>
      </c>
      <c r="F7695" t="s">
        <v>14</v>
      </c>
      <c r="G7695" t="s">
        <v>14</v>
      </c>
      <c r="H7695" t="s">
        <v>17</v>
      </c>
      <c r="I7695" t="str">
        <f>"062706008759"</f>
        <v>062706008759</v>
      </c>
    </row>
    <row r="7696" spans="1:9" x14ac:dyDescent="0.25">
      <c r="A7696" t="s">
        <v>6705</v>
      </c>
      <c r="B7696" t="s">
        <v>13</v>
      </c>
      <c r="C7696">
        <v>21</v>
      </c>
      <c r="D7696">
        <v>20</v>
      </c>
      <c r="E7696" t="s">
        <v>17</v>
      </c>
      <c r="F7696">
        <v>27.71</v>
      </c>
      <c r="G7696">
        <v>27.7</v>
      </c>
      <c r="H7696" t="s">
        <v>17</v>
      </c>
      <c r="I7696" t="str">
        <f>"060243009299"</f>
        <v>060243009299</v>
      </c>
    </row>
    <row r="7697" spans="1:9" x14ac:dyDescent="0.25">
      <c r="A7697" t="s">
        <v>6706</v>
      </c>
      <c r="B7697" t="s">
        <v>13</v>
      </c>
      <c r="C7697" t="s">
        <v>14</v>
      </c>
      <c r="D7697" t="s">
        <v>14</v>
      </c>
      <c r="E7697" t="s">
        <v>17</v>
      </c>
      <c r="F7697" t="s">
        <v>14</v>
      </c>
      <c r="G7697" t="s">
        <v>14</v>
      </c>
      <c r="H7697" t="s">
        <v>17</v>
      </c>
      <c r="I7697" t="str">
        <f>"063432010638"</f>
        <v>063432010638</v>
      </c>
    </row>
    <row r="7698" spans="1:9" x14ac:dyDescent="0.25">
      <c r="A7698" t="s">
        <v>6707</v>
      </c>
      <c r="B7698" t="s">
        <v>13</v>
      </c>
      <c r="C7698">
        <v>6</v>
      </c>
      <c r="D7698">
        <v>7</v>
      </c>
      <c r="E7698" t="s">
        <v>17</v>
      </c>
      <c r="F7698">
        <v>18.329999999999998</v>
      </c>
      <c r="G7698">
        <v>21.29</v>
      </c>
      <c r="H7698" t="s">
        <v>17</v>
      </c>
      <c r="I7698" t="str">
        <f>"060006410704"</f>
        <v>060006410704</v>
      </c>
    </row>
    <row r="7699" spans="1:9" x14ac:dyDescent="0.25">
      <c r="A7699" t="s">
        <v>6708</v>
      </c>
      <c r="B7699" t="s">
        <v>13</v>
      </c>
      <c r="C7699">
        <v>16</v>
      </c>
      <c r="D7699">
        <v>16.45</v>
      </c>
      <c r="E7699" t="s">
        <v>17</v>
      </c>
      <c r="F7699">
        <v>26.44</v>
      </c>
      <c r="G7699">
        <v>25.11</v>
      </c>
      <c r="H7699" t="s">
        <v>17</v>
      </c>
      <c r="I7699" t="str">
        <f>"062865004447"</f>
        <v>062865004447</v>
      </c>
    </row>
    <row r="7700" spans="1:9" x14ac:dyDescent="0.25">
      <c r="A7700" t="s">
        <v>6709</v>
      </c>
      <c r="B7700" t="s">
        <v>13</v>
      </c>
      <c r="C7700">
        <v>56.45</v>
      </c>
      <c r="D7700">
        <v>57.35</v>
      </c>
      <c r="E7700" t="s">
        <v>17</v>
      </c>
      <c r="F7700">
        <v>22.76</v>
      </c>
      <c r="G7700">
        <v>22.62</v>
      </c>
      <c r="H7700" t="s">
        <v>17</v>
      </c>
      <c r="I7700" t="str">
        <f>"060723000673"</f>
        <v>060723000673</v>
      </c>
    </row>
    <row r="7701" spans="1:9" x14ac:dyDescent="0.25">
      <c r="A7701" t="s">
        <v>6710</v>
      </c>
      <c r="B7701" t="s">
        <v>13</v>
      </c>
      <c r="C7701">
        <v>2</v>
      </c>
      <c r="D7701">
        <v>2</v>
      </c>
      <c r="E7701" t="s">
        <v>17</v>
      </c>
      <c r="F7701">
        <v>25.5</v>
      </c>
      <c r="G7701">
        <v>23</v>
      </c>
      <c r="H7701" t="s">
        <v>17</v>
      </c>
      <c r="I7701" t="str">
        <f>"062637010197"</f>
        <v>062637010197</v>
      </c>
    </row>
    <row r="7702" spans="1:9" x14ac:dyDescent="0.25">
      <c r="A7702" t="s">
        <v>6710</v>
      </c>
      <c r="B7702" t="s">
        <v>13</v>
      </c>
      <c r="C7702">
        <v>7.86</v>
      </c>
      <c r="D7702">
        <v>9.06</v>
      </c>
      <c r="E7702" t="s">
        <v>17</v>
      </c>
      <c r="F7702">
        <v>15.78</v>
      </c>
      <c r="G7702">
        <v>16.89</v>
      </c>
      <c r="H7702" t="s">
        <v>17</v>
      </c>
      <c r="I7702" t="str">
        <f>"062913004497"</f>
        <v>062913004497</v>
      </c>
    </row>
    <row r="7703" spans="1:9" x14ac:dyDescent="0.25">
      <c r="A7703" t="s">
        <v>6711</v>
      </c>
      <c r="B7703" t="s">
        <v>13</v>
      </c>
      <c r="C7703">
        <v>27.89</v>
      </c>
      <c r="D7703">
        <v>31.14</v>
      </c>
      <c r="E7703" t="s">
        <v>17</v>
      </c>
      <c r="F7703">
        <v>19.68</v>
      </c>
      <c r="G7703">
        <v>14.8</v>
      </c>
      <c r="H7703" t="s">
        <v>17</v>
      </c>
      <c r="I7703" t="str">
        <f>"060285009517"</f>
        <v>060285009517</v>
      </c>
    </row>
    <row r="7704" spans="1:9" x14ac:dyDescent="0.25">
      <c r="A7704" t="s">
        <v>6712</v>
      </c>
      <c r="B7704" t="s">
        <v>13</v>
      </c>
      <c r="C7704">
        <v>10</v>
      </c>
      <c r="D7704">
        <v>13</v>
      </c>
      <c r="E7704" t="s">
        <v>17</v>
      </c>
      <c r="F7704">
        <v>6.8</v>
      </c>
      <c r="G7704">
        <v>8</v>
      </c>
      <c r="H7704" t="s">
        <v>17</v>
      </c>
      <c r="I7704" t="str">
        <f>"069104709258"</f>
        <v>069104709258</v>
      </c>
    </row>
    <row r="7705" spans="1:9" x14ac:dyDescent="0.25">
      <c r="A7705" t="s">
        <v>6713</v>
      </c>
      <c r="B7705" t="s">
        <v>13</v>
      </c>
      <c r="C7705">
        <v>16</v>
      </c>
      <c r="D7705">
        <v>15.5</v>
      </c>
      <c r="E7705" t="s">
        <v>17</v>
      </c>
      <c r="F7705">
        <v>24.63</v>
      </c>
      <c r="G7705">
        <v>25.94</v>
      </c>
      <c r="H7705" t="s">
        <v>17</v>
      </c>
      <c r="I7705" t="str">
        <f>"060645000577"</f>
        <v>060645000577</v>
      </c>
    </row>
    <row r="7706" spans="1:9" x14ac:dyDescent="0.25">
      <c r="A7706" t="s">
        <v>6714</v>
      </c>
      <c r="B7706" t="s">
        <v>13</v>
      </c>
      <c r="C7706">
        <v>7.8</v>
      </c>
      <c r="D7706" t="s">
        <v>17</v>
      </c>
      <c r="E7706" t="s">
        <v>17</v>
      </c>
      <c r="F7706">
        <v>36.03</v>
      </c>
      <c r="G7706" t="s">
        <v>17</v>
      </c>
      <c r="H7706" t="s">
        <v>17</v>
      </c>
      <c r="I7706" t="str">
        <f>"063417010364"</f>
        <v>063417010364</v>
      </c>
    </row>
    <row r="7707" spans="1:9" x14ac:dyDescent="0.25">
      <c r="A7707" t="s">
        <v>6715</v>
      </c>
      <c r="B7707" t="s">
        <v>13</v>
      </c>
      <c r="C7707">
        <v>23</v>
      </c>
      <c r="D7707">
        <v>22.6</v>
      </c>
      <c r="E7707" t="s">
        <v>17</v>
      </c>
      <c r="F7707">
        <v>28.48</v>
      </c>
      <c r="G7707">
        <v>28.23</v>
      </c>
      <c r="H7707" t="s">
        <v>17</v>
      </c>
      <c r="I7707" t="str">
        <f>"062759004147"</f>
        <v>062759004147</v>
      </c>
    </row>
    <row r="7708" spans="1:9" x14ac:dyDescent="0.25">
      <c r="A7708" t="s">
        <v>6716</v>
      </c>
      <c r="B7708" t="s">
        <v>13</v>
      </c>
      <c r="C7708">
        <v>15.15</v>
      </c>
      <c r="D7708">
        <v>13.4</v>
      </c>
      <c r="E7708" t="s">
        <v>17</v>
      </c>
      <c r="F7708">
        <v>25.15</v>
      </c>
      <c r="G7708">
        <v>29.78</v>
      </c>
      <c r="H7708" t="s">
        <v>17</v>
      </c>
      <c r="I7708" t="str">
        <f>"063417011108"</f>
        <v>063417011108</v>
      </c>
    </row>
    <row r="7709" spans="1:9" x14ac:dyDescent="0.25">
      <c r="A7709" t="s">
        <v>6716</v>
      </c>
      <c r="B7709" t="s">
        <v>13</v>
      </c>
      <c r="C7709">
        <v>14</v>
      </c>
      <c r="D7709" t="s">
        <v>14</v>
      </c>
      <c r="E7709" t="s">
        <v>14</v>
      </c>
      <c r="F7709">
        <v>27.57</v>
      </c>
      <c r="G7709" t="s">
        <v>14</v>
      </c>
      <c r="H7709" t="s">
        <v>14</v>
      </c>
      <c r="I7709" t="str">
        <f>"061336013081"</f>
        <v>061336013081</v>
      </c>
    </row>
    <row r="7710" spans="1:9" x14ac:dyDescent="0.25">
      <c r="A7710" t="s">
        <v>6717</v>
      </c>
      <c r="B7710" t="s">
        <v>13</v>
      </c>
      <c r="C7710">
        <v>15.22</v>
      </c>
      <c r="D7710">
        <v>19.309999999999999</v>
      </c>
      <c r="E7710" t="s">
        <v>14</v>
      </c>
      <c r="F7710">
        <v>27.99</v>
      </c>
      <c r="G7710">
        <v>15.38</v>
      </c>
      <c r="H7710" t="s">
        <v>14</v>
      </c>
      <c r="I7710" t="str">
        <f>"062271012971"</f>
        <v>062271012971</v>
      </c>
    </row>
    <row r="7711" spans="1:9" x14ac:dyDescent="0.25">
      <c r="A7711" t="s">
        <v>6718</v>
      </c>
      <c r="B7711" t="s">
        <v>13</v>
      </c>
      <c r="C7711">
        <v>11.8</v>
      </c>
      <c r="D7711">
        <v>17</v>
      </c>
      <c r="E7711" t="s">
        <v>17</v>
      </c>
      <c r="F7711">
        <v>18.98</v>
      </c>
      <c r="G7711">
        <v>17.239999999999998</v>
      </c>
      <c r="H7711" t="s">
        <v>17</v>
      </c>
      <c r="I7711" t="str">
        <f>"062271010890"</f>
        <v>062271010890</v>
      </c>
    </row>
    <row r="7712" spans="1:9" x14ac:dyDescent="0.25">
      <c r="A7712" t="s">
        <v>6719</v>
      </c>
      <c r="B7712" t="s">
        <v>13</v>
      </c>
      <c r="C7712">
        <v>17</v>
      </c>
      <c r="D7712">
        <v>18</v>
      </c>
      <c r="E7712" t="s">
        <v>17</v>
      </c>
      <c r="F7712">
        <v>18.53</v>
      </c>
      <c r="G7712">
        <v>17.559999999999999</v>
      </c>
      <c r="H7712" t="s">
        <v>17</v>
      </c>
      <c r="I7712" t="str">
        <f>"062271008511"</f>
        <v>062271008511</v>
      </c>
    </row>
    <row r="7713" spans="1:9" x14ac:dyDescent="0.25">
      <c r="A7713" t="s">
        <v>6720</v>
      </c>
      <c r="B7713" t="s">
        <v>13</v>
      </c>
      <c r="C7713">
        <v>25.2</v>
      </c>
      <c r="D7713">
        <v>25.2</v>
      </c>
      <c r="E7713" t="s">
        <v>17</v>
      </c>
      <c r="F7713">
        <v>17.739999999999998</v>
      </c>
      <c r="G7713">
        <v>17.78</v>
      </c>
      <c r="H7713" t="s">
        <v>17</v>
      </c>
      <c r="I7713" t="str">
        <f>"062271010892"</f>
        <v>062271010892</v>
      </c>
    </row>
    <row r="7714" spans="1:9" x14ac:dyDescent="0.25">
      <c r="A7714" t="s">
        <v>6721</v>
      </c>
      <c r="B7714" t="s">
        <v>13</v>
      </c>
      <c r="C7714">
        <v>16</v>
      </c>
      <c r="D7714">
        <v>16</v>
      </c>
      <c r="E7714" t="s">
        <v>17</v>
      </c>
      <c r="F7714">
        <v>21.75</v>
      </c>
      <c r="G7714">
        <v>21.56</v>
      </c>
      <c r="H7714" t="s">
        <v>17</v>
      </c>
      <c r="I7714" t="str">
        <f>"062271008027"</f>
        <v>062271008027</v>
      </c>
    </row>
    <row r="7715" spans="1:9" x14ac:dyDescent="0.25">
      <c r="A7715" t="s">
        <v>6722</v>
      </c>
      <c r="B7715" t="s">
        <v>13</v>
      </c>
      <c r="C7715">
        <v>16.440000000000001</v>
      </c>
      <c r="D7715">
        <v>12.2</v>
      </c>
      <c r="E7715" t="s">
        <v>14</v>
      </c>
      <c r="F7715">
        <v>18.920000000000002</v>
      </c>
      <c r="G7715">
        <v>19.43</v>
      </c>
      <c r="H7715" t="s">
        <v>14</v>
      </c>
      <c r="I7715" t="str">
        <f>"062271012869"</f>
        <v>062271012869</v>
      </c>
    </row>
    <row r="7716" spans="1:9" x14ac:dyDescent="0.25">
      <c r="A7716" t="s">
        <v>6723</v>
      </c>
      <c r="B7716" t="s">
        <v>13</v>
      </c>
      <c r="C7716">
        <v>16.5</v>
      </c>
      <c r="D7716">
        <v>16.2</v>
      </c>
      <c r="E7716" t="s">
        <v>17</v>
      </c>
      <c r="F7716">
        <v>20.73</v>
      </c>
      <c r="G7716">
        <v>20.68</v>
      </c>
      <c r="H7716" t="s">
        <v>17</v>
      </c>
      <c r="I7716" t="str">
        <f>"062271011657"</f>
        <v>062271011657</v>
      </c>
    </row>
    <row r="7717" spans="1:9" x14ac:dyDescent="0.25">
      <c r="A7717" t="s">
        <v>6724</v>
      </c>
      <c r="B7717" t="s">
        <v>13</v>
      </c>
      <c r="C7717">
        <v>15</v>
      </c>
      <c r="D7717">
        <v>16</v>
      </c>
      <c r="E7717" t="s">
        <v>17</v>
      </c>
      <c r="F7717">
        <v>23</v>
      </c>
      <c r="G7717">
        <v>21.69</v>
      </c>
      <c r="H7717" t="s">
        <v>17</v>
      </c>
      <c r="I7717" t="str">
        <f>"062271010837"</f>
        <v>062271010837</v>
      </c>
    </row>
    <row r="7718" spans="1:9" x14ac:dyDescent="0.25">
      <c r="A7718" t="s">
        <v>6725</v>
      </c>
      <c r="B7718" t="s">
        <v>13</v>
      </c>
      <c r="C7718">
        <v>18</v>
      </c>
      <c r="D7718">
        <v>13</v>
      </c>
      <c r="E7718" t="s">
        <v>17</v>
      </c>
      <c r="F7718">
        <v>18.059999999999999</v>
      </c>
      <c r="G7718">
        <v>13.46</v>
      </c>
      <c r="H7718" t="s">
        <v>17</v>
      </c>
      <c r="I7718" t="str">
        <f>"062271012816"</f>
        <v>062271012816</v>
      </c>
    </row>
    <row r="7719" spans="1:9" x14ac:dyDescent="0.25">
      <c r="A7719" t="s">
        <v>6726</v>
      </c>
      <c r="B7719" t="s">
        <v>13</v>
      </c>
      <c r="C7719">
        <v>12</v>
      </c>
      <c r="D7719">
        <v>12</v>
      </c>
      <c r="E7719" t="s">
        <v>17</v>
      </c>
      <c r="F7719">
        <v>23.92</v>
      </c>
      <c r="G7719">
        <v>23.75</v>
      </c>
      <c r="H7719" t="s">
        <v>17</v>
      </c>
      <c r="I7719" t="str">
        <f>"062271010835"</f>
        <v>062271010835</v>
      </c>
    </row>
    <row r="7720" spans="1:9" x14ac:dyDescent="0.25">
      <c r="A7720" t="s">
        <v>6727</v>
      </c>
      <c r="B7720" t="s">
        <v>13</v>
      </c>
      <c r="C7720">
        <v>14</v>
      </c>
      <c r="D7720">
        <v>14</v>
      </c>
      <c r="E7720" t="s">
        <v>17</v>
      </c>
      <c r="F7720">
        <v>21.71</v>
      </c>
      <c r="G7720">
        <v>23.5</v>
      </c>
      <c r="H7720" t="s">
        <v>17</v>
      </c>
      <c r="I7720" t="str">
        <f>"062271012476"</f>
        <v>062271012476</v>
      </c>
    </row>
    <row r="7721" spans="1:9" x14ac:dyDescent="0.25">
      <c r="A7721" t="s">
        <v>6728</v>
      </c>
      <c r="B7721" t="s">
        <v>13</v>
      </c>
      <c r="C7721">
        <v>10</v>
      </c>
      <c r="D7721">
        <v>9.1</v>
      </c>
      <c r="E7721" t="s">
        <v>17</v>
      </c>
      <c r="F7721">
        <v>21</v>
      </c>
      <c r="G7721">
        <v>31.32</v>
      </c>
      <c r="H7721" t="s">
        <v>17</v>
      </c>
      <c r="I7721" t="str">
        <f>"062271012537"</f>
        <v>062271012537</v>
      </c>
    </row>
    <row r="7722" spans="1:9" x14ac:dyDescent="0.25">
      <c r="A7722" t="s">
        <v>6729</v>
      </c>
      <c r="B7722" t="s">
        <v>13</v>
      </c>
      <c r="C7722">
        <v>15.83</v>
      </c>
      <c r="D7722">
        <v>15</v>
      </c>
      <c r="E7722" t="s">
        <v>17</v>
      </c>
      <c r="F7722">
        <v>21.79</v>
      </c>
      <c r="G7722">
        <v>22.53</v>
      </c>
      <c r="H7722" t="s">
        <v>17</v>
      </c>
      <c r="I7722" t="str">
        <f>"062271011656"</f>
        <v>062271011656</v>
      </c>
    </row>
    <row r="7723" spans="1:9" x14ac:dyDescent="0.25">
      <c r="A7723" t="s">
        <v>6730</v>
      </c>
      <c r="B7723" t="s">
        <v>13</v>
      </c>
      <c r="C7723">
        <v>14</v>
      </c>
      <c r="D7723">
        <v>12</v>
      </c>
      <c r="E7723" t="s">
        <v>17</v>
      </c>
      <c r="F7723">
        <v>12.29</v>
      </c>
      <c r="G7723">
        <v>14.42</v>
      </c>
      <c r="H7723" t="s">
        <v>17</v>
      </c>
      <c r="I7723" t="str">
        <f>"062271012812"</f>
        <v>062271012812</v>
      </c>
    </row>
    <row r="7724" spans="1:9" x14ac:dyDescent="0.25">
      <c r="A7724" t="s">
        <v>6731</v>
      </c>
      <c r="B7724" t="s">
        <v>13</v>
      </c>
      <c r="C7724">
        <v>9.5</v>
      </c>
      <c r="D7724">
        <v>36</v>
      </c>
      <c r="E7724" t="s">
        <v>17</v>
      </c>
      <c r="F7724">
        <v>16.95</v>
      </c>
      <c r="G7724">
        <v>21.31</v>
      </c>
      <c r="H7724" t="s">
        <v>17</v>
      </c>
      <c r="I7724" t="str">
        <f>"063132005910"</f>
        <v>063132005910</v>
      </c>
    </row>
    <row r="7725" spans="1:9" x14ac:dyDescent="0.25">
      <c r="A7725" t="s">
        <v>6732</v>
      </c>
      <c r="B7725" t="s">
        <v>13</v>
      </c>
      <c r="C7725">
        <v>3.5</v>
      </c>
      <c r="D7725">
        <v>3.01</v>
      </c>
      <c r="E7725" t="s">
        <v>17</v>
      </c>
      <c r="F7725">
        <v>26.29</v>
      </c>
      <c r="G7725">
        <v>27.57</v>
      </c>
      <c r="H7725" t="s">
        <v>17</v>
      </c>
      <c r="I7725" t="str">
        <f>"062271003292"</f>
        <v>062271003292</v>
      </c>
    </row>
    <row r="7726" spans="1:9" x14ac:dyDescent="0.25">
      <c r="A7726" t="s">
        <v>6733</v>
      </c>
      <c r="B7726" t="s">
        <v>13</v>
      </c>
      <c r="C7726">
        <v>8.1999999999999993</v>
      </c>
      <c r="D7726">
        <v>13</v>
      </c>
      <c r="E7726" t="s">
        <v>17</v>
      </c>
      <c r="F7726">
        <v>27.2</v>
      </c>
      <c r="G7726">
        <v>19.149999999999999</v>
      </c>
      <c r="H7726" t="s">
        <v>17</v>
      </c>
      <c r="I7726" t="str">
        <f>"062664004027"</f>
        <v>062664004027</v>
      </c>
    </row>
    <row r="7727" spans="1:9" x14ac:dyDescent="0.25">
      <c r="A7727" t="s">
        <v>6734</v>
      </c>
      <c r="B7727" t="s">
        <v>13</v>
      </c>
      <c r="C7727">
        <v>7</v>
      </c>
      <c r="D7727">
        <v>7</v>
      </c>
      <c r="E7727" t="s">
        <v>17</v>
      </c>
      <c r="F7727">
        <v>16.43</v>
      </c>
      <c r="G7727">
        <v>16.14</v>
      </c>
      <c r="H7727" t="s">
        <v>17</v>
      </c>
      <c r="I7727" t="str">
        <f>"062271010525"</f>
        <v>062271010525</v>
      </c>
    </row>
    <row r="7728" spans="1:9" x14ac:dyDescent="0.25">
      <c r="A7728" t="s">
        <v>6735</v>
      </c>
      <c r="B7728" t="s">
        <v>13</v>
      </c>
      <c r="C7728">
        <v>18.5</v>
      </c>
      <c r="D7728">
        <v>18.5</v>
      </c>
      <c r="E7728" t="s">
        <v>17</v>
      </c>
      <c r="F7728">
        <v>8.86</v>
      </c>
      <c r="G7728">
        <v>7.14</v>
      </c>
      <c r="H7728" t="s">
        <v>17</v>
      </c>
      <c r="I7728" t="str">
        <f>"061632509143"</f>
        <v>061632509143</v>
      </c>
    </row>
    <row r="7729" spans="1:9" x14ac:dyDescent="0.25">
      <c r="A7729" t="s">
        <v>6736</v>
      </c>
      <c r="B7729" t="s">
        <v>13</v>
      </c>
      <c r="C7729">
        <v>14</v>
      </c>
      <c r="D7729">
        <v>14</v>
      </c>
      <c r="E7729" t="s">
        <v>17</v>
      </c>
      <c r="F7729">
        <v>30.5</v>
      </c>
      <c r="G7729">
        <v>30.86</v>
      </c>
      <c r="H7729" t="s">
        <v>17</v>
      </c>
      <c r="I7729" t="str">
        <f>"064104010133"</f>
        <v>064104010133</v>
      </c>
    </row>
    <row r="7730" spans="1:9" x14ac:dyDescent="0.25">
      <c r="A7730" t="s">
        <v>6737</v>
      </c>
      <c r="B7730" t="s">
        <v>13</v>
      </c>
      <c r="C7730">
        <v>22.08</v>
      </c>
      <c r="D7730">
        <v>26.03</v>
      </c>
      <c r="E7730" t="s">
        <v>17</v>
      </c>
      <c r="F7730">
        <v>29.62</v>
      </c>
      <c r="G7730">
        <v>25.09</v>
      </c>
      <c r="H7730" t="s">
        <v>17</v>
      </c>
      <c r="I7730" t="str">
        <f>"063801006429"</f>
        <v>063801006429</v>
      </c>
    </row>
    <row r="7731" spans="1:9" x14ac:dyDescent="0.25">
      <c r="A7731" t="s">
        <v>6738</v>
      </c>
      <c r="B7731" t="s">
        <v>13</v>
      </c>
      <c r="C7731">
        <v>23.5</v>
      </c>
      <c r="D7731">
        <v>25</v>
      </c>
      <c r="E7731" t="s">
        <v>17</v>
      </c>
      <c r="F7731">
        <v>22.3</v>
      </c>
      <c r="G7731">
        <v>21.88</v>
      </c>
      <c r="H7731" t="s">
        <v>17</v>
      </c>
      <c r="I7731" t="str">
        <f>"062271003293"</f>
        <v>062271003293</v>
      </c>
    </row>
    <row r="7732" spans="1:9" x14ac:dyDescent="0.25">
      <c r="A7732" t="s">
        <v>6739</v>
      </c>
      <c r="B7732" t="s">
        <v>13</v>
      </c>
      <c r="C7732">
        <v>25</v>
      </c>
      <c r="D7732">
        <v>25</v>
      </c>
      <c r="E7732" t="s">
        <v>17</v>
      </c>
      <c r="F7732">
        <v>28.56</v>
      </c>
      <c r="G7732">
        <v>27.84</v>
      </c>
      <c r="H7732" t="s">
        <v>17</v>
      </c>
      <c r="I7732" t="str">
        <f>"061455001759"</f>
        <v>061455001759</v>
      </c>
    </row>
    <row r="7733" spans="1:9" x14ac:dyDescent="0.25">
      <c r="A7733" t="s">
        <v>6740</v>
      </c>
      <c r="B7733" t="s">
        <v>13</v>
      </c>
      <c r="C7733">
        <v>23.65</v>
      </c>
      <c r="D7733">
        <v>25.9</v>
      </c>
      <c r="E7733" t="s">
        <v>17</v>
      </c>
      <c r="F7733">
        <v>25.79</v>
      </c>
      <c r="G7733">
        <v>23.51</v>
      </c>
      <c r="H7733" t="s">
        <v>17</v>
      </c>
      <c r="I7733" t="str">
        <f>"061149003503"</f>
        <v>061149003503</v>
      </c>
    </row>
    <row r="7734" spans="1:9" x14ac:dyDescent="0.25">
      <c r="A7734" t="s">
        <v>6741</v>
      </c>
      <c r="B7734" t="s">
        <v>13</v>
      </c>
      <c r="C7734">
        <v>25.06</v>
      </c>
      <c r="D7734">
        <v>25.06</v>
      </c>
      <c r="E7734" t="s">
        <v>17</v>
      </c>
      <c r="F7734">
        <v>23.42</v>
      </c>
      <c r="G7734">
        <v>23.5</v>
      </c>
      <c r="H7734" t="s">
        <v>17</v>
      </c>
      <c r="I7734" t="str">
        <f>"063525008474"</f>
        <v>063525008474</v>
      </c>
    </row>
    <row r="7735" spans="1:9" x14ac:dyDescent="0.25">
      <c r="A7735" t="s">
        <v>6742</v>
      </c>
      <c r="B7735" t="s">
        <v>13</v>
      </c>
      <c r="C7735">
        <v>47.2</v>
      </c>
      <c r="D7735">
        <v>45.1</v>
      </c>
      <c r="E7735" t="s">
        <v>17</v>
      </c>
      <c r="F7735">
        <v>22.03</v>
      </c>
      <c r="G7735">
        <v>22.06</v>
      </c>
      <c r="H7735" t="s">
        <v>17</v>
      </c>
      <c r="I7735" t="str">
        <f>"063513010760"</f>
        <v>063513010760</v>
      </c>
    </row>
    <row r="7736" spans="1:9" x14ac:dyDescent="0.25">
      <c r="A7736" t="s">
        <v>6743</v>
      </c>
      <c r="B7736" t="s">
        <v>13</v>
      </c>
      <c r="C7736">
        <v>23</v>
      </c>
      <c r="D7736">
        <v>23.13</v>
      </c>
      <c r="E7736" t="s">
        <v>17</v>
      </c>
      <c r="F7736">
        <v>27.09</v>
      </c>
      <c r="G7736">
        <v>26.76</v>
      </c>
      <c r="H7736" t="s">
        <v>17</v>
      </c>
      <c r="I7736" t="str">
        <f>"064128009205"</f>
        <v>064128009205</v>
      </c>
    </row>
    <row r="7737" spans="1:9" x14ac:dyDescent="0.25">
      <c r="A7737" t="s">
        <v>6744</v>
      </c>
      <c r="B7737" t="s">
        <v>13</v>
      </c>
      <c r="C7737">
        <v>28</v>
      </c>
      <c r="D7737">
        <v>28.06</v>
      </c>
      <c r="E7737" t="s">
        <v>17</v>
      </c>
      <c r="F7737">
        <v>27.82</v>
      </c>
      <c r="G7737">
        <v>28.08</v>
      </c>
      <c r="H7737" t="s">
        <v>17</v>
      </c>
      <c r="I7737" t="str">
        <f>"062958007528"</f>
        <v>062958007528</v>
      </c>
    </row>
    <row r="7738" spans="1:9" x14ac:dyDescent="0.25">
      <c r="A7738" t="s">
        <v>6744</v>
      </c>
      <c r="B7738" t="s">
        <v>13</v>
      </c>
      <c r="C7738">
        <v>21</v>
      </c>
      <c r="D7738">
        <v>24</v>
      </c>
      <c r="E7738" t="s">
        <v>17</v>
      </c>
      <c r="F7738">
        <v>26.62</v>
      </c>
      <c r="G7738">
        <v>23.5</v>
      </c>
      <c r="H7738" t="s">
        <v>17</v>
      </c>
      <c r="I7738" t="str">
        <f>"062454012252"</f>
        <v>062454012252</v>
      </c>
    </row>
    <row r="7739" spans="1:9" x14ac:dyDescent="0.25">
      <c r="A7739" t="s">
        <v>6745</v>
      </c>
      <c r="B7739" t="s">
        <v>13</v>
      </c>
      <c r="C7739">
        <v>40.01</v>
      </c>
      <c r="D7739">
        <v>37</v>
      </c>
      <c r="E7739" t="s">
        <v>17</v>
      </c>
      <c r="F7739">
        <v>24.82</v>
      </c>
      <c r="G7739">
        <v>27.05</v>
      </c>
      <c r="H7739" t="s">
        <v>17</v>
      </c>
      <c r="I7739" t="str">
        <f>"063697005084"</f>
        <v>063697005084</v>
      </c>
    </row>
    <row r="7740" spans="1:9" x14ac:dyDescent="0.25">
      <c r="A7740" t="s">
        <v>6746</v>
      </c>
      <c r="B7740" t="s">
        <v>13</v>
      </c>
      <c r="C7740">
        <v>16.649999999999999</v>
      </c>
      <c r="D7740">
        <v>17.98</v>
      </c>
      <c r="E7740" t="s">
        <v>17</v>
      </c>
      <c r="F7740">
        <v>21.62</v>
      </c>
      <c r="G7740">
        <v>20.36</v>
      </c>
      <c r="H7740" t="s">
        <v>17</v>
      </c>
      <c r="I7740" t="str">
        <f>"061470007722"</f>
        <v>061470007722</v>
      </c>
    </row>
    <row r="7741" spans="1:9" x14ac:dyDescent="0.25">
      <c r="A7741" t="s">
        <v>6747</v>
      </c>
      <c r="B7741" t="s">
        <v>13</v>
      </c>
      <c r="C7741">
        <v>29</v>
      </c>
      <c r="D7741">
        <v>35</v>
      </c>
      <c r="E7741" t="s">
        <v>17</v>
      </c>
      <c r="F7741">
        <v>28.86</v>
      </c>
      <c r="G7741">
        <v>28.09</v>
      </c>
      <c r="H7741" t="s">
        <v>17</v>
      </c>
      <c r="I7741" t="str">
        <f>"064212006892"</f>
        <v>064212006892</v>
      </c>
    </row>
    <row r="7742" spans="1:9" x14ac:dyDescent="0.25">
      <c r="A7742" t="s">
        <v>6748</v>
      </c>
      <c r="B7742" t="s">
        <v>13</v>
      </c>
      <c r="C7742">
        <v>120.6</v>
      </c>
      <c r="D7742">
        <v>121.1</v>
      </c>
      <c r="E7742" t="s">
        <v>17</v>
      </c>
      <c r="F7742">
        <v>26.52</v>
      </c>
      <c r="G7742">
        <v>25.98</v>
      </c>
      <c r="H7742" t="s">
        <v>17</v>
      </c>
      <c r="I7742" t="str">
        <f>"060282000206"</f>
        <v>060282000206</v>
      </c>
    </row>
    <row r="7743" spans="1:9" x14ac:dyDescent="0.25">
      <c r="A7743" t="s">
        <v>6749</v>
      </c>
      <c r="B7743" t="s">
        <v>13</v>
      </c>
      <c r="C7743">
        <v>16</v>
      </c>
      <c r="D7743">
        <v>16</v>
      </c>
      <c r="E7743" t="s">
        <v>17</v>
      </c>
      <c r="F7743">
        <v>22.75</v>
      </c>
      <c r="G7743">
        <v>22.25</v>
      </c>
      <c r="H7743" t="s">
        <v>17</v>
      </c>
      <c r="I7743" t="str">
        <f>"062271003294"</f>
        <v>062271003294</v>
      </c>
    </row>
    <row r="7744" spans="1:9" x14ac:dyDescent="0.25">
      <c r="A7744" t="s">
        <v>6750</v>
      </c>
      <c r="B7744" t="s">
        <v>13</v>
      </c>
      <c r="C7744">
        <v>2</v>
      </c>
      <c r="D7744">
        <v>2</v>
      </c>
      <c r="E7744" t="s">
        <v>17</v>
      </c>
      <c r="F7744">
        <v>11</v>
      </c>
      <c r="G7744">
        <v>8</v>
      </c>
      <c r="H7744" t="s">
        <v>17</v>
      </c>
      <c r="I7744" t="str">
        <f>"062025012168"</f>
        <v>062025012168</v>
      </c>
    </row>
    <row r="7745" spans="1:9" x14ac:dyDescent="0.25">
      <c r="A7745" t="s">
        <v>6751</v>
      </c>
      <c r="B7745" t="s">
        <v>13</v>
      </c>
      <c r="C7745">
        <v>1</v>
      </c>
      <c r="D7745">
        <v>1</v>
      </c>
      <c r="E7745" t="s">
        <v>17</v>
      </c>
      <c r="F7745">
        <v>20</v>
      </c>
      <c r="G7745">
        <v>22</v>
      </c>
      <c r="H7745" t="s">
        <v>17</v>
      </c>
      <c r="I7745" t="str">
        <f>"062532012488"</f>
        <v>062532012488</v>
      </c>
    </row>
    <row r="7746" spans="1:9" x14ac:dyDescent="0.25">
      <c r="A7746" t="s">
        <v>6752</v>
      </c>
      <c r="B7746" t="s">
        <v>13</v>
      </c>
      <c r="C7746">
        <v>39</v>
      </c>
      <c r="D7746">
        <v>38.5</v>
      </c>
      <c r="E7746" t="s">
        <v>17</v>
      </c>
      <c r="F7746">
        <v>26.59</v>
      </c>
      <c r="G7746">
        <v>26.16</v>
      </c>
      <c r="H7746" t="s">
        <v>17</v>
      </c>
      <c r="I7746" t="str">
        <f>"061314001499"</f>
        <v>061314001499</v>
      </c>
    </row>
    <row r="7747" spans="1:9" x14ac:dyDescent="0.25">
      <c r="A7747" t="s">
        <v>6753</v>
      </c>
      <c r="B7747" t="s">
        <v>13</v>
      </c>
      <c r="C7747">
        <v>16.170000000000002</v>
      </c>
      <c r="D7747" t="s">
        <v>17</v>
      </c>
      <c r="E7747" t="s">
        <v>17</v>
      </c>
      <c r="F7747">
        <v>22.26</v>
      </c>
      <c r="G7747" t="s">
        <v>17</v>
      </c>
      <c r="H7747" t="s">
        <v>17</v>
      </c>
      <c r="I7747" t="str">
        <f>"063117004826"</f>
        <v>063117004826</v>
      </c>
    </row>
    <row r="7748" spans="1:9" x14ac:dyDescent="0.25">
      <c r="A7748" t="s">
        <v>6754</v>
      </c>
      <c r="B7748" t="s">
        <v>13</v>
      </c>
      <c r="C7748">
        <v>15</v>
      </c>
      <c r="D7748">
        <v>14</v>
      </c>
      <c r="E7748" t="s">
        <v>17</v>
      </c>
      <c r="F7748">
        <v>23.87</v>
      </c>
      <c r="G7748">
        <v>23.57</v>
      </c>
      <c r="H7748" t="s">
        <v>17</v>
      </c>
      <c r="I7748" t="str">
        <f>"062271012667"</f>
        <v>062271012667</v>
      </c>
    </row>
    <row r="7749" spans="1:9" x14ac:dyDescent="0.25">
      <c r="A7749" t="s">
        <v>6755</v>
      </c>
      <c r="B7749" t="s">
        <v>13</v>
      </c>
      <c r="C7749">
        <v>20.23</v>
      </c>
      <c r="D7749" t="s">
        <v>17</v>
      </c>
      <c r="E7749" t="s">
        <v>17</v>
      </c>
      <c r="F7749">
        <v>16.71</v>
      </c>
      <c r="G7749" t="s">
        <v>17</v>
      </c>
      <c r="H7749" t="s">
        <v>17</v>
      </c>
      <c r="I7749" t="str">
        <f>"063117004827"</f>
        <v>063117004827</v>
      </c>
    </row>
    <row r="7750" spans="1:9" x14ac:dyDescent="0.25">
      <c r="A7750" t="s">
        <v>6756</v>
      </c>
      <c r="B7750" t="s">
        <v>13</v>
      </c>
      <c r="C7750">
        <v>34</v>
      </c>
      <c r="D7750">
        <v>33</v>
      </c>
      <c r="E7750" t="s">
        <v>17</v>
      </c>
      <c r="F7750">
        <v>26.24</v>
      </c>
      <c r="G7750">
        <v>25.61</v>
      </c>
      <c r="H7750" t="s">
        <v>17</v>
      </c>
      <c r="I7750" t="str">
        <f>"061524001949"</f>
        <v>061524001949</v>
      </c>
    </row>
    <row r="7751" spans="1:9" x14ac:dyDescent="0.25">
      <c r="A7751" t="s">
        <v>6757</v>
      </c>
      <c r="B7751" t="s">
        <v>13</v>
      </c>
      <c r="C7751">
        <v>25</v>
      </c>
      <c r="D7751">
        <v>26</v>
      </c>
      <c r="E7751" t="s">
        <v>17</v>
      </c>
      <c r="F7751">
        <v>26.12</v>
      </c>
      <c r="G7751">
        <v>25.46</v>
      </c>
      <c r="H7751" t="s">
        <v>17</v>
      </c>
      <c r="I7751" t="str">
        <f>"061488001848"</f>
        <v>061488001848</v>
      </c>
    </row>
    <row r="7752" spans="1:9" x14ac:dyDescent="0.25">
      <c r="A7752" t="s">
        <v>6758</v>
      </c>
      <c r="B7752" t="s">
        <v>13</v>
      </c>
      <c r="C7752">
        <v>30.5</v>
      </c>
      <c r="D7752">
        <v>30.78</v>
      </c>
      <c r="E7752" t="s">
        <v>17</v>
      </c>
      <c r="F7752">
        <v>24.98</v>
      </c>
      <c r="G7752">
        <v>24.11</v>
      </c>
      <c r="H7752" t="s">
        <v>17</v>
      </c>
      <c r="I7752" t="str">
        <f>"061029001141"</f>
        <v>061029001141</v>
      </c>
    </row>
    <row r="7753" spans="1:9" x14ac:dyDescent="0.25">
      <c r="A7753" t="s">
        <v>6759</v>
      </c>
      <c r="B7753" t="s">
        <v>13</v>
      </c>
      <c r="C7753">
        <v>26</v>
      </c>
      <c r="D7753">
        <v>25</v>
      </c>
      <c r="E7753" t="s">
        <v>17</v>
      </c>
      <c r="F7753">
        <v>20.12</v>
      </c>
      <c r="G7753">
        <v>21.44</v>
      </c>
      <c r="H7753" t="s">
        <v>17</v>
      </c>
      <c r="I7753" t="str">
        <f>"060798000767"</f>
        <v>060798000767</v>
      </c>
    </row>
    <row r="7754" spans="1:9" x14ac:dyDescent="0.25">
      <c r="A7754" t="s">
        <v>6760</v>
      </c>
      <c r="B7754" t="s">
        <v>13</v>
      </c>
      <c r="C7754">
        <v>12.9</v>
      </c>
      <c r="D7754">
        <v>14.4</v>
      </c>
      <c r="E7754" t="s">
        <v>17</v>
      </c>
      <c r="F7754">
        <v>26.59</v>
      </c>
      <c r="G7754" t="s">
        <v>17</v>
      </c>
      <c r="H7754" t="s">
        <v>17</v>
      </c>
      <c r="I7754" t="str">
        <f>"060792000760"</f>
        <v>060792000760</v>
      </c>
    </row>
    <row r="7755" spans="1:9" x14ac:dyDescent="0.25">
      <c r="A7755" t="s">
        <v>6761</v>
      </c>
      <c r="B7755" t="s">
        <v>13</v>
      </c>
      <c r="C7755">
        <v>20</v>
      </c>
      <c r="D7755">
        <v>19.5</v>
      </c>
      <c r="E7755" t="s">
        <v>17</v>
      </c>
      <c r="F7755">
        <v>28.1</v>
      </c>
      <c r="G7755">
        <v>26.92</v>
      </c>
      <c r="H7755" t="s">
        <v>17</v>
      </c>
      <c r="I7755" t="str">
        <f>"060645000579"</f>
        <v>060645000579</v>
      </c>
    </row>
    <row r="7756" spans="1:9" x14ac:dyDescent="0.25">
      <c r="A7756" t="s">
        <v>6762</v>
      </c>
      <c r="B7756" t="s">
        <v>13</v>
      </c>
      <c r="C7756">
        <v>33</v>
      </c>
      <c r="D7756">
        <v>33</v>
      </c>
      <c r="E7756" t="s">
        <v>17</v>
      </c>
      <c r="F7756">
        <v>29.61</v>
      </c>
      <c r="G7756">
        <v>30</v>
      </c>
      <c r="H7756" t="s">
        <v>17</v>
      </c>
      <c r="I7756" t="str">
        <f>"062274003483"</f>
        <v>062274003483</v>
      </c>
    </row>
    <row r="7757" spans="1:9" x14ac:dyDescent="0.25">
      <c r="A7757" t="s">
        <v>6763</v>
      </c>
      <c r="B7757" t="s">
        <v>13</v>
      </c>
      <c r="C7757">
        <v>29</v>
      </c>
      <c r="D7757">
        <v>28.86</v>
      </c>
      <c r="E7757" t="s">
        <v>17</v>
      </c>
      <c r="F7757">
        <v>27.76</v>
      </c>
      <c r="G7757">
        <v>26.54</v>
      </c>
      <c r="H7757" t="s">
        <v>17</v>
      </c>
      <c r="I7757" t="str">
        <f>"061734002180"</f>
        <v>061734002180</v>
      </c>
    </row>
    <row r="7758" spans="1:9" x14ac:dyDescent="0.25">
      <c r="A7758" t="s">
        <v>6764</v>
      </c>
      <c r="B7758" t="s">
        <v>13</v>
      </c>
      <c r="C7758">
        <v>39</v>
      </c>
      <c r="D7758">
        <v>39</v>
      </c>
      <c r="E7758" t="s">
        <v>17</v>
      </c>
      <c r="F7758">
        <v>23.92</v>
      </c>
      <c r="G7758">
        <v>23.69</v>
      </c>
      <c r="H7758" t="s">
        <v>17</v>
      </c>
      <c r="I7758" t="str">
        <f>"060591010474"</f>
        <v>060591010474</v>
      </c>
    </row>
    <row r="7759" spans="1:9" x14ac:dyDescent="0.25">
      <c r="A7759" t="s">
        <v>6765</v>
      </c>
      <c r="B7759" t="s">
        <v>13</v>
      </c>
      <c r="C7759">
        <v>19.5</v>
      </c>
      <c r="D7759">
        <v>19.399999999999999</v>
      </c>
      <c r="E7759" t="s">
        <v>17</v>
      </c>
      <c r="F7759">
        <v>22.87</v>
      </c>
      <c r="G7759">
        <v>24.12</v>
      </c>
      <c r="H7759" t="s">
        <v>17</v>
      </c>
      <c r="I7759" t="str">
        <f>"060282010514"</f>
        <v>060282010514</v>
      </c>
    </row>
    <row r="7760" spans="1:9" x14ac:dyDescent="0.25">
      <c r="A7760" t="s">
        <v>6766</v>
      </c>
      <c r="B7760" t="s">
        <v>13</v>
      </c>
      <c r="C7760">
        <v>28.6</v>
      </c>
      <c r="D7760">
        <v>29.6</v>
      </c>
      <c r="E7760" t="s">
        <v>17</v>
      </c>
      <c r="F7760">
        <v>17.13</v>
      </c>
      <c r="G7760">
        <v>17.260000000000002</v>
      </c>
      <c r="H7760" t="s">
        <v>17</v>
      </c>
      <c r="I7760" t="str">
        <f>"063174004910"</f>
        <v>063174004910</v>
      </c>
    </row>
    <row r="7761" spans="1:9" x14ac:dyDescent="0.25">
      <c r="A7761" t="s">
        <v>6767</v>
      </c>
      <c r="B7761" t="s">
        <v>13</v>
      </c>
      <c r="C7761">
        <v>15.75</v>
      </c>
      <c r="D7761">
        <v>15.4</v>
      </c>
      <c r="E7761" t="s">
        <v>17</v>
      </c>
      <c r="F7761">
        <v>11.43</v>
      </c>
      <c r="G7761">
        <v>10.58</v>
      </c>
      <c r="H7761" t="s">
        <v>17</v>
      </c>
      <c r="I7761" t="str">
        <f>"063174004911"</f>
        <v>063174004911</v>
      </c>
    </row>
    <row r="7762" spans="1:9" x14ac:dyDescent="0.25">
      <c r="A7762" t="s">
        <v>6768</v>
      </c>
      <c r="B7762" t="s">
        <v>13</v>
      </c>
      <c r="C7762">
        <v>4.0999999999999996</v>
      </c>
      <c r="D7762">
        <v>6.1</v>
      </c>
      <c r="E7762" t="s">
        <v>17</v>
      </c>
      <c r="F7762">
        <v>33.659999999999997</v>
      </c>
      <c r="G7762">
        <v>25.41</v>
      </c>
      <c r="H7762" t="s">
        <v>17</v>
      </c>
      <c r="I7762" t="str">
        <f>"060285012407"</f>
        <v>060285012407</v>
      </c>
    </row>
    <row r="7763" spans="1:9" x14ac:dyDescent="0.25">
      <c r="A7763" t="s">
        <v>6769</v>
      </c>
      <c r="B7763" t="s">
        <v>13</v>
      </c>
      <c r="C7763">
        <v>19.059999999999999</v>
      </c>
      <c r="D7763">
        <v>18.5</v>
      </c>
      <c r="E7763" t="s">
        <v>17</v>
      </c>
      <c r="F7763">
        <v>22.14</v>
      </c>
      <c r="G7763">
        <v>23.41</v>
      </c>
      <c r="H7763" t="s">
        <v>17</v>
      </c>
      <c r="I7763" t="str">
        <f>"063459005706"</f>
        <v>063459005706</v>
      </c>
    </row>
    <row r="7764" spans="1:9" x14ac:dyDescent="0.25">
      <c r="A7764" t="s">
        <v>6770</v>
      </c>
      <c r="B7764" t="s">
        <v>13</v>
      </c>
      <c r="C7764">
        <v>19</v>
      </c>
      <c r="D7764">
        <v>20</v>
      </c>
      <c r="E7764" t="s">
        <v>17</v>
      </c>
      <c r="F7764">
        <v>28.63</v>
      </c>
      <c r="G7764">
        <v>25.8</v>
      </c>
      <c r="H7764" t="s">
        <v>17</v>
      </c>
      <c r="I7764" t="str">
        <f>"062949011460"</f>
        <v>062949011460</v>
      </c>
    </row>
    <row r="7765" spans="1:9" x14ac:dyDescent="0.25">
      <c r="A7765" t="s">
        <v>6771</v>
      </c>
      <c r="B7765" t="s">
        <v>13</v>
      </c>
      <c r="C7765" t="s">
        <v>17</v>
      </c>
      <c r="D7765" t="s">
        <v>17</v>
      </c>
      <c r="E7765" t="s">
        <v>17</v>
      </c>
      <c r="F7765" t="s">
        <v>17</v>
      </c>
      <c r="G7765" t="s">
        <v>17</v>
      </c>
      <c r="H7765" t="s">
        <v>17</v>
      </c>
      <c r="I7765" t="str">
        <f>"060363000316"</f>
        <v>060363000316</v>
      </c>
    </row>
    <row r="7766" spans="1:9" x14ac:dyDescent="0.25">
      <c r="A7766" t="s">
        <v>6772</v>
      </c>
      <c r="B7766" t="s">
        <v>13</v>
      </c>
      <c r="C7766">
        <v>22.17</v>
      </c>
      <c r="D7766">
        <v>22.89</v>
      </c>
      <c r="E7766" t="s">
        <v>17</v>
      </c>
      <c r="F7766">
        <v>22.91</v>
      </c>
      <c r="G7766">
        <v>20.88</v>
      </c>
      <c r="H7766" t="s">
        <v>17</v>
      </c>
      <c r="I7766" t="str">
        <f>"061980009558"</f>
        <v>061980009558</v>
      </c>
    </row>
    <row r="7767" spans="1:9" x14ac:dyDescent="0.25">
      <c r="A7767" t="s">
        <v>6773</v>
      </c>
      <c r="B7767" t="s">
        <v>13</v>
      </c>
      <c r="C7767">
        <v>33</v>
      </c>
      <c r="D7767">
        <v>32</v>
      </c>
      <c r="E7767" t="s">
        <v>17</v>
      </c>
      <c r="F7767">
        <v>28.52</v>
      </c>
      <c r="G7767">
        <v>29.13</v>
      </c>
      <c r="H7767" t="s">
        <v>17</v>
      </c>
      <c r="I7767" t="str">
        <f>"061605002035"</f>
        <v>061605002035</v>
      </c>
    </row>
    <row r="7768" spans="1:9" x14ac:dyDescent="0.25">
      <c r="A7768" t="s">
        <v>6774</v>
      </c>
      <c r="B7768" t="s">
        <v>13</v>
      </c>
      <c r="C7768">
        <v>6.9</v>
      </c>
      <c r="D7768">
        <v>7.5</v>
      </c>
      <c r="E7768" t="s">
        <v>17</v>
      </c>
      <c r="F7768">
        <v>25.07</v>
      </c>
      <c r="G7768">
        <v>20.8</v>
      </c>
      <c r="H7768" t="s">
        <v>17</v>
      </c>
      <c r="I7768" t="str">
        <f>"064071011398"</f>
        <v>064071011398</v>
      </c>
    </row>
    <row r="7769" spans="1:9" x14ac:dyDescent="0.25">
      <c r="A7769" t="s">
        <v>6775</v>
      </c>
      <c r="B7769" t="s">
        <v>13</v>
      </c>
      <c r="C7769">
        <v>23.6</v>
      </c>
      <c r="D7769">
        <v>29.6</v>
      </c>
      <c r="E7769" t="s">
        <v>17</v>
      </c>
      <c r="F7769">
        <v>29.66</v>
      </c>
      <c r="G7769">
        <v>25.95</v>
      </c>
      <c r="H7769" t="s">
        <v>17</v>
      </c>
      <c r="I7769" t="str">
        <f>"060002909511"</f>
        <v>060002909511</v>
      </c>
    </row>
    <row r="7770" spans="1:9" x14ac:dyDescent="0.25">
      <c r="A7770" t="s">
        <v>6776</v>
      </c>
      <c r="B7770" t="s">
        <v>13</v>
      </c>
      <c r="C7770">
        <v>3.22</v>
      </c>
      <c r="D7770">
        <v>2.82</v>
      </c>
      <c r="E7770" t="s">
        <v>17</v>
      </c>
      <c r="F7770">
        <v>19.57</v>
      </c>
      <c r="G7770">
        <v>26.95</v>
      </c>
      <c r="H7770" t="s">
        <v>17</v>
      </c>
      <c r="I7770" t="str">
        <f>"060687000629"</f>
        <v>060687000629</v>
      </c>
    </row>
    <row r="7771" spans="1:9" x14ac:dyDescent="0.25">
      <c r="A7771" t="s">
        <v>6777</v>
      </c>
      <c r="B7771" t="s">
        <v>13</v>
      </c>
      <c r="C7771">
        <v>24.8</v>
      </c>
      <c r="D7771">
        <v>25.8</v>
      </c>
      <c r="E7771" t="s">
        <v>17</v>
      </c>
      <c r="F7771">
        <v>23.95</v>
      </c>
      <c r="G7771">
        <v>22.6</v>
      </c>
      <c r="H7771" t="s">
        <v>17</v>
      </c>
      <c r="I7771" t="str">
        <f>"060002709497"</f>
        <v>060002709497</v>
      </c>
    </row>
    <row r="7772" spans="1:9" x14ac:dyDescent="0.25">
      <c r="A7772" t="s">
        <v>6778</v>
      </c>
      <c r="B7772" t="s">
        <v>13</v>
      </c>
      <c r="C7772">
        <v>32</v>
      </c>
      <c r="D7772">
        <v>32</v>
      </c>
      <c r="E7772" t="s">
        <v>17</v>
      </c>
      <c r="F7772">
        <v>25.66</v>
      </c>
      <c r="G7772">
        <v>24.53</v>
      </c>
      <c r="H7772" t="s">
        <v>17</v>
      </c>
      <c r="I7772" t="str">
        <f>"063018011717"</f>
        <v>063018011717</v>
      </c>
    </row>
    <row r="7773" spans="1:9" x14ac:dyDescent="0.25">
      <c r="A7773" t="s">
        <v>6779</v>
      </c>
      <c r="B7773" t="s">
        <v>13</v>
      </c>
      <c r="C7773">
        <v>31</v>
      </c>
      <c r="D7773">
        <v>29</v>
      </c>
      <c r="E7773" t="s">
        <v>17</v>
      </c>
      <c r="F7773">
        <v>25.71</v>
      </c>
      <c r="G7773">
        <v>26.28</v>
      </c>
      <c r="H7773" t="s">
        <v>17</v>
      </c>
      <c r="I7773" t="str">
        <f>"069113510287"</f>
        <v>069113510287</v>
      </c>
    </row>
    <row r="7774" spans="1:9" x14ac:dyDescent="0.25">
      <c r="A7774" t="s">
        <v>6780</v>
      </c>
      <c r="B7774" t="s">
        <v>13</v>
      </c>
      <c r="C7774" t="s">
        <v>17</v>
      </c>
      <c r="D7774" t="str">
        <f>"0.25"</f>
        <v>0.25</v>
      </c>
      <c r="E7774" t="s">
        <v>14</v>
      </c>
      <c r="F7774" t="s">
        <v>17</v>
      </c>
      <c r="G7774">
        <v>80</v>
      </c>
      <c r="H7774" t="s">
        <v>14</v>
      </c>
      <c r="I7774" t="str">
        <f>"062580012835"</f>
        <v>062580012835</v>
      </c>
    </row>
    <row r="7775" spans="1:9" x14ac:dyDescent="0.25">
      <c r="A7775" t="s">
        <v>6781</v>
      </c>
      <c r="B7775" t="s">
        <v>13</v>
      </c>
      <c r="C7775">
        <v>9.1</v>
      </c>
      <c r="D7775">
        <v>8.3000000000000007</v>
      </c>
      <c r="E7775" t="s">
        <v>17</v>
      </c>
      <c r="F7775">
        <v>19.010000000000002</v>
      </c>
      <c r="G7775">
        <v>23.49</v>
      </c>
      <c r="H7775" t="s">
        <v>17</v>
      </c>
      <c r="I7775" t="str">
        <f>"063315003613"</f>
        <v>063315003613</v>
      </c>
    </row>
    <row r="7776" spans="1:9" x14ac:dyDescent="0.25">
      <c r="A7776" t="s">
        <v>6782</v>
      </c>
      <c r="B7776" t="s">
        <v>13</v>
      </c>
      <c r="C7776">
        <v>16</v>
      </c>
      <c r="D7776">
        <v>15.25</v>
      </c>
      <c r="E7776" t="s">
        <v>17</v>
      </c>
      <c r="F7776">
        <v>22</v>
      </c>
      <c r="G7776">
        <v>21.97</v>
      </c>
      <c r="H7776" t="s">
        <v>17</v>
      </c>
      <c r="I7776" t="str">
        <f>"063168004904"</f>
        <v>063168004904</v>
      </c>
    </row>
    <row r="7777" spans="1:9" x14ac:dyDescent="0.25">
      <c r="A7777" t="s">
        <v>6783</v>
      </c>
      <c r="B7777" t="s">
        <v>13</v>
      </c>
      <c r="C7777">
        <v>35.54</v>
      </c>
      <c r="D7777">
        <v>32.32</v>
      </c>
      <c r="E7777" t="s">
        <v>17</v>
      </c>
      <c r="F7777">
        <v>27.1</v>
      </c>
      <c r="G7777">
        <v>28.65</v>
      </c>
      <c r="H7777" t="s">
        <v>17</v>
      </c>
      <c r="I7777" t="str">
        <f>"063386005298"</f>
        <v>063386005298</v>
      </c>
    </row>
    <row r="7778" spans="1:9" x14ac:dyDescent="0.25">
      <c r="A7778" t="s">
        <v>6784</v>
      </c>
      <c r="B7778" t="s">
        <v>13</v>
      </c>
      <c r="C7778">
        <v>17.5</v>
      </c>
      <c r="D7778">
        <v>17</v>
      </c>
      <c r="E7778" t="s">
        <v>17</v>
      </c>
      <c r="F7778">
        <v>27.2</v>
      </c>
      <c r="G7778">
        <v>25.12</v>
      </c>
      <c r="H7778" t="s">
        <v>17</v>
      </c>
      <c r="I7778" t="str">
        <f>"060962000970"</f>
        <v>060962000970</v>
      </c>
    </row>
    <row r="7779" spans="1:9" x14ac:dyDescent="0.25">
      <c r="A7779" t="s">
        <v>6785</v>
      </c>
      <c r="B7779" t="s">
        <v>13</v>
      </c>
      <c r="C7779">
        <v>23</v>
      </c>
      <c r="D7779">
        <v>22.6</v>
      </c>
      <c r="E7779" t="s">
        <v>17</v>
      </c>
      <c r="F7779">
        <v>28</v>
      </c>
      <c r="G7779">
        <v>25.66</v>
      </c>
      <c r="H7779" t="s">
        <v>17</v>
      </c>
      <c r="I7779" t="str">
        <f>"062871004461"</f>
        <v>062871004461</v>
      </c>
    </row>
    <row r="7780" spans="1:9" x14ac:dyDescent="0.25">
      <c r="A7780" t="s">
        <v>6786</v>
      </c>
      <c r="B7780" t="s">
        <v>13</v>
      </c>
      <c r="C7780">
        <v>28</v>
      </c>
      <c r="D7780">
        <v>27</v>
      </c>
      <c r="E7780" t="s">
        <v>17</v>
      </c>
      <c r="F7780">
        <v>25.54</v>
      </c>
      <c r="G7780">
        <v>26.63</v>
      </c>
      <c r="H7780" t="s">
        <v>17</v>
      </c>
      <c r="I7780" t="str">
        <f>"061803002218"</f>
        <v>061803002218</v>
      </c>
    </row>
    <row r="7781" spans="1:9" x14ac:dyDescent="0.25">
      <c r="A7781" t="s">
        <v>6787</v>
      </c>
      <c r="B7781" t="s">
        <v>13</v>
      </c>
      <c r="C7781">
        <v>21.5</v>
      </c>
      <c r="D7781">
        <v>22</v>
      </c>
      <c r="E7781" t="s">
        <v>17</v>
      </c>
      <c r="F7781">
        <v>28.09</v>
      </c>
      <c r="G7781">
        <v>27.09</v>
      </c>
      <c r="H7781" t="s">
        <v>17</v>
      </c>
      <c r="I7781" t="str">
        <f>"060645000567"</f>
        <v>060645000567</v>
      </c>
    </row>
    <row r="7782" spans="1:9" x14ac:dyDescent="0.25">
      <c r="A7782" t="s">
        <v>6788</v>
      </c>
      <c r="B7782" t="s">
        <v>13</v>
      </c>
      <c r="C7782">
        <v>8.01</v>
      </c>
      <c r="D7782">
        <v>9.01</v>
      </c>
      <c r="E7782" t="s">
        <v>17</v>
      </c>
      <c r="F7782">
        <v>18.100000000000001</v>
      </c>
      <c r="G7782">
        <v>22.42</v>
      </c>
      <c r="H7782" t="s">
        <v>17</v>
      </c>
      <c r="I7782" t="str">
        <f>"062805012325"</f>
        <v>062805012325</v>
      </c>
    </row>
    <row r="7783" spans="1:9" x14ac:dyDescent="0.25">
      <c r="A7783" t="s">
        <v>6789</v>
      </c>
      <c r="B7783" t="s">
        <v>13</v>
      </c>
      <c r="C7783">
        <v>11.01</v>
      </c>
      <c r="D7783">
        <v>12.51</v>
      </c>
      <c r="E7783" t="s">
        <v>17</v>
      </c>
      <c r="F7783">
        <v>6.54</v>
      </c>
      <c r="G7783">
        <v>6.63</v>
      </c>
      <c r="H7783" t="s">
        <v>17</v>
      </c>
      <c r="I7783" t="str">
        <f>"063462005821"</f>
        <v>063462005821</v>
      </c>
    </row>
    <row r="7784" spans="1:9" x14ac:dyDescent="0.25">
      <c r="A7784" t="s">
        <v>6790</v>
      </c>
      <c r="B7784" t="s">
        <v>13</v>
      </c>
      <c r="C7784">
        <v>22.65</v>
      </c>
      <c r="D7784">
        <v>22.05</v>
      </c>
      <c r="E7784" t="s">
        <v>17</v>
      </c>
      <c r="F7784">
        <v>17.84</v>
      </c>
      <c r="G7784">
        <v>18.37</v>
      </c>
      <c r="H7784" t="s">
        <v>17</v>
      </c>
      <c r="I7784" t="str">
        <f>"061062001177"</f>
        <v>061062001177</v>
      </c>
    </row>
    <row r="7785" spans="1:9" x14ac:dyDescent="0.25">
      <c r="A7785" t="s">
        <v>6791</v>
      </c>
      <c r="B7785" t="s">
        <v>13</v>
      </c>
      <c r="C7785">
        <v>28</v>
      </c>
      <c r="D7785">
        <v>32</v>
      </c>
      <c r="E7785" t="s">
        <v>17</v>
      </c>
      <c r="F7785">
        <v>23.04</v>
      </c>
      <c r="G7785">
        <v>25.59</v>
      </c>
      <c r="H7785" t="s">
        <v>17</v>
      </c>
      <c r="I7785" t="str">
        <f>"062271002987"</f>
        <v>062271002987</v>
      </c>
    </row>
    <row r="7786" spans="1:9" x14ac:dyDescent="0.25">
      <c r="A7786" t="s">
        <v>6792</v>
      </c>
      <c r="B7786" t="s">
        <v>13</v>
      </c>
      <c r="C7786">
        <v>47.82</v>
      </c>
      <c r="D7786">
        <v>42.82</v>
      </c>
      <c r="E7786" t="s">
        <v>17</v>
      </c>
      <c r="F7786">
        <v>22.23</v>
      </c>
      <c r="G7786">
        <v>23.42</v>
      </c>
      <c r="H7786" t="s">
        <v>17</v>
      </c>
      <c r="I7786" t="str">
        <f>"060453000419"</f>
        <v>060453000419</v>
      </c>
    </row>
    <row r="7787" spans="1:9" x14ac:dyDescent="0.25">
      <c r="A7787" t="s">
        <v>6793</v>
      </c>
      <c r="B7787" t="s">
        <v>13</v>
      </c>
      <c r="C7787">
        <v>17</v>
      </c>
      <c r="D7787">
        <v>16</v>
      </c>
      <c r="E7787" t="s">
        <v>17</v>
      </c>
      <c r="F7787">
        <v>25.18</v>
      </c>
      <c r="G7787">
        <v>26.31</v>
      </c>
      <c r="H7787" t="s">
        <v>17</v>
      </c>
      <c r="I7787" t="str">
        <f>"061437011452"</f>
        <v>061437011452</v>
      </c>
    </row>
    <row r="7788" spans="1:9" x14ac:dyDescent="0.25">
      <c r="A7788" t="s">
        <v>6794</v>
      </c>
      <c r="B7788" t="s">
        <v>13</v>
      </c>
      <c r="C7788">
        <v>2</v>
      </c>
      <c r="D7788">
        <v>4.95</v>
      </c>
      <c r="E7788" t="s">
        <v>17</v>
      </c>
      <c r="F7788">
        <v>28</v>
      </c>
      <c r="G7788">
        <v>10.91</v>
      </c>
      <c r="H7788" t="s">
        <v>17</v>
      </c>
      <c r="I7788" t="str">
        <f>"062955008562"</f>
        <v>062955008562</v>
      </c>
    </row>
    <row r="7789" spans="1:9" x14ac:dyDescent="0.25">
      <c r="A7789" t="s">
        <v>6795</v>
      </c>
      <c r="B7789" t="s">
        <v>13</v>
      </c>
      <c r="C7789">
        <v>61.84</v>
      </c>
      <c r="D7789">
        <v>59.55</v>
      </c>
      <c r="E7789" t="s">
        <v>17</v>
      </c>
      <c r="F7789">
        <v>25.86</v>
      </c>
      <c r="G7789">
        <v>25.59</v>
      </c>
      <c r="H7789" t="s">
        <v>17</v>
      </c>
      <c r="I7789" t="str">
        <f>"062271012439"</f>
        <v>062271012439</v>
      </c>
    </row>
    <row r="7790" spans="1:9" x14ac:dyDescent="0.25">
      <c r="A7790" t="s">
        <v>6796</v>
      </c>
      <c r="B7790" t="s">
        <v>13</v>
      </c>
      <c r="C7790">
        <v>43.27</v>
      </c>
      <c r="D7790">
        <v>43.27</v>
      </c>
      <c r="E7790" t="s">
        <v>17</v>
      </c>
      <c r="F7790">
        <v>22.6</v>
      </c>
      <c r="G7790">
        <v>22.07</v>
      </c>
      <c r="H7790" t="s">
        <v>17</v>
      </c>
      <c r="I7790" t="str">
        <f>"060363009712"</f>
        <v>060363009712</v>
      </c>
    </row>
    <row r="7791" spans="1:9" x14ac:dyDescent="0.25">
      <c r="A7791" t="s">
        <v>6797</v>
      </c>
      <c r="B7791" t="s">
        <v>13</v>
      </c>
      <c r="C7791">
        <v>33.5</v>
      </c>
      <c r="D7791">
        <v>31.05</v>
      </c>
      <c r="E7791" t="s">
        <v>17</v>
      </c>
      <c r="F7791">
        <v>24.81</v>
      </c>
      <c r="G7791">
        <v>26.6</v>
      </c>
      <c r="H7791" t="s">
        <v>17</v>
      </c>
      <c r="I7791" t="str">
        <f>"064308008435"</f>
        <v>064308008435</v>
      </c>
    </row>
    <row r="7792" spans="1:9" x14ac:dyDescent="0.25">
      <c r="A7792" t="s">
        <v>6798</v>
      </c>
      <c r="B7792" t="s">
        <v>13</v>
      </c>
      <c r="C7792">
        <v>31</v>
      </c>
      <c r="D7792">
        <v>34</v>
      </c>
      <c r="E7792" t="s">
        <v>17</v>
      </c>
      <c r="F7792">
        <v>26.06</v>
      </c>
      <c r="G7792">
        <v>22.65</v>
      </c>
      <c r="H7792" t="s">
        <v>17</v>
      </c>
      <c r="I7792" t="str">
        <f>"061668002096"</f>
        <v>061668002096</v>
      </c>
    </row>
    <row r="7793" spans="1:9" x14ac:dyDescent="0.25">
      <c r="A7793" t="s">
        <v>6799</v>
      </c>
      <c r="B7793" t="s">
        <v>13</v>
      </c>
      <c r="C7793">
        <v>18.77</v>
      </c>
      <c r="D7793">
        <v>21.95</v>
      </c>
      <c r="E7793" t="s">
        <v>17</v>
      </c>
      <c r="F7793">
        <v>27.38</v>
      </c>
      <c r="G7793">
        <v>26.51</v>
      </c>
      <c r="H7793" t="s">
        <v>17</v>
      </c>
      <c r="I7793" t="str">
        <f>"063171008945"</f>
        <v>063171008945</v>
      </c>
    </row>
    <row r="7794" spans="1:9" x14ac:dyDescent="0.25">
      <c r="A7794" t="s">
        <v>6800</v>
      </c>
      <c r="B7794" t="s">
        <v>13</v>
      </c>
      <c r="C7794">
        <v>16</v>
      </c>
      <c r="D7794">
        <v>21.47</v>
      </c>
      <c r="E7794" t="s">
        <v>17</v>
      </c>
      <c r="F7794">
        <v>31.63</v>
      </c>
      <c r="G7794">
        <v>23.52</v>
      </c>
      <c r="H7794" t="s">
        <v>17</v>
      </c>
      <c r="I7794" t="str">
        <f>"063171004907"</f>
        <v>063171004907</v>
      </c>
    </row>
    <row r="7795" spans="1:9" x14ac:dyDescent="0.25">
      <c r="A7795" t="s">
        <v>6800</v>
      </c>
      <c r="B7795" t="s">
        <v>13</v>
      </c>
      <c r="C7795">
        <v>28.25</v>
      </c>
      <c r="D7795">
        <v>31.25</v>
      </c>
      <c r="E7795" t="s">
        <v>17</v>
      </c>
      <c r="F7795">
        <v>25.49</v>
      </c>
      <c r="G7795">
        <v>23.55</v>
      </c>
      <c r="H7795" t="s">
        <v>17</v>
      </c>
      <c r="I7795" t="str">
        <f>"061692002157"</f>
        <v>061692002157</v>
      </c>
    </row>
    <row r="7796" spans="1:9" x14ac:dyDescent="0.25">
      <c r="A7796" t="s">
        <v>6800</v>
      </c>
      <c r="B7796" t="s">
        <v>13</v>
      </c>
      <c r="C7796">
        <v>29.2</v>
      </c>
      <c r="D7796">
        <v>30.46</v>
      </c>
      <c r="E7796" t="s">
        <v>17</v>
      </c>
      <c r="F7796">
        <v>27.12</v>
      </c>
      <c r="G7796">
        <v>24.43</v>
      </c>
      <c r="H7796" t="s">
        <v>17</v>
      </c>
      <c r="I7796" t="str">
        <f>"062847004410"</f>
        <v>062847004410</v>
      </c>
    </row>
    <row r="7797" spans="1:9" x14ac:dyDescent="0.25">
      <c r="A7797" t="s">
        <v>6800</v>
      </c>
      <c r="B7797" t="s">
        <v>13</v>
      </c>
      <c r="C7797">
        <v>23</v>
      </c>
      <c r="D7797">
        <v>24</v>
      </c>
      <c r="E7797" t="s">
        <v>17</v>
      </c>
      <c r="F7797">
        <v>30.13</v>
      </c>
      <c r="G7797">
        <v>29.71</v>
      </c>
      <c r="H7797" t="s">
        <v>17</v>
      </c>
      <c r="I7797" t="str">
        <f>"060444000404"</f>
        <v>060444000404</v>
      </c>
    </row>
    <row r="7798" spans="1:9" x14ac:dyDescent="0.25">
      <c r="A7798" t="s">
        <v>6800</v>
      </c>
      <c r="B7798" t="s">
        <v>13</v>
      </c>
      <c r="C7798">
        <v>34.93</v>
      </c>
      <c r="D7798">
        <v>37.840000000000003</v>
      </c>
      <c r="E7798" t="s">
        <v>17</v>
      </c>
      <c r="F7798">
        <v>24.96</v>
      </c>
      <c r="G7798">
        <v>23.81</v>
      </c>
      <c r="H7798" t="s">
        <v>17</v>
      </c>
      <c r="I7798" t="str">
        <f>"060015310943"</f>
        <v>060015310943</v>
      </c>
    </row>
    <row r="7799" spans="1:9" x14ac:dyDescent="0.25">
      <c r="A7799" t="s">
        <v>6800</v>
      </c>
      <c r="B7799" t="s">
        <v>13</v>
      </c>
      <c r="C7799">
        <v>32.5</v>
      </c>
      <c r="D7799">
        <v>33</v>
      </c>
      <c r="E7799" t="s">
        <v>17</v>
      </c>
      <c r="F7799">
        <v>22.65</v>
      </c>
      <c r="G7799">
        <v>22.12</v>
      </c>
      <c r="H7799" t="s">
        <v>17</v>
      </c>
      <c r="I7799" t="str">
        <f>"062271003295"</f>
        <v>062271003295</v>
      </c>
    </row>
    <row r="7800" spans="1:9" x14ac:dyDescent="0.25">
      <c r="A7800" t="s">
        <v>6800</v>
      </c>
      <c r="B7800" t="s">
        <v>13</v>
      </c>
      <c r="C7800">
        <v>28</v>
      </c>
      <c r="D7800">
        <v>27</v>
      </c>
      <c r="E7800" t="s">
        <v>17</v>
      </c>
      <c r="F7800">
        <v>27.64</v>
      </c>
      <c r="G7800">
        <v>27.85</v>
      </c>
      <c r="H7800" t="s">
        <v>17</v>
      </c>
      <c r="I7800" t="str">
        <f>"062580011027"</f>
        <v>062580011027</v>
      </c>
    </row>
    <row r="7801" spans="1:9" x14ac:dyDescent="0.25">
      <c r="A7801" t="s">
        <v>6800</v>
      </c>
      <c r="B7801" t="s">
        <v>13</v>
      </c>
      <c r="C7801">
        <v>28</v>
      </c>
      <c r="D7801">
        <v>27.5</v>
      </c>
      <c r="E7801" t="s">
        <v>17</v>
      </c>
      <c r="F7801">
        <v>20.57</v>
      </c>
      <c r="G7801">
        <v>20.91</v>
      </c>
      <c r="H7801" t="s">
        <v>17</v>
      </c>
      <c r="I7801" t="str">
        <f>"062922008665"</f>
        <v>062922008665</v>
      </c>
    </row>
    <row r="7802" spans="1:9" x14ac:dyDescent="0.25">
      <c r="A7802" t="s">
        <v>6801</v>
      </c>
      <c r="B7802" t="s">
        <v>13</v>
      </c>
      <c r="C7802" t="s">
        <v>17</v>
      </c>
      <c r="D7802" t="s">
        <v>14</v>
      </c>
      <c r="E7802" t="s">
        <v>14</v>
      </c>
      <c r="F7802" t="s">
        <v>17</v>
      </c>
      <c r="G7802" t="s">
        <v>14</v>
      </c>
      <c r="H7802" t="s">
        <v>14</v>
      </c>
      <c r="I7802" t="str">
        <f>"062769013602"</f>
        <v>062769013602</v>
      </c>
    </row>
    <row r="7803" spans="1:9" x14ac:dyDescent="0.25">
      <c r="A7803" t="s">
        <v>6802</v>
      </c>
      <c r="B7803" t="s">
        <v>13</v>
      </c>
      <c r="C7803">
        <v>82</v>
      </c>
      <c r="D7803">
        <v>83.9</v>
      </c>
      <c r="E7803" t="s">
        <v>17</v>
      </c>
      <c r="F7803">
        <v>26.21</v>
      </c>
      <c r="G7803">
        <v>26.11</v>
      </c>
      <c r="H7803" t="s">
        <v>17</v>
      </c>
      <c r="I7803" t="str">
        <f>"063315005157"</f>
        <v>063315005157</v>
      </c>
    </row>
    <row r="7804" spans="1:9" x14ac:dyDescent="0.25">
      <c r="A7804" t="s">
        <v>6802</v>
      </c>
      <c r="B7804" t="s">
        <v>13</v>
      </c>
      <c r="C7804">
        <v>65.3</v>
      </c>
      <c r="D7804">
        <v>69.400000000000006</v>
      </c>
      <c r="E7804" t="s">
        <v>17</v>
      </c>
      <c r="F7804">
        <v>26.52</v>
      </c>
      <c r="G7804">
        <v>26.76</v>
      </c>
      <c r="H7804" t="s">
        <v>17</v>
      </c>
      <c r="I7804" t="str">
        <f>"063171004908"</f>
        <v>063171004908</v>
      </c>
    </row>
    <row r="7805" spans="1:9" x14ac:dyDescent="0.25">
      <c r="A7805" t="s">
        <v>6803</v>
      </c>
      <c r="B7805" t="s">
        <v>13</v>
      </c>
      <c r="C7805">
        <v>28.25</v>
      </c>
      <c r="D7805">
        <v>30.4</v>
      </c>
      <c r="E7805" t="s">
        <v>17</v>
      </c>
      <c r="F7805">
        <v>23.82</v>
      </c>
      <c r="G7805">
        <v>24.34</v>
      </c>
      <c r="H7805" t="s">
        <v>17</v>
      </c>
      <c r="I7805" t="str">
        <f>"060846000846"</f>
        <v>060846000846</v>
      </c>
    </row>
    <row r="7806" spans="1:9" x14ac:dyDescent="0.25">
      <c r="A7806" t="s">
        <v>6804</v>
      </c>
      <c r="B7806" t="s">
        <v>13</v>
      </c>
      <c r="C7806">
        <v>49.2</v>
      </c>
      <c r="D7806">
        <v>49</v>
      </c>
      <c r="E7806" t="s">
        <v>17</v>
      </c>
      <c r="F7806">
        <v>27.2</v>
      </c>
      <c r="G7806">
        <v>27.41</v>
      </c>
      <c r="H7806" t="s">
        <v>17</v>
      </c>
      <c r="I7806" t="str">
        <f>"060561000513"</f>
        <v>060561000513</v>
      </c>
    </row>
    <row r="7807" spans="1:9" x14ac:dyDescent="0.25">
      <c r="A7807" t="s">
        <v>6805</v>
      </c>
      <c r="B7807" t="s">
        <v>13</v>
      </c>
      <c r="C7807">
        <v>9.5</v>
      </c>
      <c r="D7807">
        <v>8.34</v>
      </c>
      <c r="E7807" t="s">
        <v>17</v>
      </c>
      <c r="F7807">
        <v>10.11</v>
      </c>
      <c r="G7807">
        <v>14.03</v>
      </c>
      <c r="H7807" t="s">
        <v>17</v>
      </c>
      <c r="I7807" t="str">
        <f>"062271003296"</f>
        <v>062271003296</v>
      </c>
    </row>
    <row r="7808" spans="1:9" x14ac:dyDescent="0.25">
      <c r="A7808" t="s">
        <v>6806</v>
      </c>
      <c r="B7808" t="s">
        <v>13</v>
      </c>
      <c r="C7808">
        <v>23</v>
      </c>
      <c r="D7808">
        <v>26</v>
      </c>
      <c r="E7808" t="s">
        <v>17</v>
      </c>
      <c r="F7808">
        <v>30.48</v>
      </c>
      <c r="G7808">
        <v>26.38</v>
      </c>
      <c r="H7808" t="s">
        <v>17</v>
      </c>
      <c r="I7808" t="str">
        <f>"063417005379"</f>
        <v>063417005379</v>
      </c>
    </row>
    <row r="7809" spans="1:9" x14ac:dyDescent="0.25">
      <c r="A7809" t="s">
        <v>6807</v>
      </c>
      <c r="B7809" t="s">
        <v>13</v>
      </c>
      <c r="C7809">
        <v>20</v>
      </c>
      <c r="D7809">
        <v>19.5</v>
      </c>
      <c r="E7809" t="s">
        <v>17</v>
      </c>
      <c r="F7809">
        <v>26</v>
      </c>
      <c r="G7809">
        <v>26.26</v>
      </c>
      <c r="H7809" t="s">
        <v>17</v>
      </c>
      <c r="I7809" t="str">
        <f>"063132010001"</f>
        <v>063132010001</v>
      </c>
    </row>
    <row r="7810" spans="1:9" x14ac:dyDescent="0.25">
      <c r="A7810" t="s">
        <v>6808</v>
      </c>
      <c r="B7810" t="s">
        <v>13</v>
      </c>
      <c r="C7810">
        <v>23</v>
      </c>
      <c r="D7810">
        <v>23</v>
      </c>
      <c r="E7810" t="s">
        <v>17</v>
      </c>
      <c r="F7810">
        <v>28.96</v>
      </c>
      <c r="G7810">
        <v>28.83</v>
      </c>
      <c r="H7810" t="s">
        <v>17</v>
      </c>
      <c r="I7810" t="str">
        <f>"062622010302"</f>
        <v>062622010302</v>
      </c>
    </row>
    <row r="7811" spans="1:9" x14ac:dyDescent="0.25">
      <c r="A7811" t="s">
        <v>6809</v>
      </c>
      <c r="B7811" t="s">
        <v>13</v>
      </c>
      <c r="C7811" t="s">
        <v>17</v>
      </c>
      <c r="D7811" t="s">
        <v>17</v>
      </c>
      <c r="E7811" t="s">
        <v>17</v>
      </c>
      <c r="F7811" t="s">
        <v>17</v>
      </c>
      <c r="G7811" t="s">
        <v>17</v>
      </c>
      <c r="H7811" t="s">
        <v>17</v>
      </c>
      <c r="I7811" t="str">
        <f>"060273000200"</f>
        <v>060273000200</v>
      </c>
    </row>
    <row r="7812" spans="1:9" x14ac:dyDescent="0.25">
      <c r="A7812" t="s">
        <v>6810</v>
      </c>
      <c r="B7812" t="s">
        <v>13</v>
      </c>
      <c r="C7812">
        <v>45.01</v>
      </c>
      <c r="D7812">
        <v>42</v>
      </c>
      <c r="E7812" t="s">
        <v>17</v>
      </c>
      <c r="F7812">
        <v>21.91</v>
      </c>
      <c r="G7812">
        <v>25.17</v>
      </c>
      <c r="H7812" t="s">
        <v>17</v>
      </c>
      <c r="I7812" t="str">
        <f>"060001409676"</f>
        <v>060001409676</v>
      </c>
    </row>
    <row r="7813" spans="1:9" x14ac:dyDescent="0.25">
      <c r="A7813" t="s">
        <v>6811</v>
      </c>
      <c r="B7813" t="s">
        <v>13</v>
      </c>
      <c r="C7813">
        <v>23</v>
      </c>
      <c r="D7813">
        <v>22</v>
      </c>
      <c r="E7813" t="s">
        <v>17</v>
      </c>
      <c r="F7813">
        <v>23.78</v>
      </c>
      <c r="G7813">
        <v>24.32</v>
      </c>
      <c r="H7813" t="s">
        <v>17</v>
      </c>
      <c r="I7813" t="str">
        <f>"062271003297"</f>
        <v>062271003297</v>
      </c>
    </row>
    <row r="7814" spans="1:9" x14ac:dyDescent="0.25">
      <c r="A7814" t="s">
        <v>6812</v>
      </c>
      <c r="B7814" t="s">
        <v>13</v>
      </c>
      <c r="C7814">
        <v>74.36</v>
      </c>
      <c r="D7814">
        <v>75.14</v>
      </c>
      <c r="E7814" t="s">
        <v>17</v>
      </c>
      <c r="F7814">
        <v>26.18</v>
      </c>
      <c r="G7814">
        <v>26.51</v>
      </c>
      <c r="H7814" t="s">
        <v>17</v>
      </c>
      <c r="I7814" t="str">
        <f>"061488001874"</f>
        <v>061488001874</v>
      </c>
    </row>
    <row r="7815" spans="1:9" x14ac:dyDescent="0.25">
      <c r="A7815" t="s">
        <v>6813</v>
      </c>
      <c r="B7815" t="s">
        <v>13</v>
      </c>
      <c r="C7815">
        <v>73.900000000000006</v>
      </c>
      <c r="D7815">
        <v>76.42</v>
      </c>
      <c r="E7815" t="s">
        <v>17</v>
      </c>
      <c r="F7815">
        <v>30.47</v>
      </c>
      <c r="G7815">
        <v>29.67</v>
      </c>
      <c r="H7815" t="s">
        <v>17</v>
      </c>
      <c r="I7815" t="str">
        <f>"063153010004"</f>
        <v>063153010004</v>
      </c>
    </row>
    <row r="7816" spans="1:9" x14ac:dyDescent="0.25">
      <c r="A7816" t="s">
        <v>6814</v>
      </c>
      <c r="B7816" t="s">
        <v>13</v>
      </c>
      <c r="C7816">
        <v>108</v>
      </c>
      <c r="D7816">
        <v>114.55</v>
      </c>
      <c r="E7816" t="s">
        <v>17</v>
      </c>
      <c r="F7816">
        <v>24.06</v>
      </c>
      <c r="G7816">
        <v>24.31</v>
      </c>
      <c r="H7816" t="s">
        <v>17</v>
      </c>
      <c r="I7816" t="str">
        <f>"064119009203"</f>
        <v>064119009203</v>
      </c>
    </row>
    <row r="7817" spans="1:9" x14ac:dyDescent="0.25">
      <c r="A7817" t="s">
        <v>6815</v>
      </c>
      <c r="B7817" t="s">
        <v>13</v>
      </c>
      <c r="C7817">
        <v>26.1</v>
      </c>
      <c r="D7817">
        <v>26.8</v>
      </c>
      <c r="E7817" t="s">
        <v>17</v>
      </c>
      <c r="F7817">
        <v>26.78</v>
      </c>
      <c r="G7817">
        <v>27.09</v>
      </c>
      <c r="H7817" t="s">
        <v>17</v>
      </c>
      <c r="I7817" t="str">
        <f>"063386005311"</f>
        <v>063386005311</v>
      </c>
    </row>
    <row r="7818" spans="1:9" x14ac:dyDescent="0.25">
      <c r="A7818" t="s">
        <v>6816</v>
      </c>
      <c r="B7818" t="s">
        <v>13</v>
      </c>
      <c r="C7818">
        <v>17.7</v>
      </c>
      <c r="D7818">
        <v>17.7</v>
      </c>
      <c r="E7818" t="s">
        <v>17</v>
      </c>
      <c r="F7818">
        <v>22.66</v>
      </c>
      <c r="G7818">
        <v>22.94</v>
      </c>
      <c r="H7818" t="s">
        <v>17</v>
      </c>
      <c r="I7818" t="str">
        <f>"061389001578"</f>
        <v>061389001578</v>
      </c>
    </row>
    <row r="7819" spans="1:9" x14ac:dyDescent="0.25">
      <c r="A7819" t="s">
        <v>6817</v>
      </c>
      <c r="B7819" t="s">
        <v>13</v>
      </c>
      <c r="C7819">
        <v>67.7</v>
      </c>
      <c r="D7819">
        <v>61.05</v>
      </c>
      <c r="E7819" t="s">
        <v>17</v>
      </c>
      <c r="F7819">
        <v>22.29</v>
      </c>
      <c r="G7819">
        <v>24.41</v>
      </c>
      <c r="H7819" t="s">
        <v>17</v>
      </c>
      <c r="I7819" t="str">
        <f>"060994001081"</f>
        <v>060994001081</v>
      </c>
    </row>
    <row r="7820" spans="1:9" x14ac:dyDescent="0.25">
      <c r="A7820" t="s">
        <v>6818</v>
      </c>
      <c r="B7820" t="s">
        <v>13</v>
      </c>
      <c r="C7820">
        <v>117.95</v>
      </c>
      <c r="D7820">
        <v>107.68</v>
      </c>
      <c r="E7820" t="s">
        <v>17</v>
      </c>
      <c r="F7820">
        <v>29.11</v>
      </c>
      <c r="G7820">
        <v>30.14</v>
      </c>
      <c r="H7820" t="s">
        <v>17</v>
      </c>
      <c r="I7820" t="str">
        <f>"060816001122"</f>
        <v>060816001122</v>
      </c>
    </row>
    <row r="7821" spans="1:9" x14ac:dyDescent="0.25">
      <c r="A7821" t="s">
        <v>6819</v>
      </c>
      <c r="B7821" t="s">
        <v>13</v>
      </c>
      <c r="C7821">
        <v>38.5</v>
      </c>
      <c r="D7821">
        <v>37.5</v>
      </c>
      <c r="E7821" t="s">
        <v>17</v>
      </c>
      <c r="F7821">
        <v>21.35</v>
      </c>
      <c r="G7821">
        <v>23.71</v>
      </c>
      <c r="H7821" t="s">
        <v>17</v>
      </c>
      <c r="I7821" t="str">
        <f>"061630001112"</f>
        <v>061630001112</v>
      </c>
    </row>
    <row r="7822" spans="1:9" x14ac:dyDescent="0.25">
      <c r="A7822" t="s">
        <v>6820</v>
      </c>
      <c r="B7822" t="s">
        <v>13</v>
      </c>
      <c r="C7822">
        <v>22.5</v>
      </c>
      <c r="D7822">
        <v>23</v>
      </c>
      <c r="E7822" t="s">
        <v>17</v>
      </c>
      <c r="F7822">
        <v>22.98</v>
      </c>
      <c r="G7822">
        <v>21.74</v>
      </c>
      <c r="H7822" t="s">
        <v>17</v>
      </c>
      <c r="I7822" t="str">
        <f>"062667009590"</f>
        <v>062667009590</v>
      </c>
    </row>
    <row r="7823" spans="1:9" x14ac:dyDescent="0.25">
      <c r="A7823" t="s">
        <v>6821</v>
      </c>
      <c r="B7823" t="s">
        <v>13</v>
      </c>
      <c r="C7823">
        <v>4.5999999999999996</v>
      </c>
      <c r="D7823">
        <v>4.8499999999999996</v>
      </c>
      <c r="E7823" t="s">
        <v>17</v>
      </c>
      <c r="F7823">
        <v>16.52</v>
      </c>
      <c r="G7823">
        <v>16.079999999999998</v>
      </c>
      <c r="H7823" t="s">
        <v>17</v>
      </c>
      <c r="I7823" t="str">
        <f>"062970008173"</f>
        <v>062970008173</v>
      </c>
    </row>
    <row r="7824" spans="1:9" x14ac:dyDescent="0.25">
      <c r="A7824" t="s">
        <v>6822</v>
      </c>
      <c r="B7824" t="s">
        <v>13</v>
      </c>
      <c r="C7824">
        <v>63.61</v>
      </c>
      <c r="D7824">
        <v>59.8</v>
      </c>
      <c r="E7824" t="s">
        <v>17</v>
      </c>
      <c r="F7824">
        <v>26.9</v>
      </c>
      <c r="G7824">
        <v>26.47</v>
      </c>
      <c r="H7824" t="s">
        <v>17</v>
      </c>
      <c r="I7824" t="str">
        <f>"063864007348"</f>
        <v>063864007348</v>
      </c>
    </row>
    <row r="7825" spans="1:9" x14ac:dyDescent="0.25">
      <c r="A7825" t="s">
        <v>6823</v>
      </c>
      <c r="B7825" t="s">
        <v>13</v>
      </c>
      <c r="C7825">
        <v>49.84</v>
      </c>
      <c r="D7825">
        <v>48.51</v>
      </c>
      <c r="E7825" t="s">
        <v>14</v>
      </c>
      <c r="F7825">
        <v>24.74</v>
      </c>
      <c r="G7825">
        <v>22.76</v>
      </c>
      <c r="H7825" t="s">
        <v>14</v>
      </c>
      <c r="I7825" t="str">
        <f>"062271012898"</f>
        <v>062271012898</v>
      </c>
    </row>
    <row r="7826" spans="1:9" x14ac:dyDescent="0.25">
      <c r="A7826" t="s">
        <v>6824</v>
      </c>
      <c r="B7826" t="s">
        <v>13</v>
      </c>
      <c r="C7826">
        <v>17</v>
      </c>
      <c r="D7826">
        <v>16.010000000000002</v>
      </c>
      <c r="E7826" t="s">
        <v>17</v>
      </c>
      <c r="F7826">
        <v>27.65</v>
      </c>
      <c r="G7826">
        <v>28.92</v>
      </c>
      <c r="H7826" t="s">
        <v>17</v>
      </c>
      <c r="I7826" t="str">
        <f>"062025002442"</f>
        <v>062025002442</v>
      </c>
    </row>
    <row r="7827" spans="1:9" x14ac:dyDescent="0.25">
      <c r="A7827" t="s">
        <v>6824</v>
      </c>
      <c r="B7827" t="s">
        <v>13</v>
      </c>
      <c r="C7827">
        <v>24.7</v>
      </c>
      <c r="D7827">
        <v>24.7</v>
      </c>
      <c r="E7827" t="s">
        <v>17</v>
      </c>
      <c r="F7827">
        <v>20.65</v>
      </c>
      <c r="G7827">
        <v>18.95</v>
      </c>
      <c r="H7827" t="s">
        <v>17</v>
      </c>
      <c r="I7827" t="str">
        <f>"062772004194"</f>
        <v>062772004194</v>
      </c>
    </row>
    <row r="7828" spans="1:9" x14ac:dyDescent="0.25">
      <c r="A7828" t="s">
        <v>6824</v>
      </c>
      <c r="B7828" t="s">
        <v>13</v>
      </c>
      <c r="C7828">
        <v>19.5</v>
      </c>
      <c r="D7828">
        <v>22.5</v>
      </c>
      <c r="E7828" t="s">
        <v>17</v>
      </c>
      <c r="F7828">
        <v>27.18</v>
      </c>
      <c r="G7828">
        <v>25.07</v>
      </c>
      <c r="H7828" t="s">
        <v>17</v>
      </c>
      <c r="I7828" t="str">
        <f>"060002809503"</f>
        <v>060002809503</v>
      </c>
    </row>
    <row r="7829" spans="1:9" x14ac:dyDescent="0.25">
      <c r="A7829" t="s">
        <v>6825</v>
      </c>
      <c r="B7829" t="s">
        <v>13</v>
      </c>
      <c r="C7829">
        <v>24</v>
      </c>
      <c r="D7829">
        <v>23</v>
      </c>
      <c r="E7829" t="s">
        <v>17</v>
      </c>
      <c r="F7829">
        <v>21.67</v>
      </c>
      <c r="G7829">
        <v>22.48</v>
      </c>
      <c r="H7829" t="s">
        <v>17</v>
      </c>
      <c r="I7829" t="str">
        <f>"062211002632"</f>
        <v>062211002632</v>
      </c>
    </row>
    <row r="7830" spans="1:9" x14ac:dyDescent="0.25">
      <c r="A7830" t="s">
        <v>6826</v>
      </c>
      <c r="B7830" t="s">
        <v>13</v>
      </c>
      <c r="C7830">
        <v>3.1</v>
      </c>
      <c r="D7830">
        <v>2.6</v>
      </c>
      <c r="E7830" t="s">
        <v>17</v>
      </c>
      <c r="F7830">
        <v>18.059999999999999</v>
      </c>
      <c r="G7830">
        <v>18.079999999999998</v>
      </c>
      <c r="H7830" t="s">
        <v>17</v>
      </c>
      <c r="I7830" t="str">
        <f>"060297009302"</f>
        <v>060297009302</v>
      </c>
    </row>
    <row r="7831" spans="1:9" x14ac:dyDescent="0.25">
      <c r="A7831" t="s">
        <v>6827</v>
      </c>
      <c r="B7831" t="s">
        <v>13</v>
      </c>
      <c r="C7831">
        <v>45.36</v>
      </c>
      <c r="D7831">
        <v>55.59</v>
      </c>
      <c r="E7831" t="s">
        <v>17</v>
      </c>
      <c r="F7831">
        <v>18.5</v>
      </c>
      <c r="G7831">
        <v>21.14</v>
      </c>
      <c r="H7831" t="s">
        <v>17</v>
      </c>
      <c r="I7831" t="str">
        <f>"063060004743"</f>
        <v>063060004743</v>
      </c>
    </row>
    <row r="7832" spans="1:9" x14ac:dyDescent="0.25">
      <c r="A7832" t="s">
        <v>6828</v>
      </c>
      <c r="B7832" t="s">
        <v>13</v>
      </c>
      <c r="C7832">
        <v>32.4</v>
      </c>
      <c r="D7832">
        <v>31.6</v>
      </c>
      <c r="E7832" t="s">
        <v>17</v>
      </c>
      <c r="F7832">
        <v>23.24</v>
      </c>
      <c r="G7832">
        <v>23.04</v>
      </c>
      <c r="H7832" t="s">
        <v>17</v>
      </c>
      <c r="I7832" t="str">
        <f>"062450003670"</f>
        <v>062450003670</v>
      </c>
    </row>
    <row r="7833" spans="1:9" x14ac:dyDescent="0.25">
      <c r="A7833" t="s">
        <v>6829</v>
      </c>
      <c r="B7833" t="s">
        <v>13</v>
      </c>
      <c r="C7833">
        <v>43.2</v>
      </c>
      <c r="D7833">
        <v>42.17</v>
      </c>
      <c r="E7833" t="s">
        <v>17</v>
      </c>
      <c r="F7833">
        <v>21.76</v>
      </c>
      <c r="G7833">
        <v>21.94</v>
      </c>
      <c r="H7833" t="s">
        <v>17</v>
      </c>
      <c r="I7833" t="str">
        <f>"064119006819"</f>
        <v>064119006819</v>
      </c>
    </row>
    <row r="7834" spans="1:9" x14ac:dyDescent="0.25">
      <c r="A7834" t="s">
        <v>6830</v>
      </c>
      <c r="B7834" t="s">
        <v>13</v>
      </c>
      <c r="C7834">
        <v>17</v>
      </c>
      <c r="D7834">
        <v>17</v>
      </c>
      <c r="E7834" t="s">
        <v>17</v>
      </c>
      <c r="F7834">
        <v>26.47</v>
      </c>
      <c r="G7834">
        <v>27.47</v>
      </c>
      <c r="H7834" t="s">
        <v>17</v>
      </c>
      <c r="I7834" t="str">
        <f>"062955004570"</f>
        <v>062955004570</v>
      </c>
    </row>
    <row r="7835" spans="1:9" x14ac:dyDescent="0.25">
      <c r="A7835" t="s">
        <v>6831</v>
      </c>
      <c r="B7835" t="s">
        <v>13</v>
      </c>
      <c r="C7835" t="s">
        <v>17</v>
      </c>
      <c r="D7835" t="s">
        <v>14</v>
      </c>
      <c r="E7835" t="s">
        <v>14</v>
      </c>
      <c r="F7835" t="s">
        <v>17</v>
      </c>
      <c r="G7835" t="s">
        <v>14</v>
      </c>
      <c r="H7835" t="s">
        <v>14</v>
      </c>
      <c r="I7835" t="str">
        <f>"062955013149"</f>
        <v>062955013149</v>
      </c>
    </row>
    <row r="7836" spans="1:9" x14ac:dyDescent="0.25">
      <c r="A7836" t="s">
        <v>6832</v>
      </c>
      <c r="B7836" t="s">
        <v>13</v>
      </c>
      <c r="C7836">
        <v>41</v>
      </c>
      <c r="D7836">
        <v>41.5</v>
      </c>
      <c r="E7836" t="s">
        <v>17</v>
      </c>
      <c r="F7836">
        <v>24.93</v>
      </c>
      <c r="G7836">
        <v>24.34</v>
      </c>
      <c r="H7836" t="s">
        <v>17</v>
      </c>
      <c r="I7836" t="str">
        <f>"064251010913"</f>
        <v>064251010913</v>
      </c>
    </row>
    <row r="7837" spans="1:9" x14ac:dyDescent="0.25">
      <c r="A7837" t="s">
        <v>6833</v>
      </c>
      <c r="B7837" t="s">
        <v>13</v>
      </c>
      <c r="C7837">
        <v>24.01</v>
      </c>
      <c r="D7837">
        <v>23.08</v>
      </c>
      <c r="E7837" t="s">
        <v>17</v>
      </c>
      <c r="F7837">
        <v>22.12</v>
      </c>
      <c r="G7837">
        <v>23.18</v>
      </c>
      <c r="H7837" t="s">
        <v>17</v>
      </c>
      <c r="I7837" t="str">
        <f>"063513005956"</f>
        <v>063513005956</v>
      </c>
    </row>
    <row r="7838" spans="1:9" x14ac:dyDescent="0.25">
      <c r="A7838" t="s">
        <v>6834</v>
      </c>
      <c r="B7838" t="s">
        <v>13</v>
      </c>
      <c r="C7838">
        <v>28.4</v>
      </c>
      <c r="D7838">
        <v>28.61</v>
      </c>
      <c r="E7838" t="s">
        <v>17</v>
      </c>
      <c r="F7838">
        <v>22.29</v>
      </c>
      <c r="G7838">
        <v>22.54</v>
      </c>
      <c r="H7838" t="s">
        <v>17</v>
      </c>
      <c r="I7838" t="str">
        <f>"063099011831"</f>
        <v>063099011831</v>
      </c>
    </row>
    <row r="7839" spans="1:9" x14ac:dyDescent="0.25">
      <c r="A7839" t="s">
        <v>6835</v>
      </c>
      <c r="B7839" t="s">
        <v>13</v>
      </c>
      <c r="C7839">
        <v>23</v>
      </c>
      <c r="D7839">
        <v>22</v>
      </c>
      <c r="E7839" t="s">
        <v>17</v>
      </c>
      <c r="F7839">
        <v>24.78</v>
      </c>
      <c r="G7839">
        <v>24.91</v>
      </c>
      <c r="H7839" t="s">
        <v>17</v>
      </c>
      <c r="I7839" t="str">
        <f>"060681008802"</f>
        <v>060681008802</v>
      </c>
    </row>
    <row r="7840" spans="1:9" x14ac:dyDescent="0.25">
      <c r="A7840" t="s">
        <v>6836</v>
      </c>
      <c r="B7840" t="s">
        <v>13</v>
      </c>
      <c r="C7840">
        <v>29.2</v>
      </c>
      <c r="D7840">
        <v>28.3</v>
      </c>
      <c r="E7840" t="s">
        <v>17</v>
      </c>
      <c r="F7840">
        <v>29.73</v>
      </c>
      <c r="G7840">
        <v>30.04</v>
      </c>
      <c r="H7840" t="s">
        <v>17</v>
      </c>
      <c r="I7840" t="str">
        <f>"068450007062"</f>
        <v>068450007062</v>
      </c>
    </row>
    <row r="7841" spans="1:9" x14ac:dyDescent="0.25">
      <c r="A7841" t="s">
        <v>6837</v>
      </c>
      <c r="B7841" t="s">
        <v>13</v>
      </c>
      <c r="C7841">
        <v>23.05</v>
      </c>
      <c r="D7841">
        <v>24.05</v>
      </c>
      <c r="E7841" t="s">
        <v>17</v>
      </c>
      <c r="F7841">
        <v>23.38</v>
      </c>
      <c r="G7841">
        <v>24.91</v>
      </c>
      <c r="H7841" t="s">
        <v>17</v>
      </c>
      <c r="I7841" t="str">
        <f>"061734002181"</f>
        <v>061734002181</v>
      </c>
    </row>
    <row r="7842" spans="1:9" x14ac:dyDescent="0.25">
      <c r="A7842" t="s">
        <v>6838</v>
      </c>
      <c r="B7842" t="s">
        <v>13</v>
      </c>
      <c r="C7842">
        <v>16</v>
      </c>
      <c r="D7842">
        <v>19</v>
      </c>
      <c r="E7842" t="s">
        <v>17</v>
      </c>
      <c r="F7842">
        <v>28.75</v>
      </c>
      <c r="G7842">
        <v>25</v>
      </c>
      <c r="H7842" t="s">
        <v>17</v>
      </c>
      <c r="I7842" t="str">
        <f>"062289003502"</f>
        <v>062289003502</v>
      </c>
    </row>
    <row r="7843" spans="1:9" x14ac:dyDescent="0.25">
      <c r="A7843" t="s">
        <v>6839</v>
      </c>
      <c r="B7843" t="s">
        <v>13</v>
      </c>
      <c r="C7843">
        <v>55.01</v>
      </c>
      <c r="D7843">
        <v>55.6</v>
      </c>
      <c r="E7843" t="s">
        <v>17</v>
      </c>
      <c r="F7843">
        <v>27.54</v>
      </c>
      <c r="G7843">
        <v>27.99</v>
      </c>
      <c r="H7843" t="s">
        <v>17</v>
      </c>
      <c r="I7843" t="str">
        <f>"063386002404"</f>
        <v>063386002404</v>
      </c>
    </row>
    <row r="7844" spans="1:9" x14ac:dyDescent="0.25">
      <c r="A7844" t="s">
        <v>6840</v>
      </c>
      <c r="B7844" t="s">
        <v>13</v>
      </c>
      <c r="C7844">
        <v>4.0999999999999996</v>
      </c>
      <c r="D7844">
        <v>3.2</v>
      </c>
      <c r="E7844" t="s">
        <v>17</v>
      </c>
      <c r="F7844">
        <v>20</v>
      </c>
      <c r="G7844">
        <v>19.690000000000001</v>
      </c>
      <c r="H7844" t="s">
        <v>17</v>
      </c>
      <c r="I7844" t="str">
        <f>"060978004178"</f>
        <v>060978004178</v>
      </c>
    </row>
    <row r="7845" spans="1:9" x14ac:dyDescent="0.25">
      <c r="A7845" t="s">
        <v>6841</v>
      </c>
      <c r="B7845" t="s">
        <v>13</v>
      </c>
      <c r="C7845">
        <v>29</v>
      </c>
      <c r="D7845">
        <v>29</v>
      </c>
      <c r="E7845" t="s">
        <v>17</v>
      </c>
      <c r="F7845">
        <v>26</v>
      </c>
      <c r="G7845">
        <v>25.21</v>
      </c>
      <c r="H7845" t="s">
        <v>17</v>
      </c>
      <c r="I7845" t="str">
        <f>"060001709101"</f>
        <v>060001709101</v>
      </c>
    </row>
    <row r="7846" spans="1:9" x14ac:dyDescent="0.25">
      <c r="A7846" t="s">
        <v>6842</v>
      </c>
      <c r="B7846" t="s">
        <v>13</v>
      </c>
      <c r="C7846">
        <v>118.11</v>
      </c>
      <c r="D7846">
        <v>119.36</v>
      </c>
      <c r="E7846" t="s">
        <v>17</v>
      </c>
      <c r="F7846">
        <v>27.74</v>
      </c>
      <c r="G7846">
        <v>27.09</v>
      </c>
      <c r="H7846" t="s">
        <v>17</v>
      </c>
      <c r="I7846" t="str">
        <f>"069113510283"</f>
        <v>069113510283</v>
      </c>
    </row>
    <row r="7847" spans="1:9" x14ac:dyDescent="0.25">
      <c r="A7847" t="s">
        <v>6843</v>
      </c>
      <c r="B7847" t="s">
        <v>13</v>
      </c>
      <c r="C7847">
        <v>47</v>
      </c>
      <c r="D7847">
        <v>48.4</v>
      </c>
      <c r="E7847" t="s">
        <v>17</v>
      </c>
      <c r="F7847">
        <v>27.13</v>
      </c>
      <c r="G7847">
        <v>27.64</v>
      </c>
      <c r="H7847" t="s">
        <v>17</v>
      </c>
      <c r="I7847" t="str">
        <f>"061692012275"</f>
        <v>061692012275</v>
      </c>
    </row>
    <row r="7848" spans="1:9" x14ac:dyDescent="0.25">
      <c r="A7848" t="s">
        <v>6844</v>
      </c>
      <c r="B7848" t="s">
        <v>13</v>
      </c>
      <c r="C7848">
        <v>17</v>
      </c>
      <c r="D7848">
        <v>18</v>
      </c>
      <c r="E7848" t="s">
        <v>17</v>
      </c>
      <c r="F7848">
        <v>24.94</v>
      </c>
      <c r="G7848">
        <v>24.06</v>
      </c>
      <c r="H7848" t="s">
        <v>17</v>
      </c>
      <c r="I7848" t="str">
        <f>"062970004619"</f>
        <v>062970004619</v>
      </c>
    </row>
    <row r="7849" spans="1:9" x14ac:dyDescent="0.25">
      <c r="A7849" t="s">
        <v>6844</v>
      </c>
      <c r="B7849" t="s">
        <v>13</v>
      </c>
      <c r="C7849">
        <v>21</v>
      </c>
      <c r="D7849">
        <v>30</v>
      </c>
      <c r="E7849" t="s">
        <v>17</v>
      </c>
      <c r="F7849">
        <v>28.57</v>
      </c>
      <c r="G7849">
        <v>26.13</v>
      </c>
      <c r="H7849" t="s">
        <v>17</v>
      </c>
      <c r="I7849" t="str">
        <f>"064212009655"</f>
        <v>064212009655</v>
      </c>
    </row>
    <row r="7850" spans="1:9" x14ac:dyDescent="0.25">
      <c r="A7850" t="s">
        <v>6845</v>
      </c>
      <c r="B7850" t="s">
        <v>13</v>
      </c>
      <c r="C7850">
        <v>14.62</v>
      </c>
      <c r="D7850">
        <v>13.44</v>
      </c>
      <c r="E7850" t="s">
        <v>17</v>
      </c>
      <c r="F7850">
        <v>15.6</v>
      </c>
      <c r="G7850">
        <v>14.58</v>
      </c>
      <c r="H7850" t="s">
        <v>17</v>
      </c>
      <c r="I7850" t="str">
        <f>"060002809500"</f>
        <v>060002809500</v>
      </c>
    </row>
    <row r="7851" spans="1:9" x14ac:dyDescent="0.25">
      <c r="A7851" t="s">
        <v>6846</v>
      </c>
      <c r="B7851" t="s">
        <v>13</v>
      </c>
      <c r="C7851">
        <v>26.1</v>
      </c>
      <c r="D7851">
        <v>26.2</v>
      </c>
      <c r="E7851" t="s">
        <v>17</v>
      </c>
      <c r="F7851">
        <v>29.31</v>
      </c>
      <c r="G7851">
        <v>27.67</v>
      </c>
      <c r="H7851" t="s">
        <v>17</v>
      </c>
      <c r="I7851" t="str">
        <f>"062301003512"</f>
        <v>062301003512</v>
      </c>
    </row>
    <row r="7852" spans="1:9" x14ac:dyDescent="0.25">
      <c r="A7852" t="s">
        <v>6847</v>
      </c>
      <c r="B7852" t="s">
        <v>13</v>
      </c>
      <c r="C7852">
        <v>12.01</v>
      </c>
      <c r="D7852">
        <v>11.84</v>
      </c>
      <c r="E7852" t="s">
        <v>17</v>
      </c>
      <c r="F7852">
        <v>24.9</v>
      </c>
      <c r="G7852">
        <v>26.69</v>
      </c>
      <c r="H7852" t="s">
        <v>17</v>
      </c>
      <c r="I7852" t="str">
        <f>"060006810543"</f>
        <v>060006810543</v>
      </c>
    </row>
    <row r="7853" spans="1:9" x14ac:dyDescent="0.25">
      <c r="A7853" t="s">
        <v>6848</v>
      </c>
      <c r="B7853" t="s">
        <v>13</v>
      </c>
      <c r="C7853">
        <v>1</v>
      </c>
      <c r="D7853">
        <v>1</v>
      </c>
      <c r="E7853" t="s">
        <v>17</v>
      </c>
      <c r="F7853">
        <v>10</v>
      </c>
      <c r="G7853">
        <v>8</v>
      </c>
      <c r="H7853" t="s">
        <v>17</v>
      </c>
      <c r="I7853" t="str">
        <f>"063680006240"</f>
        <v>063680006240</v>
      </c>
    </row>
    <row r="7854" spans="1:9" x14ac:dyDescent="0.25">
      <c r="A7854" t="s">
        <v>6849</v>
      </c>
      <c r="B7854" t="s">
        <v>13</v>
      </c>
      <c r="C7854">
        <v>25.67</v>
      </c>
      <c r="D7854">
        <v>26.83</v>
      </c>
      <c r="E7854" t="s">
        <v>17</v>
      </c>
      <c r="F7854">
        <v>28.55</v>
      </c>
      <c r="G7854">
        <v>27.88</v>
      </c>
      <c r="H7854" t="s">
        <v>17</v>
      </c>
      <c r="I7854" t="str">
        <f>"061392001600"</f>
        <v>061392001600</v>
      </c>
    </row>
    <row r="7855" spans="1:9" x14ac:dyDescent="0.25">
      <c r="A7855" t="s">
        <v>6850</v>
      </c>
      <c r="B7855" t="s">
        <v>13</v>
      </c>
      <c r="C7855">
        <v>2</v>
      </c>
      <c r="D7855">
        <v>3.5</v>
      </c>
      <c r="E7855" t="s">
        <v>17</v>
      </c>
      <c r="F7855">
        <v>36</v>
      </c>
      <c r="G7855">
        <v>20</v>
      </c>
      <c r="H7855" t="s">
        <v>17</v>
      </c>
      <c r="I7855" t="str">
        <f>"063762006372"</f>
        <v>063762006372</v>
      </c>
    </row>
    <row r="7856" spans="1:9" x14ac:dyDescent="0.25">
      <c r="A7856" t="s">
        <v>6851</v>
      </c>
      <c r="B7856" t="s">
        <v>13</v>
      </c>
      <c r="C7856">
        <v>43.11</v>
      </c>
      <c r="D7856">
        <v>36.67</v>
      </c>
      <c r="E7856" t="s">
        <v>17</v>
      </c>
      <c r="F7856">
        <v>17.98</v>
      </c>
      <c r="G7856">
        <v>19.91</v>
      </c>
      <c r="H7856" t="s">
        <v>17</v>
      </c>
      <c r="I7856" t="str">
        <f>"062847004400"</f>
        <v>062847004400</v>
      </c>
    </row>
    <row r="7857" spans="1:9" x14ac:dyDescent="0.25">
      <c r="A7857" t="s">
        <v>6852</v>
      </c>
      <c r="B7857" t="s">
        <v>13</v>
      </c>
      <c r="C7857">
        <v>41.83</v>
      </c>
      <c r="D7857">
        <v>47.86</v>
      </c>
      <c r="E7857" t="s">
        <v>17</v>
      </c>
      <c r="F7857">
        <v>33.25</v>
      </c>
      <c r="G7857">
        <v>29.23</v>
      </c>
      <c r="H7857" t="s">
        <v>17</v>
      </c>
      <c r="I7857" t="str">
        <f>"063531007596"</f>
        <v>063531007596</v>
      </c>
    </row>
    <row r="7858" spans="1:9" x14ac:dyDescent="0.25">
      <c r="A7858" t="s">
        <v>6853</v>
      </c>
      <c r="B7858" t="s">
        <v>13</v>
      </c>
      <c r="C7858">
        <v>22</v>
      </c>
      <c r="D7858">
        <v>23</v>
      </c>
      <c r="E7858" t="s">
        <v>17</v>
      </c>
      <c r="F7858">
        <v>23</v>
      </c>
      <c r="G7858">
        <v>24.26</v>
      </c>
      <c r="H7858" t="s">
        <v>17</v>
      </c>
      <c r="I7858" t="str">
        <f>"062271003298"</f>
        <v>062271003298</v>
      </c>
    </row>
    <row r="7859" spans="1:9" x14ac:dyDescent="0.25">
      <c r="A7859" t="s">
        <v>6854</v>
      </c>
      <c r="B7859" t="s">
        <v>13</v>
      </c>
      <c r="C7859">
        <v>33</v>
      </c>
      <c r="D7859">
        <v>33</v>
      </c>
      <c r="E7859" t="s">
        <v>17</v>
      </c>
      <c r="F7859">
        <v>24.09</v>
      </c>
      <c r="G7859">
        <v>24.91</v>
      </c>
      <c r="H7859" t="s">
        <v>17</v>
      </c>
      <c r="I7859" t="str">
        <f>"061233008572"</f>
        <v>061233008572</v>
      </c>
    </row>
    <row r="7860" spans="1:9" x14ac:dyDescent="0.25">
      <c r="A7860" t="s">
        <v>6855</v>
      </c>
      <c r="B7860" t="s">
        <v>13</v>
      </c>
      <c r="C7860">
        <v>38.5</v>
      </c>
      <c r="D7860">
        <v>37.5</v>
      </c>
      <c r="E7860" t="s">
        <v>17</v>
      </c>
      <c r="F7860">
        <v>25.74</v>
      </c>
      <c r="G7860">
        <v>25.95</v>
      </c>
      <c r="H7860" t="s">
        <v>17</v>
      </c>
      <c r="I7860" t="str">
        <f>"062955004564"</f>
        <v>062955004564</v>
      </c>
    </row>
    <row r="7861" spans="1:9" x14ac:dyDescent="0.25">
      <c r="A7861" t="s">
        <v>6856</v>
      </c>
      <c r="B7861" t="s">
        <v>13</v>
      </c>
      <c r="C7861">
        <v>19</v>
      </c>
      <c r="D7861">
        <v>18</v>
      </c>
      <c r="E7861" t="s">
        <v>17</v>
      </c>
      <c r="F7861">
        <v>25.58</v>
      </c>
      <c r="G7861">
        <v>26</v>
      </c>
      <c r="H7861" t="s">
        <v>17</v>
      </c>
      <c r="I7861" t="str">
        <f>"061473001802"</f>
        <v>061473001802</v>
      </c>
    </row>
    <row r="7862" spans="1:9" x14ac:dyDescent="0.25">
      <c r="A7862" t="s">
        <v>6857</v>
      </c>
      <c r="B7862" t="s">
        <v>13</v>
      </c>
      <c r="C7862">
        <v>1</v>
      </c>
      <c r="D7862">
        <v>1</v>
      </c>
      <c r="E7862" t="s">
        <v>17</v>
      </c>
      <c r="F7862">
        <v>2</v>
      </c>
      <c r="G7862">
        <v>1</v>
      </c>
      <c r="H7862" t="s">
        <v>17</v>
      </c>
      <c r="I7862" t="str">
        <f>"060016009210"</f>
        <v>060016009210</v>
      </c>
    </row>
    <row r="7863" spans="1:9" x14ac:dyDescent="0.25">
      <c r="A7863" t="s">
        <v>6858</v>
      </c>
      <c r="B7863" t="s">
        <v>13</v>
      </c>
      <c r="C7863">
        <v>48.04</v>
      </c>
      <c r="D7863">
        <v>50.68</v>
      </c>
      <c r="E7863" t="s">
        <v>17</v>
      </c>
      <c r="F7863">
        <v>23.81</v>
      </c>
      <c r="G7863">
        <v>21.07</v>
      </c>
      <c r="H7863" t="s">
        <v>17</v>
      </c>
      <c r="I7863" t="str">
        <f>"062283003495"</f>
        <v>062283003495</v>
      </c>
    </row>
    <row r="7864" spans="1:9" x14ac:dyDescent="0.25">
      <c r="A7864" t="s">
        <v>6859</v>
      </c>
      <c r="B7864" t="s">
        <v>13</v>
      </c>
      <c r="C7864">
        <v>20</v>
      </c>
      <c r="D7864">
        <v>21</v>
      </c>
      <c r="E7864" t="s">
        <v>17</v>
      </c>
      <c r="F7864">
        <v>25.45</v>
      </c>
      <c r="G7864">
        <v>23.24</v>
      </c>
      <c r="H7864" t="s">
        <v>17</v>
      </c>
      <c r="I7864" t="str">
        <f>"060807000781"</f>
        <v>060807000781</v>
      </c>
    </row>
    <row r="7865" spans="1:9" x14ac:dyDescent="0.25">
      <c r="A7865" t="s">
        <v>6860</v>
      </c>
      <c r="B7865" t="s">
        <v>13</v>
      </c>
      <c r="C7865" t="s">
        <v>17</v>
      </c>
      <c r="D7865">
        <v>1</v>
      </c>
      <c r="E7865" t="s">
        <v>17</v>
      </c>
      <c r="F7865" t="s">
        <v>17</v>
      </c>
      <c r="G7865">
        <v>1</v>
      </c>
      <c r="H7865" t="s">
        <v>17</v>
      </c>
      <c r="I7865" t="str">
        <f>"063192010540"</f>
        <v>063192010540</v>
      </c>
    </row>
    <row r="7866" spans="1:9" x14ac:dyDescent="0.25">
      <c r="A7866" t="s">
        <v>6861</v>
      </c>
      <c r="B7866" t="s">
        <v>13</v>
      </c>
      <c r="C7866">
        <v>5</v>
      </c>
      <c r="D7866">
        <v>4</v>
      </c>
      <c r="E7866" t="s">
        <v>17</v>
      </c>
      <c r="F7866">
        <v>16.399999999999999</v>
      </c>
      <c r="G7866">
        <v>17.75</v>
      </c>
      <c r="H7866" t="s">
        <v>17</v>
      </c>
      <c r="I7866" t="str">
        <f>"063192004918"</f>
        <v>063192004918</v>
      </c>
    </row>
    <row r="7867" spans="1:9" x14ac:dyDescent="0.25">
      <c r="A7867" t="s">
        <v>6862</v>
      </c>
      <c r="B7867" t="s">
        <v>13</v>
      </c>
      <c r="C7867">
        <v>6.02</v>
      </c>
      <c r="D7867">
        <v>6</v>
      </c>
      <c r="E7867" t="s">
        <v>17</v>
      </c>
      <c r="F7867">
        <v>21.93</v>
      </c>
      <c r="G7867">
        <v>10.17</v>
      </c>
      <c r="H7867" t="s">
        <v>17</v>
      </c>
      <c r="I7867" t="str">
        <f>"063618012469"</f>
        <v>063618012469</v>
      </c>
    </row>
    <row r="7868" spans="1:9" x14ac:dyDescent="0.25">
      <c r="A7868" t="s">
        <v>6863</v>
      </c>
      <c r="B7868" t="s">
        <v>13</v>
      </c>
      <c r="C7868">
        <v>13.01</v>
      </c>
      <c r="D7868">
        <v>12.01</v>
      </c>
      <c r="E7868" t="s">
        <v>17</v>
      </c>
      <c r="F7868">
        <v>26.06</v>
      </c>
      <c r="G7868">
        <v>25.98</v>
      </c>
      <c r="H7868" t="s">
        <v>17</v>
      </c>
      <c r="I7868" t="str">
        <f>"062805011556"</f>
        <v>062805011556</v>
      </c>
    </row>
    <row r="7869" spans="1:9" x14ac:dyDescent="0.25">
      <c r="A7869" t="s">
        <v>6864</v>
      </c>
      <c r="B7869" t="s">
        <v>13</v>
      </c>
      <c r="C7869">
        <v>5</v>
      </c>
      <c r="D7869" t="s">
        <v>14</v>
      </c>
      <c r="E7869" t="s">
        <v>14</v>
      </c>
      <c r="F7869">
        <v>22.2</v>
      </c>
      <c r="G7869" t="s">
        <v>14</v>
      </c>
      <c r="H7869" t="s">
        <v>14</v>
      </c>
      <c r="I7869" t="str">
        <f>"063315013116"</f>
        <v>063315013116</v>
      </c>
    </row>
    <row r="7870" spans="1:9" x14ac:dyDescent="0.25">
      <c r="A7870" t="s">
        <v>6865</v>
      </c>
      <c r="B7870" t="s">
        <v>13</v>
      </c>
      <c r="C7870">
        <v>8.75</v>
      </c>
      <c r="D7870">
        <v>9</v>
      </c>
      <c r="E7870" t="s">
        <v>17</v>
      </c>
      <c r="F7870">
        <v>22.74</v>
      </c>
      <c r="G7870">
        <v>22.56</v>
      </c>
      <c r="H7870" t="s">
        <v>17</v>
      </c>
      <c r="I7870" t="str">
        <f>"063195004919"</f>
        <v>063195004919</v>
      </c>
    </row>
    <row r="7871" spans="1:9" x14ac:dyDescent="0.25">
      <c r="A7871" t="s">
        <v>6866</v>
      </c>
      <c r="B7871" t="s">
        <v>13</v>
      </c>
      <c r="C7871" t="s">
        <v>17</v>
      </c>
      <c r="D7871" t="s">
        <v>14</v>
      </c>
      <c r="E7871" t="s">
        <v>14</v>
      </c>
      <c r="F7871" t="s">
        <v>17</v>
      </c>
      <c r="G7871" t="s">
        <v>14</v>
      </c>
      <c r="H7871" t="s">
        <v>14</v>
      </c>
      <c r="I7871" t="str">
        <f>"063195013364"</f>
        <v>063195013364</v>
      </c>
    </row>
    <row r="7872" spans="1:9" x14ac:dyDescent="0.25">
      <c r="A7872" t="s">
        <v>6867</v>
      </c>
      <c r="B7872" t="s">
        <v>13</v>
      </c>
      <c r="C7872">
        <v>16</v>
      </c>
      <c r="D7872">
        <v>17</v>
      </c>
      <c r="E7872" t="s">
        <v>14</v>
      </c>
      <c r="F7872">
        <v>24</v>
      </c>
      <c r="G7872">
        <v>25.29</v>
      </c>
      <c r="H7872" t="s">
        <v>14</v>
      </c>
      <c r="I7872" t="str">
        <f>"062187012687"</f>
        <v>062187012687</v>
      </c>
    </row>
    <row r="7873" spans="1:9" x14ac:dyDescent="0.25">
      <c r="A7873" t="s">
        <v>6867</v>
      </c>
      <c r="B7873" t="s">
        <v>13</v>
      </c>
      <c r="C7873">
        <v>19</v>
      </c>
      <c r="D7873">
        <v>20</v>
      </c>
      <c r="E7873" t="s">
        <v>17</v>
      </c>
      <c r="F7873">
        <v>27.89</v>
      </c>
      <c r="G7873">
        <v>26</v>
      </c>
      <c r="H7873" t="s">
        <v>17</v>
      </c>
      <c r="I7873" t="str">
        <f>"060903011587"</f>
        <v>060903011587</v>
      </c>
    </row>
    <row r="7874" spans="1:9" x14ac:dyDescent="0.25">
      <c r="A7874" t="s">
        <v>6868</v>
      </c>
      <c r="B7874" t="s">
        <v>13</v>
      </c>
      <c r="C7874">
        <v>8</v>
      </c>
      <c r="D7874">
        <v>4.5</v>
      </c>
      <c r="E7874" t="s">
        <v>14</v>
      </c>
      <c r="F7874">
        <v>24.13</v>
      </c>
      <c r="G7874">
        <v>18</v>
      </c>
      <c r="H7874" t="s">
        <v>14</v>
      </c>
      <c r="I7874" t="str">
        <f>"060474012715"</f>
        <v>060474012715</v>
      </c>
    </row>
    <row r="7875" spans="1:9" x14ac:dyDescent="0.25">
      <c r="A7875" t="s">
        <v>6869</v>
      </c>
      <c r="B7875" t="s">
        <v>13</v>
      </c>
      <c r="C7875">
        <v>9.5</v>
      </c>
      <c r="D7875">
        <v>5</v>
      </c>
      <c r="E7875" t="s">
        <v>14</v>
      </c>
      <c r="F7875">
        <v>21.26</v>
      </c>
      <c r="G7875">
        <v>18.8</v>
      </c>
      <c r="H7875" t="s">
        <v>14</v>
      </c>
      <c r="I7875" t="str">
        <f>"060474012792"</f>
        <v>060474012792</v>
      </c>
    </row>
    <row r="7876" spans="1:9" x14ac:dyDescent="0.25">
      <c r="A7876" t="s">
        <v>6870</v>
      </c>
      <c r="B7876" t="s">
        <v>13</v>
      </c>
      <c r="C7876">
        <v>1</v>
      </c>
      <c r="D7876">
        <v>1</v>
      </c>
      <c r="E7876" t="s">
        <v>17</v>
      </c>
      <c r="F7876">
        <v>9</v>
      </c>
      <c r="G7876">
        <v>11</v>
      </c>
      <c r="H7876" t="s">
        <v>17</v>
      </c>
      <c r="I7876" t="str">
        <f>"063201007465"</f>
        <v>063201007465</v>
      </c>
    </row>
    <row r="7877" spans="1:9" x14ac:dyDescent="0.25">
      <c r="A7877" t="s">
        <v>6871</v>
      </c>
      <c r="B7877" t="s">
        <v>13</v>
      </c>
      <c r="C7877">
        <v>31</v>
      </c>
      <c r="D7877">
        <v>29</v>
      </c>
      <c r="E7877" t="s">
        <v>17</v>
      </c>
      <c r="F7877">
        <v>21.94</v>
      </c>
      <c r="G7877">
        <v>22.48</v>
      </c>
      <c r="H7877" t="s">
        <v>17</v>
      </c>
      <c r="I7877" t="str">
        <f>"060939009352"</f>
        <v>060939009352</v>
      </c>
    </row>
    <row r="7878" spans="1:9" x14ac:dyDescent="0.25">
      <c r="A7878" t="s">
        <v>6872</v>
      </c>
      <c r="B7878" t="s">
        <v>13</v>
      </c>
      <c r="C7878">
        <v>25</v>
      </c>
      <c r="D7878">
        <v>27</v>
      </c>
      <c r="E7878" t="s">
        <v>17</v>
      </c>
      <c r="F7878">
        <v>30.16</v>
      </c>
      <c r="G7878">
        <v>27.07</v>
      </c>
      <c r="H7878" t="s">
        <v>17</v>
      </c>
      <c r="I7878" t="str">
        <f>"060903009762"</f>
        <v>060903009762</v>
      </c>
    </row>
    <row r="7879" spans="1:9" x14ac:dyDescent="0.25">
      <c r="A7879" t="s">
        <v>6873</v>
      </c>
      <c r="B7879" t="s">
        <v>13</v>
      </c>
      <c r="C7879">
        <v>1</v>
      </c>
      <c r="D7879">
        <v>1</v>
      </c>
      <c r="E7879" t="s">
        <v>17</v>
      </c>
      <c r="F7879">
        <v>8</v>
      </c>
      <c r="G7879">
        <v>4</v>
      </c>
      <c r="H7879" t="s">
        <v>17</v>
      </c>
      <c r="I7879" t="str">
        <f>"063198007464"</f>
        <v>063198007464</v>
      </c>
    </row>
    <row r="7880" spans="1:9" x14ac:dyDescent="0.25">
      <c r="A7880" t="s">
        <v>6874</v>
      </c>
      <c r="B7880" t="s">
        <v>13</v>
      </c>
      <c r="C7880">
        <v>1</v>
      </c>
      <c r="D7880">
        <v>1</v>
      </c>
      <c r="E7880" t="s">
        <v>17</v>
      </c>
      <c r="F7880">
        <v>6</v>
      </c>
      <c r="G7880">
        <v>3</v>
      </c>
      <c r="H7880" t="s">
        <v>17</v>
      </c>
      <c r="I7880" t="str">
        <f>"063198012681"</f>
        <v>063198012681</v>
      </c>
    </row>
    <row r="7881" spans="1:9" x14ac:dyDescent="0.25">
      <c r="A7881" t="s">
        <v>6875</v>
      </c>
      <c r="B7881" t="s">
        <v>13</v>
      </c>
      <c r="C7881">
        <v>69.06</v>
      </c>
      <c r="D7881">
        <v>72.81</v>
      </c>
      <c r="E7881" t="s">
        <v>17</v>
      </c>
      <c r="F7881">
        <v>20.13</v>
      </c>
      <c r="G7881">
        <v>19.75</v>
      </c>
      <c r="H7881" t="s">
        <v>17</v>
      </c>
      <c r="I7881" t="str">
        <f>"063201004923"</f>
        <v>063201004923</v>
      </c>
    </row>
    <row r="7882" spans="1:9" x14ac:dyDescent="0.25">
      <c r="A7882" t="s">
        <v>6876</v>
      </c>
      <c r="B7882" t="s">
        <v>13</v>
      </c>
      <c r="C7882">
        <v>4</v>
      </c>
      <c r="D7882">
        <v>4</v>
      </c>
      <c r="E7882" t="s">
        <v>17</v>
      </c>
      <c r="F7882">
        <v>28.75</v>
      </c>
      <c r="G7882">
        <v>38.5</v>
      </c>
      <c r="H7882" t="s">
        <v>17</v>
      </c>
      <c r="I7882" t="str">
        <f>"063201008659"</f>
        <v>063201008659</v>
      </c>
    </row>
    <row r="7883" spans="1:9" x14ac:dyDescent="0.25">
      <c r="A7883" t="s">
        <v>6877</v>
      </c>
      <c r="B7883" t="s">
        <v>13</v>
      </c>
      <c r="C7883">
        <v>18.5</v>
      </c>
      <c r="D7883">
        <v>22.5</v>
      </c>
      <c r="E7883" t="s">
        <v>17</v>
      </c>
      <c r="F7883">
        <v>25.62</v>
      </c>
      <c r="G7883">
        <v>21.24</v>
      </c>
      <c r="H7883" t="s">
        <v>17</v>
      </c>
      <c r="I7883" t="str">
        <f>"060002810282"</f>
        <v>060002810282</v>
      </c>
    </row>
    <row r="7884" spans="1:9" x14ac:dyDescent="0.25">
      <c r="A7884" t="s">
        <v>6878</v>
      </c>
      <c r="B7884" t="s">
        <v>13</v>
      </c>
      <c r="C7884">
        <v>17.2</v>
      </c>
      <c r="D7884">
        <v>19</v>
      </c>
      <c r="E7884" t="s">
        <v>17</v>
      </c>
      <c r="F7884">
        <v>30.81</v>
      </c>
      <c r="G7884">
        <v>27.32</v>
      </c>
      <c r="H7884" t="s">
        <v>17</v>
      </c>
      <c r="I7884" t="str">
        <f>"064015008756"</f>
        <v>064015008756</v>
      </c>
    </row>
    <row r="7885" spans="1:9" x14ac:dyDescent="0.25">
      <c r="A7885" t="s">
        <v>6879</v>
      </c>
      <c r="B7885" t="s">
        <v>13</v>
      </c>
      <c r="C7885">
        <v>20</v>
      </c>
      <c r="D7885">
        <v>20</v>
      </c>
      <c r="E7885" t="s">
        <v>17</v>
      </c>
      <c r="F7885">
        <v>28.15</v>
      </c>
      <c r="G7885">
        <v>26.3</v>
      </c>
      <c r="H7885" t="s">
        <v>17</v>
      </c>
      <c r="I7885" t="str">
        <f>"062785002854"</f>
        <v>062785002854</v>
      </c>
    </row>
    <row r="7886" spans="1:9" x14ac:dyDescent="0.25">
      <c r="A7886" t="s">
        <v>6880</v>
      </c>
      <c r="B7886" t="s">
        <v>13</v>
      </c>
      <c r="C7886" t="s">
        <v>17</v>
      </c>
      <c r="D7886" t="s">
        <v>17</v>
      </c>
      <c r="E7886" t="s">
        <v>17</v>
      </c>
      <c r="F7886" t="s">
        <v>17</v>
      </c>
      <c r="G7886" t="s">
        <v>17</v>
      </c>
      <c r="H7886" t="s">
        <v>17</v>
      </c>
      <c r="I7886" t="str">
        <f>"064230008713"</f>
        <v>064230008713</v>
      </c>
    </row>
    <row r="7887" spans="1:9" x14ac:dyDescent="0.25">
      <c r="A7887" t="s">
        <v>6881</v>
      </c>
      <c r="B7887" t="s">
        <v>13</v>
      </c>
      <c r="C7887" t="str">
        <f>"0.80"</f>
        <v>0.80</v>
      </c>
      <c r="D7887" t="str">
        <f>"0.80"</f>
        <v>0.80</v>
      </c>
      <c r="E7887" t="s">
        <v>17</v>
      </c>
      <c r="F7887">
        <v>13.75</v>
      </c>
      <c r="G7887">
        <v>7.5</v>
      </c>
      <c r="H7887" t="s">
        <v>17</v>
      </c>
      <c r="I7887" t="str">
        <f>"061911010309"</f>
        <v>061911010309</v>
      </c>
    </row>
    <row r="7888" spans="1:9" x14ac:dyDescent="0.25">
      <c r="A7888" t="s">
        <v>6882</v>
      </c>
      <c r="B7888" t="s">
        <v>13</v>
      </c>
      <c r="C7888">
        <v>1</v>
      </c>
      <c r="D7888">
        <v>2</v>
      </c>
      <c r="E7888" t="s">
        <v>17</v>
      </c>
      <c r="F7888">
        <v>11</v>
      </c>
      <c r="G7888">
        <v>9</v>
      </c>
      <c r="H7888" t="s">
        <v>17</v>
      </c>
      <c r="I7888" t="str">
        <f>"063204008385"</f>
        <v>063204008385</v>
      </c>
    </row>
    <row r="7889" spans="1:9" x14ac:dyDescent="0.25">
      <c r="A7889" t="s">
        <v>6883</v>
      </c>
      <c r="B7889" t="s">
        <v>13</v>
      </c>
      <c r="C7889">
        <v>15</v>
      </c>
      <c r="D7889">
        <v>15</v>
      </c>
      <c r="E7889" t="s">
        <v>17</v>
      </c>
      <c r="F7889">
        <v>19.8</v>
      </c>
      <c r="G7889">
        <v>21</v>
      </c>
      <c r="H7889" t="s">
        <v>17</v>
      </c>
      <c r="I7889" t="str">
        <f>"063441005659"</f>
        <v>063441005659</v>
      </c>
    </row>
    <row r="7890" spans="1:9" x14ac:dyDescent="0.25">
      <c r="A7890" t="s">
        <v>6884</v>
      </c>
      <c r="B7890" t="s">
        <v>13</v>
      </c>
      <c r="C7890">
        <v>23.88</v>
      </c>
      <c r="D7890">
        <v>24.1</v>
      </c>
      <c r="E7890" t="s">
        <v>17</v>
      </c>
      <c r="F7890">
        <v>22.4</v>
      </c>
      <c r="G7890">
        <v>21.78</v>
      </c>
      <c r="H7890" t="s">
        <v>17</v>
      </c>
      <c r="I7890" t="str">
        <f>"061495012118"</f>
        <v>061495012118</v>
      </c>
    </row>
    <row r="7891" spans="1:9" x14ac:dyDescent="0.25">
      <c r="A7891" t="s">
        <v>6885</v>
      </c>
      <c r="B7891" t="s">
        <v>13</v>
      </c>
      <c r="C7891" t="s">
        <v>17</v>
      </c>
      <c r="D7891" t="s">
        <v>14</v>
      </c>
      <c r="E7891" t="s">
        <v>14</v>
      </c>
      <c r="F7891" t="s">
        <v>17</v>
      </c>
      <c r="G7891" t="s">
        <v>14</v>
      </c>
      <c r="H7891" t="s">
        <v>14</v>
      </c>
      <c r="I7891" t="str">
        <f>"063207013458"</f>
        <v>063207013458</v>
      </c>
    </row>
    <row r="7892" spans="1:9" x14ac:dyDescent="0.25">
      <c r="A7892" t="s">
        <v>6886</v>
      </c>
      <c r="B7892" t="s">
        <v>13</v>
      </c>
      <c r="C7892">
        <v>88.95</v>
      </c>
      <c r="D7892">
        <v>99.2</v>
      </c>
      <c r="E7892" t="s">
        <v>17</v>
      </c>
      <c r="F7892">
        <v>25.5</v>
      </c>
      <c r="G7892">
        <v>24.3</v>
      </c>
      <c r="H7892" t="s">
        <v>17</v>
      </c>
      <c r="I7892" t="str">
        <f>"063207007268"</f>
        <v>063207007268</v>
      </c>
    </row>
    <row r="7893" spans="1:9" x14ac:dyDescent="0.25">
      <c r="A7893" t="s">
        <v>6887</v>
      </c>
      <c r="B7893" t="s">
        <v>13</v>
      </c>
      <c r="C7893">
        <v>96.64</v>
      </c>
      <c r="D7893">
        <v>100.24</v>
      </c>
      <c r="E7893" t="s">
        <v>17</v>
      </c>
      <c r="F7893">
        <v>24.75</v>
      </c>
      <c r="G7893">
        <v>25.51</v>
      </c>
      <c r="H7893" t="s">
        <v>17</v>
      </c>
      <c r="I7893" t="str">
        <f>"063207004946"</f>
        <v>063207004946</v>
      </c>
    </row>
    <row r="7894" spans="1:9" x14ac:dyDescent="0.25">
      <c r="A7894" t="s">
        <v>6888</v>
      </c>
      <c r="B7894" t="s">
        <v>13</v>
      </c>
      <c r="C7894">
        <v>1.1000000000000001</v>
      </c>
      <c r="D7894">
        <v>1</v>
      </c>
      <c r="E7894" t="s">
        <v>17</v>
      </c>
      <c r="F7894">
        <v>11.82</v>
      </c>
      <c r="G7894">
        <v>16</v>
      </c>
      <c r="H7894" t="s">
        <v>17</v>
      </c>
      <c r="I7894" t="str">
        <f>"060003212165"</f>
        <v>060003212165</v>
      </c>
    </row>
    <row r="7895" spans="1:9" x14ac:dyDescent="0.25">
      <c r="A7895" t="s">
        <v>6889</v>
      </c>
      <c r="B7895" t="s">
        <v>13</v>
      </c>
      <c r="C7895">
        <v>4.8</v>
      </c>
      <c r="D7895">
        <v>5.4</v>
      </c>
      <c r="E7895" t="s">
        <v>17</v>
      </c>
      <c r="F7895">
        <v>19.38</v>
      </c>
      <c r="G7895">
        <v>18.329999999999998</v>
      </c>
      <c r="H7895" t="s">
        <v>17</v>
      </c>
      <c r="I7895" t="str">
        <f>"060003202227"</f>
        <v>060003202227</v>
      </c>
    </row>
    <row r="7896" spans="1:9" x14ac:dyDescent="0.25">
      <c r="A7896" t="s">
        <v>6890</v>
      </c>
      <c r="B7896" t="s">
        <v>13</v>
      </c>
      <c r="C7896">
        <v>102.51</v>
      </c>
      <c r="D7896">
        <v>103.5</v>
      </c>
      <c r="E7896" t="s">
        <v>17</v>
      </c>
      <c r="F7896">
        <v>24.79</v>
      </c>
      <c r="G7896">
        <v>24.14</v>
      </c>
      <c r="H7896" t="s">
        <v>17</v>
      </c>
      <c r="I7896" t="str">
        <f>"060003206330"</f>
        <v>060003206330</v>
      </c>
    </row>
    <row r="7897" spans="1:9" x14ac:dyDescent="0.25">
      <c r="A7897" t="s">
        <v>6891</v>
      </c>
      <c r="B7897" t="s">
        <v>13</v>
      </c>
      <c r="C7897">
        <v>12</v>
      </c>
      <c r="D7897">
        <v>11</v>
      </c>
      <c r="E7897" t="s">
        <v>17</v>
      </c>
      <c r="F7897">
        <v>24.83</v>
      </c>
      <c r="G7897">
        <v>27.36</v>
      </c>
      <c r="H7897" t="s">
        <v>17</v>
      </c>
      <c r="I7897" t="str">
        <f>"063759006368"</f>
        <v>063759006368</v>
      </c>
    </row>
    <row r="7898" spans="1:9" x14ac:dyDescent="0.25">
      <c r="A7898" t="s">
        <v>6892</v>
      </c>
      <c r="B7898" t="s">
        <v>13</v>
      </c>
      <c r="C7898">
        <v>8.6199999999999992</v>
      </c>
      <c r="D7898">
        <v>8.0500000000000007</v>
      </c>
      <c r="E7898" t="s">
        <v>17</v>
      </c>
      <c r="F7898">
        <v>17.87</v>
      </c>
      <c r="G7898">
        <v>18.510000000000002</v>
      </c>
      <c r="H7898" t="s">
        <v>17</v>
      </c>
      <c r="I7898" t="str">
        <f>"064030008520"</f>
        <v>064030008520</v>
      </c>
    </row>
    <row r="7899" spans="1:9" x14ac:dyDescent="0.25">
      <c r="A7899" t="s">
        <v>6893</v>
      </c>
      <c r="B7899" t="s">
        <v>13</v>
      </c>
      <c r="C7899" t="s">
        <v>17</v>
      </c>
      <c r="D7899" t="s">
        <v>14</v>
      </c>
      <c r="E7899" t="s">
        <v>14</v>
      </c>
      <c r="F7899" t="s">
        <v>17</v>
      </c>
      <c r="G7899" t="s">
        <v>14</v>
      </c>
      <c r="H7899" t="s">
        <v>14</v>
      </c>
      <c r="I7899" t="str">
        <f>"060300013192"</f>
        <v>060300013192</v>
      </c>
    </row>
    <row r="7900" spans="1:9" x14ac:dyDescent="0.25">
      <c r="A7900" t="s">
        <v>6894</v>
      </c>
      <c r="B7900" t="s">
        <v>13</v>
      </c>
      <c r="C7900">
        <v>10</v>
      </c>
      <c r="D7900">
        <v>9</v>
      </c>
      <c r="E7900" t="s">
        <v>17</v>
      </c>
      <c r="F7900">
        <v>10.6</v>
      </c>
      <c r="G7900">
        <v>11.56</v>
      </c>
      <c r="H7900" t="s">
        <v>17</v>
      </c>
      <c r="I7900" t="str">
        <f>"063264012471"</f>
        <v>063264012471</v>
      </c>
    </row>
    <row r="7901" spans="1:9" x14ac:dyDescent="0.25">
      <c r="A7901" t="s">
        <v>6895</v>
      </c>
      <c r="B7901" t="s">
        <v>13</v>
      </c>
      <c r="C7901">
        <v>9</v>
      </c>
      <c r="D7901">
        <v>9.6999999999999993</v>
      </c>
      <c r="E7901" t="s">
        <v>17</v>
      </c>
      <c r="F7901">
        <v>15.11</v>
      </c>
      <c r="G7901">
        <v>15.46</v>
      </c>
      <c r="H7901" t="s">
        <v>17</v>
      </c>
      <c r="I7901" t="str">
        <f>"060780000744"</f>
        <v>060780000744</v>
      </c>
    </row>
    <row r="7902" spans="1:9" x14ac:dyDescent="0.25">
      <c r="A7902" t="s">
        <v>6896</v>
      </c>
      <c r="B7902" t="s">
        <v>13</v>
      </c>
      <c r="C7902">
        <v>22.58</v>
      </c>
      <c r="D7902">
        <v>24.59</v>
      </c>
      <c r="E7902" t="s">
        <v>17</v>
      </c>
      <c r="F7902">
        <v>28.96</v>
      </c>
      <c r="G7902">
        <v>27.33</v>
      </c>
      <c r="H7902" t="s">
        <v>17</v>
      </c>
      <c r="I7902" t="str">
        <f>"061392001601"</f>
        <v>061392001601</v>
      </c>
    </row>
    <row r="7903" spans="1:9" x14ac:dyDescent="0.25">
      <c r="A7903" t="s">
        <v>6896</v>
      </c>
      <c r="B7903" t="s">
        <v>13</v>
      </c>
      <c r="C7903">
        <v>25.25</v>
      </c>
      <c r="D7903">
        <v>26.23</v>
      </c>
      <c r="E7903" t="s">
        <v>17</v>
      </c>
      <c r="F7903">
        <v>17.82</v>
      </c>
      <c r="G7903">
        <v>16.09</v>
      </c>
      <c r="H7903" t="s">
        <v>17</v>
      </c>
      <c r="I7903" t="str">
        <f>"061407001614"</f>
        <v>061407001614</v>
      </c>
    </row>
    <row r="7904" spans="1:9" x14ac:dyDescent="0.25">
      <c r="A7904" t="s">
        <v>6896</v>
      </c>
      <c r="B7904" t="s">
        <v>13</v>
      </c>
      <c r="C7904">
        <v>21</v>
      </c>
      <c r="D7904">
        <v>21</v>
      </c>
      <c r="E7904" t="s">
        <v>17</v>
      </c>
      <c r="F7904">
        <v>22.43</v>
      </c>
      <c r="G7904">
        <v>23.95</v>
      </c>
      <c r="H7904" t="s">
        <v>17</v>
      </c>
      <c r="I7904" t="str">
        <f>"061077001198"</f>
        <v>061077001198</v>
      </c>
    </row>
    <row r="7905" spans="1:9" x14ac:dyDescent="0.25">
      <c r="A7905" t="s">
        <v>6896</v>
      </c>
      <c r="B7905" t="s">
        <v>13</v>
      </c>
      <c r="C7905">
        <v>40</v>
      </c>
      <c r="D7905">
        <v>42.28</v>
      </c>
      <c r="E7905" t="s">
        <v>17</v>
      </c>
      <c r="F7905">
        <v>26.53</v>
      </c>
      <c r="G7905">
        <v>24.15</v>
      </c>
      <c r="H7905" t="s">
        <v>17</v>
      </c>
      <c r="I7905" t="str">
        <f>"062145009564"</f>
        <v>062145009564</v>
      </c>
    </row>
    <row r="7906" spans="1:9" x14ac:dyDescent="0.25">
      <c r="A7906" t="s">
        <v>6897</v>
      </c>
      <c r="B7906" t="s">
        <v>13</v>
      </c>
      <c r="C7906">
        <v>16</v>
      </c>
      <c r="D7906">
        <v>14</v>
      </c>
      <c r="E7906" t="s">
        <v>17</v>
      </c>
      <c r="F7906">
        <v>23.44</v>
      </c>
      <c r="G7906">
        <v>24.71</v>
      </c>
      <c r="H7906" t="s">
        <v>17</v>
      </c>
      <c r="I7906" t="str">
        <f>"062805004310"</f>
        <v>062805004310</v>
      </c>
    </row>
    <row r="7907" spans="1:9" x14ac:dyDescent="0.25">
      <c r="A7907" t="s">
        <v>6898</v>
      </c>
      <c r="B7907" t="s">
        <v>13</v>
      </c>
      <c r="C7907">
        <v>81.28</v>
      </c>
      <c r="D7907">
        <v>76.819999999999993</v>
      </c>
      <c r="E7907" t="s">
        <v>17</v>
      </c>
      <c r="F7907">
        <v>24.89</v>
      </c>
      <c r="G7907">
        <v>26.14</v>
      </c>
      <c r="H7907" t="s">
        <v>17</v>
      </c>
      <c r="I7907" t="str">
        <f>"064116006803"</f>
        <v>064116006803</v>
      </c>
    </row>
    <row r="7908" spans="1:9" x14ac:dyDescent="0.25">
      <c r="A7908" t="s">
        <v>6898</v>
      </c>
      <c r="B7908" t="s">
        <v>13</v>
      </c>
      <c r="C7908">
        <v>82.27</v>
      </c>
      <c r="D7908">
        <v>78.2</v>
      </c>
      <c r="E7908" t="s">
        <v>17</v>
      </c>
      <c r="F7908">
        <v>18.66</v>
      </c>
      <c r="G7908">
        <v>18.62</v>
      </c>
      <c r="H7908" t="s">
        <v>17</v>
      </c>
      <c r="I7908" t="str">
        <f>"063879006523"</f>
        <v>063879006523</v>
      </c>
    </row>
    <row r="7909" spans="1:9" x14ac:dyDescent="0.25">
      <c r="A7909" t="s">
        <v>6898</v>
      </c>
      <c r="B7909" t="s">
        <v>13</v>
      </c>
      <c r="C7909">
        <v>14.2</v>
      </c>
      <c r="D7909">
        <v>15.2</v>
      </c>
      <c r="E7909" t="s">
        <v>17</v>
      </c>
      <c r="F7909">
        <v>22.04</v>
      </c>
      <c r="G7909">
        <v>22.37</v>
      </c>
      <c r="H7909" t="s">
        <v>17</v>
      </c>
      <c r="I7909" t="str">
        <f>"063639006196"</f>
        <v>063639006196</v>
      </c>
    </row>
    <row r="7910" spans="1:9" x14ac:dyDescent="0.25">
      <c r="A7910" t="s">
        <v>6899</v>
      </c>
      <c r="B7910" t="s">
        <v>13</v>
      </c>
      <c r="C7910" t="s">
        <v>17</v>
      </c>
      <c r="D7910" t="s">
        <v>17</v>
      </c>
      <c r="E7910" t="s">
        <v>17</v>
      </c>
      <c r="F7910" t="s">
        <v>17</v>
      </c>
      <c r="G7910" t="s">
        <v>17</v>
      </c>
      <c r="H7910" t="s">
        <v>17</v>
      </c>
      <c r="I7910" t="str">
        <f>"060966508216"</f>
        <v>060966508216</v>
      </c>
    </row>
    <row r="7911" spans="1:9" x14ac:dyDescent="0.25">
      <c r="A7911" t="s">
        <v>6900</v>
      </c>
      <c r="B7911" t="s">
        <v>13</v>
      </c>
      <c r="C7911">
        <v>40.85</v>
      </c>
      <c r="D7911">
        <v>43.07</v>
      </c>
      <c r="E7911" t="s">
        <v>17</v>
      </c>
      <c r="F7911">
        <v>20.98</v>
      </c>
      <c r="G7911">
        <v>20.2</v>
      </c>
      <c r="H7911" t="s">
        <v>17</v>
      </c>
      <c r="I7911" t="str">
        <f>"063591006150"</f>
        <v>063591006150</v>
      </c>
    </row>
    <row r="7912" spans="1:9" x14ac:dyDescent="0.25">
      <c r="A7912" t="s">
        <v>6900</v>
      </c>
      <c r="B7912" t="s">
        <v>13</v>
      </c>
      <c r="C7912">
        <v>41.62</v>
      </c>
      <c r="D7912">
        <v>44.63</v>
      </c>
      <c r="E7912" t="s">
        <v>17</v>
      </c>
      <c r="F7912">
        <v>25.18</v>
      </c>
      <c r="G7912">
        <v>24.33</v>
      </c>
      <c r="H7912" t="s">
        <v>17</v>
      </c>
      <c r="I7912" t="str">
        <f>"060964001022"</f>
        <v>060964001022</v>
      </c>
    </row>
    <row r="7913" spans="1:9" x14ac:dyDescent="0.25">
      <c r="A7913" t="s">
        <v>6900</v>
      </c>
      <c r="B7913" t="s">
        <v>13</v>
      </c>
      <c r="C7913">
        <v>42.5</v>
      </c>
      <c r="D7913">
        <v>42.93</v>
      </c>
      <c r="E7913" t="s">
        <v>17</v>
      </c>
      <c r="F7913">
        <v>23.32</v>
      </c>
      <c r="G7913">
        <v>23.27</v>
      </c>
      <c r="H7913" t="s">
        <v>17</v>
      </c>
      <c r="I7913" t="str">
        <f>"062664004028"</f>
        <v>062664004028</v>
      </c>
    </row>
    <row r="7914" spans="1:9" x14ac:dyDescent="0.25">
      <c r="A7914" t="s">
        <v>6901</v>
      </c>
      <c r="B7914" t="s">
        <v>13</v>
      </c>
      <c r="C7914" t="s">
        <v>14</v>
      </c>
      <c r="D7914">
        <v>4.5</v>
      </c>
      <c r="E7914" t="s">
        <v>14</v>
      </c>
      <c r="F7914" t="s">
        <v>14</v>
      </c>
      <c r="G7914">
        <v>22.44</v>
      </c>
      <c r="H7914" t="s">
        <v>14</v>
      </c>
      <c r="I7914" t="str">
        <f>"063333012857"</f>
        <v>063333012857</v>
      </c>
    </row>
    <row r="7915" spans="1:9" x14ac:dyDescent="0.25">
      <c r="A7915" t="s">
        <v>6901</v>
      </c>
      <c r="B7915" t="s">
        <v>13</v>
      </c>
      <c r="C7915" t="s">
        <v>17</v>
      </c>
      <c r="D7915" t="s">
        <v>14</v>
      </c>
      <c r="E7915" t="s">
        <v>14</v>
      </c>
      <c r="F7915" t="s">
        <v>17</v>
      </c>
      <c r="G7915" t="s">
        <v>14</v>
      </c>
      <c r="H7915" t="s">
        <v>14</v>
      </c>
      <c r="I7915" t="str">
        <f>"060142012857"</f>
        <v>060142012857</v>
      </c>
    </row>
    <row r="7916" spans="1:9" x14ac:dyDescent="0.25">
      <c r="A7916" t="s">
        <v>6902</v>
      </c>
      <c r="B7916" t="s">
        <v>13</v>
      </c>
      <c r="C7916">
        <v>20.25</v>
      </c>
      <c r="D7916">
        <v>15.5</v>
      </c>
      <c r="E7916" t="s">
        <v>17</v>
      </c>
      <c r="F7916">
        <v>21.04</v>
      </c>
      <c r="G7916">
        <v>22.39</v>
      </c>
      <c r="H7916" t="s">
        <v>17</v>
      </c>
      <c r="I7916" t="str">
        <f>"060453012574"</f>
        <v>060453012574</v>
      </c>
    </row>
    <row r="7917" spans="1:9" x14ac:dyDescent="0.25">
      <c r="A7917" t="s">
        <v>6903</v>
      </c>
      <c r="B7917" t="s">
        <v>13</v>
      </c>
      <c r="C7917">
        <v>21.4</v>
      </c>
      <c r="D7917">
        <v>21.4</v>
      </c>
      <c r="E7917" t="s">
        <v>17</v>
      </c>
      <c r="F7917">
        <v>23.97</v>
      </c>
      <c r="G7917">
        <v>23.22</v>
      </c>
      <c r="H7917" t="s">
        <v>17</v>
      </c>
      <c r="I7917" t="str">
        <f>"063459005734"</f>
        <v>063459005734</v>
      </c>
    </row>
    <row r="7918" spans="1:9" x14ac:dyDescent="0.25">
      <c r="A7918" t="s">
        <v>6903</v>
      </c>
      <c r="B7918" t="s">
        <v>13</v>
      </c>
      <c r="C7918">
        <v>26.33</v>
      </c>
      <c r="D7918">
        <v>26.24</v>
      </c>
      <c r="E7918" t="s">
        <v>17</v>
      </c>
      <c r="F7918">
        <v>20.36</v>
      </c>
      <c r="G7918">
        <v>19.32</v>
      </c>
      <c r="H7918" t="s">
        <v>17</v>
      </c>
      <c r="I7918" t="str">
        <f>"063216004976"</f>
        <v>063216004976</v>
      </c>
    </row>
    <row r="7919" spans="1:9" x14ac:dyDescent="0.25">
      <c r="A7919" t="s">
        <v>6904</v>
      </c>
      <c r="B7919" t="s">
        <v>13</v>
      </c>
      <c r="C7919">
        <v>75.98</v>
      </c>
      <c r="D7919">
        <v>78.459999999999994</v>
      </c>
      <c r="E7919" t="s">
        <v>17</v>
      </c>
      <c r="F7919">
        <v>25.56</v>
      </c>
      <c r="G7919">
        <v>24.53</v>
      </c>
      <c r="H7919" t="s">
        <v>17</v>
      </c>
      <c r="I7919" t="str">
        <f>"061970002374"</f>
        <v>061970002374</v>
      </c>
    </row>
    <row r="7920" spans="1:9" x14ac:dyDescent="0.25">
      <c r="A7920" t="s">
        <v>6905</v>
      </c>
      <c r="B7920" t="s">
        <v>13</v>
      </c>
      <c r="C7920">
        <v>2.6</v>
      </c>
      <c r="D7920" t="s">
        <v>14</v>
      </c>
      <c r="E7920" t="s">
        <v>14</v>
      </c>
      <c r="F7920">
        <v>7.69</v>
      </c>
      <c r="G7920" t="s">
        <v>14</v>
      </c>
      <c r="H7920" t="s">
        <v>14</v>
      </c>
      <c r="I7920" t="str">
        <f>"061970013141"</f>
        <v>061970013141</v>
      </c>
    </row>
    <row r="7921" spans="1:9" x14ac:dyDescent="0.25">
      <c r="A7921" t="s">
        <v>6906</v>
      </c>
      <c r="B7921" t="s">
        <v>13</v>
      </c>
      <c r="C7921">
        <v>4.5</v>
      </c>
      <c r="D7921">
        <v>6</v>
      </c>
      <c r="E7921" t="s">
        <v>17</v>
      </c>
      <c r="F7921">
        <v>26.22</v>
      </c>
      <c r="G7921">
        <v>23</v>
      </c>
      <c r="H7921" t="s">
        <v>17</v>
      </c>
      <c r="I7921" t="str">
        <f>"063225004979"</f>
        <v>063225004979</v>
      </c>
    </row>
    <row r="7922" spans="1:9" x14ac:dyDescent="0.25">
      <c r="A7922" t="s">
        <v>6907</v>
      </c>
      <c r="B7922" t="s">
        <v>13</v>
      </c>
      <c r="C7922">
        <v>21.5</v>
      </c>
      <c r="D7922">
        <v>18.87</v>
      </c>
      <c r="E7922" t="s">
        <v>17</v>
      </c>
      <c r="F7922">
        <v>17.809999999999999</v>
      </c>
      <c r="G7922">
        <v>17.649999999999999</v>
      </c>
      <c r="H7922" t="s">
        <v>17</v>
      </c>
      <c r="I7922" t="str">
        <f>"063227010227"</f>
        <v>063227010227</v>
      </c>
    </row>
    <row r="7923" spans="1:9" x14ac:dyDescent="0.25">
      <c r="A7923" t="s">
        <v>6908</v>
      </c>
      <c r="B7923" t="s">
        <v>13</v>
      </c>
      <c r="C7923">
        <v>1</v>
      </c>
      <c r="D7923">
        <v>1</v>
      </c>
      <c r="E7923" t="s">
        <v>17</v>
      </c>
      <c r="F7923">
        <v>3</v>
      </c>
      <c r="G7923">
        <v>4</v>
      </c>
      <c r="H7923" t="s">
        <v>17</v>
      </c>
      <c r="I7923" t="str">
        <f>"063227008000"</f>
        <v>063227008000</v>
      </c>
    </row>
    <row r="7924" spans="1:9" x14ac:dyDescent="0.25">
      <c r="A7924" t="s">
        <v>6909</v>
      </c>
      <c r="B7924" t="s">
        <v>13</v>
      </c>
      <c r="C7924">
        <v>1</v>
      </c>
      <c r="D7924">
        <v>1</v>
      </c>
      <c r="E7924" t="s">
        <v>17</v>
      </c>
      <c r="F7924">
        <v>7</v>
      </c>
      <c r="G7924">
        <v>8</v>
      </c>
      <c r="H7924" t="s">
        <v>17</v>
      </c>
      <c r="I7924" t="str">
        <f>"063227007999"</f>
        <v>063227007999</v>
      </c>
    </row>
    <row r="7925" spans="1:9" x14ac:dyDescent="0.25">
      <c r="A7925" t="s">
        <v>6910</v>
      </c>
      <c r="B7925" t="s">
        <v>13</v>
      </c>
      <c r="C7925">
        <v>18</v>
      </c>
      <c r="D7925">
        <v>20</v>
      </c>
      <c r="E7925" t="s">
        <v>17</v>
      </c>
      <c r="F7925">
        <v>17.61</v>
      </c>
      <c r="G7925">
        <v>17.95</v>
      </c>
      <c r="H7925" t="s">
        <v>17</v>
      </c>
      <c r="I7925" t="str">
        <f>"062805007941"</f>
        <v>062805007941</v>
      </c>
    </row>
    <row r="7926" spans="1:9" x14ac:dyDescent="0.25">
      <c r="A7926" t="s">
        <v>6911</v>
      </c>
      <c r="B7926" t="s">
        <v>13</v>
      </c>
      <c r="C7926">
        <v>2</v>
      </c>
      <c r="D7926">
        <v>1.6</v>
      </c>
      <c r="E7926" t="s">
        <v>17</v>
      </c>
      <c r="F7926">
        <v>11.5</v>
      </c>
      <c r="G7926">
        <v>16.88</v>
      </c>
      <c r="H7926" t="s">
        <v>17</v>
      </c>
      <c r="I7926" t="str">
        <f>"063585007361"</f>
        <v>063585007361</v>
      </c>
    </row>
    <row r="7927" spans="1:9" x14ac:dyDescent="0.25">
      <c r="A7927" t="s">
        <v>6912</v>
      </c>
      <c r="B7927" t="s">
        <v>13</v>
      </c>
      <c r="C7927">
        <v>31.5</v>
      </c>
      <c r="D7927">
        <v>32</v>
      </c>
      <c r="E7927" t="s">
        <v>17</v>
      </c>
      <c r="F7927">
        <v>27.46</v>
      </c>
      <c r="G7927">
        <v>27.06</v>
      </c>
      <c r="H7927" t="s">
        <v>17</v>
      </c>
      <c r="I7927" t="str">
        <f>"060133211730"</f>
        <v>060133211730</v>
      </c>
    </row>
    <row r="7928" spans="1:9" x14ac:dyDescent="0.25">
      <c r="A7928" t="s">
        <v>6913</v>
      </c>
      <c r="B7928" t="s">
        <v>13</v>
      </c>
      <c r="C7928">
        <v>26.21</v>
      </c>
      <c r="D7928">
        <v>27.4</v>
      </c>
      <c r="E7928" t="s">
        <v>17</v>
      </c>
      <c r="F7928">
        <v>23.66</v>
      </c>
      <c r="G7928">
        <v>21.82</v>
      </c>
      <c r="H7928" t="s">
        <v>17</v>
      </c>
      <c r="I7928" t="str">
        <f>"062769002165"</f>
        <v>062769002165</v>
      </c>
    </row>
    <row r="7929" spans="1:9" x14ac:dyDescent="0.25">
      <c r="A7929" t="s">
        <v>6914</v>
      </c>
      <c r="B7929" t="s">
        <v>13</v>
      </c>
      <c r="C7929">
        <v>10</v>
      </c>
      <c r="D7929">
        <v>14.6</v>
      </c>
      <c r="E7929" t="s">
        <v>17</v>
      </c>
      <c r="F7929">
        <v>34</v>
      </c>
      <c r="G7929">
        <v>27.12</v>
      </c>
      <c r="H7929" t="s">
        <v>17</v>
      </c>
      <c r="I7929" t="str">
        <f>"062250002753"</f>
        <v>062250002753</v>
      </c>
    </row>
    <row r="7930" spans="1:9" x14ac:dyDescent="0.25">
      <c r="A7930" t="s">
        <v>6915</v>
      </c>
      <c r="B7930" t="s">
        <v>13</v>
      </c>
      <c r="C7930">
        <v>28</v>
      </c>
      <c r="D7930">
        <v>29</v>
      </c>
      <c r="E7930" t="s">
        <v>17</v>
      </c>
      <c r="F7930">
        <v>24.93</v>
      </c>
      <c r="G7930">
        <v>24.1</v>
      </c>
      <c r="H7930" t="s">
        <v>17</v>
      </c>
      <c r="I7930" t="str">
        <f>"061288011130"</f>
        <v>061288011130</v>
      </c>
    </row>
    <row r="7931" spans="1:9" x14ac:dyDescent="0.25">
      <c r="A7931" t="s">
        <v>6916</v>
      </c>
      <c r="B7931" t="s">
        <v>13</v>
      </c>
      <c r="C7931">
        <v>1</v>
      </c>
      <c r="D7931" t="str">
        <f>"0.50"</f>
        <v>0.50</v>
      </c>
      <c r="E7931" t="s">
        <v>17</v>
      </c>
      <c r="F7931">
        <v>16</v>
      </c>
      <c r="G7931">
        <v>32</v>
      </c>
      <c r="H7931" t="s">
        <v>17</v>
      </c>
      <c r="I7931" t="str">
        <f>"060582007095"</f>
        <v>060582007095</v>
      </c>
    </row>
    <row r="7932" spans="1:9" x14ac:dyDescent="0.25">
      <c r="A7932" t="s">
        <v>6917</v>
      </c>
      <c r="B7932" t="s">
        <v>13</v>
      </c>
      <c r="C7932">
        <v>11.7</v>
      </c>
      <c r="D7932">
        <v>11.5</v>
      </c>
      <c r="E7932" t="s">
        <v>17</v>
      </c>
      <c r="F7932">
        <v>24.53</v>
      </c>
      <c r="G7932">
        <v>25.04</v>
      </c>
      <c r="H7932" t="s">
        <v>17</v>
      </c>
      <c r="I7932" t="str">
        <f>"060231011446"</f>
        <v>060231011446</v>
      </c>
    </row>
    <row r="7933" spans="1:9" x14ac:dyDescent="0.25">
      <c r="A7933" t="s">
        <v>6918</v>
      </c>
      <c r="B7933" t="s">
        <v>13</v>
      </c>
      <c r="C7933">
        <v>7.99</v>
      </c>
      <c r="D7933">
        <v>5</v>
      </c>
      <c r="E7933" t="s">
        <v>17</v>
      </c>
      <c r="F7933">
        <v>43.68</v>
      </c>
      <c r="G7933">
        <v>65.8</v>
      </c>
      <c r="H7933" t="s">
        <v>17</v>
      </c>
      <c r="I7933" t="str">
        <f>"062271011314"</f>
        <v>062271011314</v>
      </c>
    </row>
    <row r="7934" spans="1:9" x14ac:dyDescent="0.25">
      <c r="A7934" t="s">
        <v>6919</v>
      </c>
      <c r="B7934" t="s">
        <v>13</v>
      </c>
      <c r="C7934">
        <v>5.75</v>
      </c>
      <c r="D7934" t="s">
        <v>14</v>
      </c>
      <c r="E7934" t="s">
        <v>14</v>
      </c>
      <c r="F7934">
        <v>17.22</v>
      </c>
      <c r="G7934" t="s">
        <v>14</v>
      </c>
      <c r="H7934" t="s">
        <v>14</v>
      </c>
      <c r="I7934" t="str">
        <f>"060231013126"</f>
        <v>060231013126</v>
      </c>
    </row>
    <row r="7935" spans="1:9" x14ac:dyDescent="0.25">
      <c r="A7935" t="s">
        <v>6920</v>
      </c>
      <c r="B7935" t="s">
        <v>13</v>
      </c>
      <c r="C7935">
        <v>23</v>
      </c>
      <c r="D7935">
        <v>23</v>
      </c>
      <c r="E7935" t="s">
        <v>17</v>
      </c>
      <c r="F7935">
        <v>11.3</v>
      </c>
      <c r="G7935">
        <v>11.87</v>
      </c>
      <c r="H7935" t="s">
        <v>17</v>
      </c>
      <c r="I7935" t="str">
        <f>"069107808010"</f>
        <v>069107808010</v>
      </c>
    </row>
    <row r="7936" spans="1:9" x14ac:dyDescent="0.25">
      <c r="A7936" t="s">
        <v>6921</v>
      </c>
      <c r="B7936" t="s">
        <v>13</v>
      </c>
      <c r="C7936">
        <v>1</v>
      </c>
      <c r="D7936">
        <v>1</v>
      </c>
      <c r="E7936" t="s">
        <v>17</v>
      </c>
      <c r="F7936">
        <v>15</v>
      </c>
      <c r="G7936">
        <v>9</v>
      </c>
      <c r="H7936" t="s">
        <v>17</v>
      </c>
      <c r="I7936" t="str">
        <f>"069101407934"</f>
        <v>069101407934</v>
      </c>
    </row>
    <row r="7937" spans="1:9" x14ac:dyDescent="0.25">
      <c r="A7937" t="s">
        <v>6922</v>
      </c>
      <c r="B7937" t="s">
        <v>13</v>
      </c>
      <c r="C7937">
        <v>5.5</v>
      </c>
      <c r="D7937">
        <v>5.5</v>
      </c>
      <c r="E7937" t="s">
        <v>17</v>
      </c>
      <c r="F7937">
        <v>21.09</v>
      </c>
      <c r="G7937">
        <v>20.91</v>
      </c>
      <c r="H7937" t="s">
        <v>17</v>
      </c>
      <c r="I7937" t="str">
        <f>"063576006113"</f>
        <v>063576006113</v>
      </c>
    </row>
    <row r="7938" spans="1:9" x14ac:dyDescent="0.25">
      <c r="A7938" t="s">
        <v>6923</v>
      </c>
      <c r="B7938" t="s">
        <v>13</v>
      </c>
      <c r="C7938">
        <v>15</v>
      </c>
      <c r="D7938">
        <v>16</v>
      </c>
      <c r="E7938" t="s">
        <v>17</v>
      </c>
      <c r="F7938">
        <v>13.27</v>
      </c>
      <c r="G7938">
        <v>11</v>
      </c>
      <c r="H7938" t="s">
        <v>17</v>
      </c>
      <c r="I7938" t="str">
        <f>"062949004548"</f>
        <v>062949004548</v>
      </c>
    </row>
    <row r="7939" spans="1:9" x14ac:dyDescent="0.25">
      <c r="A7939" t="s">
        <v>6924</v>
      </c>
      <c r="B7939" t="s">
        <v>13</v>
      </c>
      <c r="C7939">
        <v>16.850000000000001</v>
      </c>
      <c r="D7939">
        <v>18.95</v>
      </c>
      <c r="E7939" t="s">
        <v>17</v>
      </c>
      <c r="F7939">
        <v>29.32</v>
      </c>
      <c r="G7939">
        <v>25.7</v>
      </c>
      <c r="H7939" t="s">
        <v>17</v>
      </c>
      <c r="I7939" t="str">
        <f>"062250008720"</f>
        <v>062250008720</v>
      </c>
    </row>
    <row r="7940" spans="1:9" x14ac:dyDescent="0.25">
      <c r="A7940" t="s">
        <v>6925</v>
      </c>
      <c r="B7940" t="s">
        <v>13</v>
      </c>
      <c r="C7940" t="s">
        <v>17</v>
      </c>
      <c r="D7940" t="s">
        <v>17</v>
      </c>
      <c r="E7940" t="s">
        <v>17</v>
      </c>
      <c r="F7940" t="s">
        <v>17</v>
      </c>
      <c r="G7940" t="s">
        <v>17</v>
      </c>
      <c r="H7940" t="s">
        <v>17</v>
      </c>
      <c r="I7940" t="str">
        <f>"060001109064"</f>
        <v>060001109064</v>
      </c>
    </row>
    <row r="7941" spans="1:9" x14ac:dyDescent="0.25">
      <c r="A7941" t="s">
        <v>6926</v>
      </c>
      <c r="B7941" t="s">
        <v>13</v>
      </c>
      <c r="C7941" t="s">
        <v>17</v>
      </c>
      <c r="D7941" t="s">
        <v>14</v>
      </c>
      <c r="E7941" t="s">
        <v>14</v>
      </c>
      <c r="F7941" t="s">
        <v>17</v>
      </c>
      <c r="G7941" t="s">
        <v>14</v>
      </c>
      <c r="H7941" t="s">
        <v>14</v>
      </c>
      <c r="I7941" t="str">
        <f>"060384013269"</f>
        <v>060384013269</v>
      </c>
    </row>
    <row r="7942" spans="1:9" x14ac:dyDescent="0.25">
      <c r="A7942" t="s">
        <v>6927</v>
      </c>
      <c r="B7942" t="s">
        <v>13</v>
      </c>
      <c r="C7942">
        <v>31.67</v>
      </c>
      <c r="D7942">
        <v>32.840000000000003</v>
      </c>
      <c r="E7942" t="s">
        <v>17</v>
      </c>
      <c r="F7942">
        <v>26.37</v>
      </c>
      <c r="G7942">
        <v>24.33</v>
      </c>
      <c r="H7942" t="s">
        <v>17</v>
      </c>
      <c r="I7942" t="str">
        <f>"060015310944"</f>
        <v>060015310944</v>
      </c>
    </row>
    <row r="7943" spans="1:9" x14ac:dyDescent="0.25">
      <c r="A7943" t="s">
        <v>6928</v>
      </c>
      <c r="B7943" t="s">
        <v>13</v>
      </c>
      <c r="C7943">
        <v>15.26</v>
      </c>
      <c r="D7943">
        <v>17.43</v>
      </c>
      <c r="E7943" t="s">
        <v>17</v>
      </c>
      <c r="F7943">
        <v>25.43</v>
      </c>
      <c r="G7943">
        <v>22.95</v>
      </c>
      <c r="H7943" t="s">
        <v>17</v>
      </c>
      <c r="I7943" t="str">
        <f>"063231004984"</f>
        <v>063231004984</v>
      </c>
    </row>
    <row r="7944" spans="1:9" x14ac:dyDescent="0.25">
      <c r="A7944" t="s">
        <v>6929</v>
      </c>
      <c r="B7944" t="s">
        <v>13</v>
      </c>
      <c r="C7944">
        <v>18</v>
      </c>
      <c r="D7944">
        <v>19</v>
      </c>
      <c r="E7944" t="s">
        <v>17</v>
      </c>
      <c r="F7944">
        <v>22.61</v>
      </c>
      <c r="G7944">
        <v>22.05</v>
      </c>
      <c r="H7944" t="s">
        <v>17</v>
      </c>
      <c r="I7944" t="str">
        <f>"062271003300"</f>
        <v>062271003300</v>
      </c>
    </row>
    <row r="7945" spans="1:9" x14ac:dyDescent="0.25">
      <c r="A7945" t="s">
        <v>6930</v>
      </c>
      <c r="B7945" t="s">
        <v>13</v>
      </c>
      <c r="C7945">
        <v>77.84</v>
      </c>
      <c r="D7945">
        <v>79.62</v>
      </c>
      <c r="E7945" t="s">
        <v>17</v>
      </c>
      <c r="F7945">
        <v>23.78</v>
      </c>
      <c r="G7945">
        <v>24.64</v>
      </c>
      <c r="H7945" t="s">
        <v>17</v>
      </c>
      <c r="I7945" t="str">
        <f>"062271003301"</f>
        <v>062271003301</v>
      </c>
    </row>
    <row r="7946" spans="1:9" x14ac:dyDescent="0.25">
      <c r="A7946" t="s">
        <v>6931</v>
      </c>
      <c r="B7946" t="s">
        <v>13</v>
      </c>
      <c r="C7946" t="s">
        <v>17</v>
      </c>
      <c r="D7946" t="s">
        <v>17</v>
      </c>
      <c r="E7946" t="s">
        <v>17</v>
      </c>
      <c r="F7946" t="s">
        <v>17</v>
      </c>
      <c r="G7946" t="s">
        <v>17</v>
      </c>
      <c r="H7946" t="s">
        <v>17</v>
      </c>
      <c r="I7946" t="str">
        <f>"069107812714"</f>
        <v>069107812714</v>
      </c>
    </row>
    <row r="7947" spans="1:9" x14ac:dyDescent="0.25">
      <c r="A7947" t="s">
        <v>6932</v>
      </c>
      <c r="B7947" t="s">
        <v>13</v>
      </c>
      <c r="C7947">
        <v>37.25</v>
      </c>
      <c r="D7947">
        <v>37.75</v>
      </c>
      <c r="E7947" t="s">
        <v>17</v>
      </c>
      <c r="F7947">
        <v>24.4</v>
      </c>
      <c r="G7947">
        <v>24.95</v>
      </c>
      <c r="H7947" t="s">
        <v>17</v>
      </c>
      <c r="I7947" t="str">
        <f>"060261000164"</f>
        <v>060261000164</v>
      </c>
    </row>
    <row r="7948" spans="1:9" x14ac:dyDescent="0.25">
      <c r="A7948" t="s">
        <v>6932</v>
      </c>
      <c r="B7948" t="s">
        <v>13</v>
      </c>
      <c r="C7948">
        <v>28.73</v>
      </c>
      <c r="D7948">
        <v>32</v>
      </c>
      <c r="E7948" t="s">
        <v>17</v>
      </c>
      <c r="F7948">
        <v>14.65</v>
      </c>
      <c r="G7948">
        <v>13.38</v>
      </c>
      <c r="H7948" t="s">
        <v>17</v>
      </c>
      <c r="I7948" t="str">
        <f>"063441005654"</f>
        <v>063441005654</v>
      </c>
    </row>
    <row r="7949" spans="1:9" x14ac:dyDescent="0.25">
      <c r="A7949" t="s">
        <v>6933</v>
      </c>
      <c r="B7949" t="s">
        <v>13</v>
      </c>
      <c r="C7949" t="s">
        <v>14</v>
      </c>
      <c r="D7949" t="s">
        <v>14</v>
      </c>
      <c r="E7949" t="s">
        <v>17</v>
      </c>
      <c r="F7949" t="s">
        <v>14</v>
      </c>
      <c r="G7949" t="s">
        <v>14</v>
      </c>
      <c r="H7949" t="s">
        <v>17</v>
      </c>
      <c r="I7949" t="str">
        <f>"062682008748"</f>
        <v>062682008748</v>
      </c>
    </row>
    <row r="7950" spans="1:9" x14ac:dyDescent="0.25">
      <c r="A7950" t="s">
        <v>6934</v>
      </c>
      <c r="B7950" t="s">
        <v>13</v>
      </c>
      <c r="C7950">
        <v>44.05</v>
      </c>
      <c r="D7950">
        <v>45.87</v>
      </c>
      <c r="E7950" t="s">
        <v>17</v>
      </c>
      <c r="F7950">
        <v>25.43</v>
      </c>
      <c r="G7950">
        <v>23.63</v>
      </c>
      <c r="H7950" t="s">
        <v>17</v>
      </c>
      <c r="I7950" t="str">
        <f>"060903007961"</f>
        <v>060903007961</v>
      </c>
    </row>
    <row r="7951" spans="1:9" x14ac:dyDescent="0.25">
      <c r="A7951" t="s">
        <v>6935</v>
      </c>
      <c r="B7951" t="s">
        <v>13</v>
      </c>
      <c r="C7951" t="s">
        <v>17</v>
      </c>
      <c r="D7951" t="s">
        <v>17</v>
      </c>
      <c r="E7951" t="s">
        <v>17</v>
      </c>
      <c r="F7951" t="s">
        <v>17</v>
      </c>
      <c r="G7951" t="s">
        <v>17</v>
      </c>
      <c r="H7951" t="s">
        <v>17</v>
      </c>
      <c r="I7951" t="str">
        <f>"061389008576"</f>
        <v>061389008576</v>
      </c>
    </row>
    <row r="7952" spans="1:9" x14ac:dyDescent="0.25">
      <c r="A7952" t="s">
        <v>6936</v>
      </c>
      <c r="B7952" t="s">
        <v>13</v>
      </c>
      <c r="C7952">
        <v>24.25</v>
      </c>
      <c r="D7952">
        <v>24.75</v>
      </c>
      <c r="E7952" t="s">
        <v>17</v>
      </c>
      <c r="F7952">
        <v>25.81</v>
      </c>
      <c r="G7952">
        <v>25.01</v>
      </c>
      <c r="H7952" t="s">
        <v>17</v>
      </c>
      <c r="I7952" t="str">
        <f>"062825009169"</f>
        <v>062825009169</v>
      </c>
    </row>
    <row r="7953" spans="1:9" x14ac:dyDescent="0.25">
      <c r="A7953" t="s">
        <v>6937</v>
      </c>
      <c r="B7953" t="s">
        <v>13</v>
      </c>
      <c r="C7953">
        <v>18</v>
      </c>
      <c r="D7953">
        <v>17</v>
      </c>
      <c r="E7953" t="s">
        <v>17</v>
      </c>
      <c r="F7953">
        <v>21.89</v>
      </c>
      <c r="G7953">
        <v>22.12</v>
      </c>
      <c r="H7953" t="s">
        <v>17</v>
      </c>
      <c r="I7953" t="str">
        <f>"062271012566"</f>
        <v>062271012566</v>
      </c>
    </row>
    <row r="7954" spans="1:9" x14ac:dyDescent="0.25">
      <c r="A7954" t="s">
        <v>6938</v>
      </c>
      <c r="B7954" t="s">
        <v>13</v>
      </c>
      <c r="C7954">
        <v>20.25</v>
      </c>
      <c r="D7954">
        <v>23.04</v>
      </c>
      <c r="E7954" t="s">
        <v>17</v>
      </c>
      <c r="F7954">
        <v>21.23</v>
      </c>
      <c r="G7954">
        <v>18.88</v>
      </c>
      <c r="H7954" t="s">
        <v>17</v>
      </c>
      <c r="I7954" t="str">
        <f>"062271012370"</f>
        <v>062271012370</v>
      </c>
    </row>
    <row r="7955" spans="1:9" x14ac:dyDescent="0.25">
      <c r="A7955" t="s">
        <v>6939</v>
      </c>
      <c r="B7955" t="s">
        <v>13</v>
      </c>
      <c r="C7955">
        <v>26.75</v>
      </c>
      <c r="D7955">
        <v>24.52</v>
      </c>
      <c r="E7955" t="s">
        <v>17</v>
      </c>
      <c r="F7955">
        <v>25.57</v>
      </c>
      <c r="G7955">
        <v>27.04</v>
      </c>
      <c r="H7955" t="s">
        <v>17</v>
      </c>
      <c r="I7955" t="str">
        <f>"062271012559"</f>
        <v>062271012559</v>
      </c>
    </row>
    <row r="7956" spans="1:9" x14ac:dyDescent="0.25">
      <c r="A7956" t="s">
        <v>6940</v>
      </c>
      <c r="B7956" t="s">
        <v>13</v>
      </c>
      <c r="C7956">
        <v>23.25</v>
      </c>
      <c r="D7956">
        <v>22.17</v>
      </c>
      <c r="E7956" t="s">
        <v>17</v>
      </c>
      <c r="F7956">
        <v>17.68</v>
      </c>
      <c r="G7956">
        <v>18.579999999999998</v>
      </c>
      <c r="H7956" t="s">
        <v>17</v>
      </c>
      <c r="I7956" t="str">
        <f>"062271012270"</f>
        <v>062271012270</v>
      </c>
    </row>
    <row r="7957" spans="1:9" x14ac:dyDescent="0.25">
      <c r="A7957" t="s">
        <v>6941</v>
      </c>
      <c r="B7957" t="s">
        <v>13</v>
      </c>
      <c r="C7957">
        <v>49.5</v>
      </c>
      <c r="D7957">
        <v>52</v>
      </c>
      <c r="E7957" t="s">
        <v>17</v>
      </c>
      <c r="F7957">
        <v>21.9</v>
      </c>
      <c r="G7957">
        <v>19.809999999999999</v>
      </c>
      <c r="H7957" t="s">
        <v>17</v>
      </c>
      <c r="I7957" t="str">
        <f>"062271012493"</f>
        <v>062271012493</v>
      </c>
    </row>
    <row r="7958" spans="1:9" x14ac:dyDescent="0.25">
      <c r="A7958" t="s">
        <v>6942</v>
      </c>
      <c r="B7958" t="s">
        <v>13</v>
      </c>
      <c r="C7958">
        <v>39</v>
      </c>
      <c r="D7958">
        <v>39.03</v>
      </c>
      <c r="E7958" t="s">
        <v>17</v>
      </c>
      <c r="F7958">
        <v>25.03</v>
      </c>
      <c r="G7958">
        <v>25.06</v>
      </c>
      <c r="H7958" t="s">
        <v>17</v>
      </c>
      <c r="I7958" t="str">
        <f>"062271012524"</f>
        <v>062271012524</v>
      </c>
    </row>
    <row r="7959" spans="1:9" x14ac:dyDescent="0.25">
      <c r="A7959" t="s">
        <v>6943</v>
      </c>
      <c r="B7959" t="s">
        <v>13</v>
      </c>
      <c r="C7959">
        <v>23.87</v>
      </c>
      <c r="D7959">
        <v>22.37</v>
      </c>
      <c r="E7959" t="s">
        <v>17</v>
      </c>
      <c r="F7959">
        <v>20.99</v>
      </c>
      <c r="G7959">
        <v>22.35</v>
      </c>
      <c r="H7959" t="s">
        <v>17</v>
      </c>
      <c r="I7959" t="str">
        <f>"064308007007"</f>
        <v>064308007007</v>
      </c>
    </row>
    <row r="7960" spans="1:9" x14ac:dyDescent="0.25">
      <c r="A7960" t="s">
        <v>6944</v>
      </c>
      <c r="B7960" t="s">
        <v>13</v>
      </c>
      <c r="C7960">
        <v>1</v>
      </c>
      <c r="D7960">
        <v>1</v>
      </c>
      <c r="E7960" t="s">
        <v>17</v>
      </c>
      <c r="F7960">
        <v>13</v>
      </c>
      <c r="G7960">
        <v>19</v>
      </c>
      <c r="H7960" t="s">
        <v>17</v>
      </c>
      <c r="I7960" t="str">
        <f>"063237011327"</f>
        <v>063237011327</v>
      </c>
    </row>
    <row r="7961" spans="1:9" x14ac:dyDescent="0.25">
      <c r="A7961" t="s">
        <v>6945</v>
      </c>
      <c r="B7961" t="s">
        <v>13</v>
      </c>
      <c r="C7961">
        <v>133.88999999999999</v>
      </c>
      <c r="D7961">
        <v>133.31</v>
      </c>
      <c r="E7961" t="s">
        <v>17</v>
      </c>
      <c r="F7961">
        <v>22.53</v>
      </c>
      <c r="G7961">
        <v>22.2</v>
      </c>
      <c r="H7961" t="s">
        <v>17</v>
      </c>
      <c r="I7961" t="str">
        <f>"063237001126"</f>
        <v>063237001126</v>
      </c>
    </row>
    <row r="7962" spans="1:9" x14ac:dyDescent="0.25">
      <c r="A7962" t="s">
        <v>6946</v>
      </c>
      <c r="B7962" t="s">
        <v>13</v>
      </c>
      <c r="C7962">
        <v>62.4</v>
      </c>
      <c r="D7962">
        <v>62.66</v>
      </c>
      <c r="E7962" t="s">
        <v>17</v>
      </c>
      <c r="F7962">
        <v>19.12</v>
      </c>
      <c r="G7962">
        <v>19.739999999999998</v>
      </c>
      <c r="H7962" t="s">
        <v>17</v>
      </c>
      <c r="I7962" t="str">
        <f>"063237004998"</f>
        <v>063237004998</v>
      </c>
    </row>
    <row r="7963" spans="1:9" x14ac:dyDescent="0.25">
      <c r="A7963" t="s">
        <v>6947</v>
      </c>
      <c r="B7963" t="s">
        <v>13</v>
      </c>
      <c r="C7963">
        <v>30.5</v>
      </c>
      <c r="D7963">
        <v>29.01</v>
      </c>
      <c r="E7963" t="s">
        <v>17</v>
      </c>
      <c r="F7963">
        <v>23.84</v>
      </c>
      <c r="G7963">
        <v>24.75</v>
      </c>
      <c r="H7963" t="s">
        <v>17</v>
      </c>
      <c r="I7963" t="str">
        <f>"062271010881"</f>
        <v>062271010881</v>
      </c>
    </row>
    <row r="7964" spans="1:9" x14ac:dyDescent="0.25">
      <c r="A7964" t="s">
        <v>6948</v>
      </c>
      <c r="B7964" t="s">
        <v>13</v>
      </c>
      <c r="C7964">
        <v>23.5</v>
      </c>
      <c r="D7964">
        <v>24</v>
      </c>
      <c r="E7964" t="s">
        <v>17</v>
      </c>
      <c r="F7964">
        <v>24.68</v>
      </c>
      <c r="G7964">
        <v>24.63</v>
      </c>
      <c r="H7964" t="s">
        <v>17</v>
      </c>
      <c r="I7964" t="str">
        <f>"061494001893"</f>
        <v>061494001893</v>
      </c>
    </row>
    <row r="7965" spans="1:9" x14ac:dyDescent="0.25">
      <c r="A7965" t="s">
        <v>6949</v>
      </c>
      <c r="B7965" t="s">
        <v>13</v>
      </c>
      <c r="C7965">
        <v>35</v>
      </c>
      <c r="D7965">
        <v>35.5</v>
      </c>
      <c r="E7965" t="s">
        <v>17</v>
      </c>
      <c r="F7965">
        <v>19.600000000000001</v>
      </c>
      <c r="G7965">
        <v>21.32</v>
      </c>
      <c r="H7965" t="s">
        <v>17</v>
      </c>
      <c r="I7965" t="str">
        <f>"060861000873"</f>
        <v>060861000873</v>
      </c>
    </row>
    <row r="7966" spans="1:9" x14ac:dyDescent="0.25">
      <c r="A7966" t="s">
        <v>6950</v>
      </c>
      <c r="B7966" t="s">
        <v>13</v>
      </c>
      <c r="C7966">
        <v>31</v>
      </c>
      <c r="D7966">
        <v>30</v>
      </c>
      <c r="E7966" t="s">
        <v>17</v>
      </c>
      <c r="F7966">
        <v>27.97</v>
      </c>
      <c r="G7966">
        <v>27.17</v>
      </c>
      <c r="H7966" t="s">
        <v>17</v>
      </c>
      <c r="I7966" t="str">
        <f>"060558009321"</f>
        <v>060558009321</v>
      </c>
    </row>
    <row r="7967" spans="1:9" x14ac:dyDescent="0.25">
      <c r="A7967" t="s">
        <v>6951</v>
      </c>
      <c r="B7967" t="s">
        <v>13</v>
      </c>
      <c r="C7967">
        <v>37.5</v>
      </c>
      <c r="D7967">
        <v>38</v>
      </c>
      <c r="E7967" t="s">
        <v>17</v>
      </c>
      <c r="F7967">
        <v>23.84</v>
      </c>
      <c r="G7967">
        <v>23.21</v>
      </c>
      <c r="H7967" t="s">
        <v>17</v>
      </c>
      <c r="I7967" t="str">
        <f>"060002710352"</f>
        <v>060002710352</v>
      </c>
    </row>
    <row r="7968" spans="1:9" x14ac:dyDescent="0.25">
      <c r="A7968" t="s">
        <v>6952</v>
      </c>
      <c r="B7968" t="s">
        <v>13</v>
      </c>
      <c r="C7968">
        <v>13</v>
      </c>
      <c r="D7968">
        <v>12.69</v>
      </c>
      <c r="E7968" t="s">
        <v>17</v>
      </c>
      <c r="F7968">
        <v>15.23</v>
      </c>
      <c r="G7968">
        <v>17.260000000000002</v>
      </c>
      <c r="H7968" t="s">
        <v>17</v>
      </c>
      <c r="I7968" t="str">
        <f>"062271010842"</f>
        <v>062271010842</v>
      </c>
    </row>
    <row r="7969" spans="1:9" x14ac:dyDescent="0.25">
      <c r="A7969" t="s">
        <v>6953</v>
      </c>
      <c r="B7969" t="s">
        <v>13</v>
      </c>
      <c r="C7969">
        <v>34.33</v>
      </c>
      <c r="D7969">
        <v>41.8</v>
      </c>
      <c r="E7969" t="s">
        <v>17</v>
      </c>
      <c r="F7969">
        <v>22.6</v>
      </c>
      <c r="G7969">
        <v>17.78</v>
      </c>
      <c r="H7969" t="s">
        <v>17</v>
      </c>
      <c r="I7969" t="str">
        <f>"062922007922"</f>
        <v>062922007922</v>
      </c>
    </row>
    <row r="7970" spans="1:9" x14ac:dyDescent="0.25">
      <c r="A7970" t="s">
        <v>6954</v>
      </c>
      <c r="B7970" t="s">
        <v>13</v>
      </c>
      <c r="C7970">
        <v>25</v>
      </c>
      <c r="D7970">
        <v>26</v>
      </c>
      <c r="E7970" t="s">
        <v>17</v>
      </c>
      <c r="F7970">
        <v>28.16</v>
      </c>
      <c r="G7970">
        <v>26.81</v>
      </c>
      <c r="H7970" t="s">
        <v>17</v>
      </c>
      <c r="I7970" t="str">
        <f>"061785002197"</f>
        <v>061785002197</v>
      </c>
    </row>
    <row r="7971" spans="1:9" x14ac:dyDescent="0.25">
      <c r="A7971" t="s">
        <v>6955</v>
      </c>
      <c r="B7971" t="s">
        <v>13</v>
      </c>
      <c r="C7971">
        <v>62.5</v>
      </c>
      <c r="D7971">
        <v>66.52</v>
      </c>
      <c r="E7971" t="s">
        <v>17</v>
      </c>
      <c r="F7971">
        <v>26.59</v>
      </c>
      <c r="G7971">
        <v>25.32</v>
      </c>
      <c r="H7971" t="s">
        <v>17</v>
      </c>
      <c r="I7971" t="str">
        <f>"062271002878"</f>
        <v>062271002878</v>
      </c>
    </row>
    <row r="7972" spans="1:9" x14ac:dyDescent="0.25">
      <c r="A7972" t="s">
        <v>6956</v>
      </c>
      <c r="B7972" t="s">
        <v>13</v>
      </c>
      <c r="C7972">
        <v>2.15</v>
      </c>
      <c r="D7972">
        <v>2.15</v>
      </c>
      <c r="E7972" t="s">
        <v>17</v>
      </c>
      <c r="F7972">
        <v>24.65</v>
      </c>
      <c r="G7972">
        <v>24.19</v>
      </c>
      <c r="H7972" t="s">
        <v>17</v>
      </c>
      <c r="I7972" t="str">
        <f>"062007003176"</f>
        <v>062007003176</v>
      </c>
    </row>
    <row r="7973" spans="1:9" x14ac:dyDescent="0.25">
      <c r="A7973" t="s">
        <v>6957</v>
      </c>
      <c r="B7973" t="s">
        <v>13</v>
      </c>
      <c r="C7973">
        <v>32.1</v>
      </c>
      <c r="D7973">
        <v>32.96</v>
      </c>
      <c r="E7973" t="s">
        <v>17</v>
      </c>
      <c r="F7973">
        <v>27.07</v>
      </c>
      <c r="G7973">
        <v>26.91</v>
      </c>
      <c r="H7973" t="s">
        <v>17</v>
      </c>
      <c r="I7973" t="str">
        <f>"062847004392"</f>
        <v>062847004392</v>
      </c>
    </row>
    <row r="7974" spans="1:9" x14ac:dyDescent="0.25">
      <c r="A7974" t="s">
        <v>6958</v>
      </c>
      <c r="B7974" t="s">
        <v>13</v>
      </c>
      <c r="C7974">
        <v>13.38</v>
      </c>
      <c r="D7974">
        <v>13.9</v>
      </c>
      <c r="E7974" t="s">
        <v>17</v>
      </c>
      <c r="F7974">
        <v>27.35</v>
      </c>
      <c r="G7974">
        <v>27.27</v>
      </c>
      <c r="H7974" t="s">
        <v>17</v>
      </c>
      <c r="I7974" t="str">
        <f>"060744000699"</f>
        <v>060744000699</v>
      </c>
    </row>
    <row r="7975" spans="1:9" x14ac:dyDescent="0.25">
      <c r="A7975" t="s">
        <v>6959</v>
      </c>
      <c r="B7975" t="s">
        <v>13</v>
      </c>
      <c r="C7975">
        <v>4.95</v>
      </c>
      <c r="D7975">
        <v>4.95</v>
      </c>
      <c r="E7975" t="s">
        <v>17</v>
      </c>
      <c r="F7975">
        <v>8.2799999999999994</v>
      </c>
      <c r="G7975">
        <v>9.6999999999999993</v>
      </c>
      <c r="H7975" t="s">
        <v>17</v>
      </c>
      <c r="I7975" t="str">
        <f>"060744008543"</f>
        <v>060744008543</v>
      </c>
    </row>
    <row r="7976" spans="1:9" x14ac:dyDescent="0.25">
      <c r="A7976" t="s">
        <v>6960</v>
      </c>
      <c r="B7976" t="s">
        <v>13</v>
      </c>
      <c r="C7976">
        <v>35.61</v>
      </c>
      <c r="D7976">
        <v>37.6</v>
      </c>
      <c r="E7976" t="s">
        <v>17</v>
      </c>
      <c r="F7976">
        <v>27.04</v>
      </c>
      <c r="G7976">
        <v>25.85</v>
      </c>
      <c r="H7976" t="s">
        <v>17</v>
      </c>
      <c r="I7976" t="str">
        <f>"064299006993"</f>
        <v>064299006993</v>
      </c>
    </row>
    <row r="7977" spans="1:9" x14ac:dyDescent="0.25">
      <c r="A7977" t="s">
        <v>6960</v>
      </c>
      <c r="B7977" t="s">
        <v>13</v>
      </c>
      <c r="C7977">
        <v>57.33</v>
      </c>
      <c r="D7977">
        <v>62.52</v>
      </c>
      <c r="E7977" t="s">
        <v>17</v>
      </c>
      <c r="F7977">
        <v>26.09</v>
      </c>
      <c r="G7977">
        <v>24.46</v>
      </c>
      <c r="H7977" t="s">
        <v>17</v>
      </c>
      <c r="I7977" t="str">
        <f>"062271002947"</f>
        <v>062271002947</v>
      </c>
    </row>
    <row r="7978" spans="1:9" x14ac:dyDescent="0.25">
      <c r="A7978" t="s">
        <v>6960</v>
      </c>
      <c r="B7978" t="s">
        <v>13</v>
      </c>
      <c r="C7978">
        <v>29.45</v>
      </c>
      <c r="D7978">
        <v>31.2</v>
      </c>
      <c r="E7978" t="s">
        <v>17</v>
      </c>
      <c r="F7978">
        <v>26.72</v>
      </c>
      <c r="G7978">
        <v>25.16</v>
      </c>
      <c r="H7978" t="s">
        <v>17</v>
      </c>
      <c r="I7978" t="str">
        <f>"060297000227"</f>
        <v>060297000227</v>
      </c>
    </row>
    <row r="7979" spans="1:9" x14ac:dyDescent="0.25">
      <c r="A7979" t="s">
        <v>6961</v>
      </c>
      <c r="B7979" t="s">
        <v>13</v>
      </c>
      <c r="C7979">
        <v>25</v>
      </c>
      <c r="D7979">
        <v>26</v>
      </c>
      <c r="E7979" t="s">
        <v>17</v>
      </c>
      <c r="F7979">
        <v>26.8</v>
      </c>
      <c r="G7979">
        <v>25.38</v>
      </c>
      <c r="H7979" t="s">
        <v>17</v>
      </c>
      <c r="I7979" t="str">
        <f>"062259000794"</f>
        <v>062259000794</v>
      </c>
    </row>
    <row r="7980" spans="1:9" x14ac:dyDescent="0.25">
      <c r="A7980" t="s">
        <v>6962</v>
      </c>
      <c r="B7980" t="s">
        <v>13</v>
      </c>
      <c r="C7980">
        <v>27.4</v>
      </c>
      <c r="D7980">
        <v>28</v>
      </c>
      <c r="E7980" t="s">
        <v>17</v>
      </c>
      <c r="F7980">
        <v>26.79</v>
      </c>
      <c r="G7980">
        <v>26.75</v>
      </c>
      <c r="H7980" t="s">
        <v>17</v>
      </c>
      <c r="I7980" t="str">
        <f>"063756006361"</f>
        <v>063756006361</v>
      </c>
    </row>
    <row r="7981" spans="1:9" x14ac:dyDescent="0.25">
      <c r="A7981" t="s">
        <v>6963</v>
      </c>
      <c r="B7981" t="s">
        <v>13</v>
      </c>
      <c r="C7981">
        <v>17.5</v>
      </c>
      <c r="D7981">
        <v>15</v>
      </c>
      <c r="E7981" t="s">
        <v>17</v>
      </c>
      <c r="F7981">
        <v>28.8</v>
      </c>
      <c r="G7981">
        <v>24.07</v>
      </c>
      <c r="H7981" t="s">
        <v>17</v>
      </c>
      <c r="I7981" t="str">
        <f>"060006312220"</f>
        <v>060006312220</v>
      </c>
    </row>
    <row r="7982" spans="1:9" x14ac:dyDescent="0.25">
      <c r="A7982" t="s">
        <v>6964</v>
      </c>
      <c r="B7982" t="s">
        <v>13</v>
      </c>
      <c r="C7982">
        <v>11</v>
      </c>
      <c r="D7982">
        <v>12</v>
      </c>
      <c r="E7982" t="s">
        <v>17</v>
      </c>
      <c r="F7982">
        <v>22.73</v>
      </c>
      <c r="G7982">
        <v>21.42</v>
      </c>
      <c r="H7982" t="s">
        <v>17</v>
      </c>
      <c r="I7982" t="str">
        <f>"062271011310"</f>
        <v>062271011310</v>
      </c>
    </row>
    <row r="7983" spans="1:9" x14ac:dyDescent="0.25">
      <c r="A7983" t="s">
        <v>6965</v>
      </c>
      <c r="B7983" t="s">
        <v>13</v>
      </c>
      <c r="C7983">
        <v>25</v>
      </c>
      <c r="D7983">
        <v>25</v>
      </c>
      <c r="E7983" t="s">
        <v>17</v>
      </c>
      <c r="F7983">
        <v>23.88</v>
      </c>
      <c r="G7983">
        <v>24.32</v>
      </c>
      <c r="H7983" t="s">
        <v>17</v>
      </c>
      <c r="I7983" t="str">
        <f>"063417005380"</f>
        <v>063417005380</v>
      </c>
    </row>
    <row r="7984" spans="1:9" x14ac:dyDescent="0.25">
      <c r="A7984" t="s">
        <v>6966</v>
      </c>
      <c r="B7984" t="s">
        <v>13</v>
      </c>
      <c r="C7984">
        <v>9.6</v>
      </c>
      <c r="D7984">
        <v>10.4</v>
      </c>
      <c r="E7984" t="s">
        <v>17</v>
      </c>
      <c r="F7984">
        <v>25.94</v>
      </c>
      <c r="G7984">
        <v>22.21</v>
      </c>
      <c r="H7984" t="s">
        <v>17</v>
      </c>
      <c r="I7984" t="str">
        <f>"063240005000"</f>
        <v>063240005000</v>
      </c>
    </row>
    <row r="7985" spans="1:9" x14ac:dyDescent="0.25">
      <c r="A7985" t="s">
        <v>6967</v>
      </c>
      <c r="B7985" t="s">
        <v>13</v>
      </c>
      <c r="C7985">
        <v>34.840000000000003</v>
      </c>
      <c r="D7985">
        <v>34.5</v>
      </c>
      <c r="E7985" t="s">
        <v>17</v>
      </c>
      <c r="F7985">
        <v>19.66</v>
      </c>
      <c r="G7985">
        <v>21.13</v>
      </c>
      <c r="H7985" t="s">
        <v>17</v>
      </c>
      <c r="I7985" t="str">
        <f>"063243011376"</f>
        <v>063243011376</v>
      </c>
    </row>
    <row r="7986" spans="1:9" x14ac:dyDescent="0.25">
      <c r="A7986" t="s">
        <v>6968</v>
      </c>
      <c r="B7986" t="s">
        <v>13</v>
      </c>
      <c r="C7986">
        <v>12</v>
      </c>
      <c r="D7986">
        <v>12</v>
      </c>
      <c r="E7986" t="s">
        <v>17</v>
      </c>
      <c r="F7986">
        <v>19.079999999999998</v>
      </c>
      <c r="G7986">
        <v>21.83</v>
      </c>
      <c r="H7986" t="s">
        <v>17</v>
      </c>
      <c r="I7986" t="str">
        <f>"062271003305"</f>
        <v>062271003305</v>
      </c>
    </row>
    <row r="7987" spans="1:9" x14ac:dyDescent="0.25">
      <c r="A7987" t="s">
        <v>6969</v>
      </c>
      <c r="B7987" t="s">
        <v>13</v>
      </c>
      <c r="C7987">
        <v>16.579999999999998</v>
      </c>
      <c r="D7987">
        <v>17.420000000000002</v>
      </c>
      <c r="E7987" t="s">
        <v>17</v>
      </c>
      <c r="F7987">
        <v>21.53</v>
      </c>
      <c r="G7987">
        <v>19.579999999999998</v>
      </c>
      <c r="H7987" t="s">
        <v>17</v>
      </c>
      <c r="I7987" t="str">
        <f>"062865004448"</f>
        <v>062865004448</v>
      </c>
    </row>
    <row r="7988" spans="1:9" x14ac:dyDescent="0.25">
      <c r="A7988" t="s">
        <v>6970</v>
      </c>
      <c r="B7988" t="s">
        <v>13</v>
      </c>
      <c r="C7988">
        <v>25.47</v>
      </c>
      <c r="D7988">
        <v>28.5</v>
      </c>
      <c r="E7988" t="s">
        <v>17</v>
      </c>
      <c r="F7988">
        <v>29.25</v>
      </c>
      <c r="G7988">
        <v>26.88</v>
      </c>
      <c r="H7988" t="s">
        <v>17</v>
      </c>
      <c r="I7988" t="str">
        <f>"063488005890"</f>
        <v>063488005890</v>
      </c>
    </row>
    <row r="7989" spans="1:9" x14ac:dyDescent="0.25">
      <c r="A7989" t="s">
        <v>6971</v>
      </c>
      <c r="B7989" t="s">
        <v>13</v>
      </c>
      <c r="C7989">
        <v>34.6</v>
      </c>
      <c r="D7989">
        <v>37.950000000000003</v>
      </c>
      <c r="E7989" t="s">
        <v>17</v>
      </c>
      <c r="F7989">
        <v>19.57</v>
      </c>
      <c r="G7989">
        <v>16.84</v>
      </c>
      <c r="H7989" t="s">
        <v>17</v>
      </c>
      <c r="I7989" t="str">
        <f>"062145009565"</f>
        <v>062145009565</v>
      </c>
    </row>
    <row r="7990" spans="1:9" x14ac:dyDescent="0.25">
      <c r="A7990" t="s">
        <v>6972</v>
      </c>
      <c r="B7990" t="s">
        <v>13</v>
      </c>
      <c r="C7990">
        <v>30.5</v>
      </c>
      <c r="D7990">
        <v>30.95</v>
      </c>
      <c r="E7990" t="s">
        <v>17</v>
      </c>
      <c r="F7990">
        <v>25.31</v>
      </c>
      <c r="G7990">
        <v>24.23</v>
      </c>
      <c r="H7990" t="s">
        <v>17</v>
      </c>
      <c r="I7990" t="str">
        <f>"061473001803"</f>
        <v>061473001803</v>
      </c>
    </row>
    <row r="7991" spans="1:9" x14ac:dyDescent="0.25">
      <c r="A7991" t="s">
        <v>6973</v>
      </c>
      <c r="B7991" t="s">
        <v>13</v>
      </c>
      <c r="C7991">
        <v>2.5</v>
      </c>
      <c r="D7991" t="s">
        <v>14</v>
      </c>
      <c r="E7991" t="s">
        <v>14</v>
      </c>
      <c r="F7991">
        <v>36</v>
      </c>
      <c r="G7991" t="s">
        <v>14</v>
      </c>
      <c r="H7991" t="s">
        <v>14</v>
      </c>
      <c r="I7991" t="str">
        <f>"063255013164"</f>
        <v>063255013164</v>
      </c>
    </row>
    <row r="7992" spans="1:9" x14ac:dyDescent="0.25">
      <c r="A7992" t="s">
        <v>6974</v>
      </c>
      <c r="B7992" t="s">
        <v>13</v>
      </c>
      <c r="C7992">
        <v>13</v>
      </c>
      <c r="D7992">
        <v>11</v>
      </c>
      <c r="E7992" t="s">
        <v>17</v>
      </c>
      <c r="F7992">
        <v>24.85</v>
      </c>
      <c r="G7992">
        <v>26.45</v>
      </c>
      <c r="H7992" t="s">
        <v>17</v>
      </c>
      <c r="I7992" t="str">
        <f>"063255011576"</f>
        <v>063255011576</v>
      </c>
    </row>
    <row r="7993" spans="1:9" x14ac:dyDescent="0.25">
      <c r="A7993" t="s">
        <v>6975</v>
      </c>
      <c r="B7993" t="s">
        <v>13</v>
      </c>
      <c r="C7993">
        <v>9</v>
      </c>
      <c r="D7993">
        <v>11</v>
      </c>
      <c r="E7993" t="s">
        <v>17</v>
      </c>
      <c r="F7993">
        <v>25.89</v>
      </c>
      <c r="G7993">
        <v>19.73</v>
      </c>
      <c r="H7993" t="s">
        <v>17</v>
      </c>
      <c r="I7993" t="str">
        <f>"063252005005"</f>
        <v>063252005005</v>
      </c>
    </row>
    <row r="7994" spans="1:9" x14ac:dyDescent="0.25">
      <c r="A7994" t="s">
        <v>6975</v>
      </c>
      <c r="B7994" t="s">
        <v>13</v>
      </c>
      <c r="C7994">
        <v>25.5</v>
      </c>
      <c r="D7994">
        <v>25.5</v>
      </c>
      <c r="E7994" t="s">
        <v>17</v>
      </c>
      <c r="F7994">
        <v>19.61</v>
      </c>
      <c r="G7994">
        <v>20.12</v>
      </c>
      <c r="H7994" t="s">
        <v>17</v>
      </c>
      <c r="I7994" t="str">
        <f>"063680006241"</f>
        <v>063680006241</v>
      </c>
    </row>
    <row r="7995" spans="1:9" x14ac:dyDescent="0.25">
      <c r="A7995" t="s">
        <v>6976</v>
      </c>
      <c r="B7995" t="s">
        <v>13</v>
      </c>
      <c r="C7995">
        <v>67.5</v>
      </c>
      <c r="D7995">
        <v>71.7</v>
      </c>
      <c r="E7995" t="s">
        <v>17</v>
      </c>
      <c r="F7995">
        <v>23.42</v>
      </c>
      <c r="G7995">
        <v>21.46</v>
      </c>
      <c r="H7995" t="s">
        <v>17</v>
      </c>
      <c r="I7995" t="str">
        <f>"063255005055"</f>
        <v>063255005055</v>
      </c>
    </row>
    <row r="7996" spans="1:9" x14ac:dyDescent="0.25">
      <c r="A7996" t="s">
        <v>6977</v>
      </c>
      <c r="B7996" t="s">
        <v>13</v>
      </c>
      <c r="C7996">
        <v>21.1</v>
      </c>
      <c r="D7996">
        <v>21.1</v>
      </c>
      <c r="E7996" t="s">
        <v>17</v>
      </c>
      <c r="F7996">
        <v>28.77</v>
      </c>
      <c r="G7996">
        <v>27.91</v>
      </c>
      <c r="H7996" t="s">
        <v>17</v>
      </c>
      <c r="I7996" t="str">
        <f>"061221008501"</f>
        <v>061221008501</v>
      </c>
    </row>
    <row r="7997" spans="1:9" x14ac:dyDescent="0.25">
      <c r="A7997" t="s">
        <v>6978</v>
      </c>
      <c r="B7997" t="s">
        <v>13</v>
      </c>
      <c r="C7997">
        <v>2</v>
      </c>
      <c r="D7997">
        <v>2</v>
      </c>
      <c r="E7997" t="s">
        <v>17</v>
      </c>
      <c r="F7997">
        <v>17.5</v>
      </c>
      <c r="G7997">
        <v>19.5</v>
      </c>
      <c r="H7997" t="s">
        <v>17</v>
      </c>
      <c r="I7997" t="str">
        <f>"060504000487"</f>
        <v>060504000487</v>
      </c>
    </row>
    <row r="7998" spans="1:9" x14ac:dyDescent="0.25">
      <c r="A7998" t="s">
        <v>6979</v>
      </c>
      <c r="B7998" t="s">
        <v>13</v>
      </c>
      <c r="C7998">
        <v>19</v>
      </c>
      <c r="D7998">
        <v>20.05</v>
      </c>
      <c r="E7998" t="s">
        <v>17</v>
      </c>
      <c r="F7998">
        <v>28.32</v>
      </c>
      <c r="G7998">
        <v>28.58</v>
      </c>
      <c r="H7998" t="s">
        <v>17</v>
      </c>
      <c r="I7998" t="str">
        <f>"062580009935"</f>
        <v>062580009935</v>
      </c>
    </row>
    <row r="7999" spans="1:9" x14ac:dyDescent="0.25">
      <c r="A7999" t="s">
        <v>6980</v>
      </c>
      <c r="B7999" t="s">
        <v>13</v>
      </c>
      <c r="C7999">
        <v>13</v>
      </c>
      <c r="D7999">
        <v>15</v>
      </c>
      <c r="E7999" t="s">
        <v>17</v>
      </c>
      <c r="F7999">
        <v>26.92</v>
      </c>
      <c r="G7999">
        <v>22</v>
      </c>
      <c r="H7999" t="s">
        <v>17</v>
      </c>
      <c r="I7999" t="str">
        <f>"060007108706"</f>
        <v>060007108706</v>
      </c>
    </row>
    <row r="8000" spans="1:9" x14ac:dyDescent="0.25">
      <c r="A8000" t="s">
        <v>6981</v>
      </c>
      <c r="B8000" t="s">
        <v>13</v>
      </c>
      <c r="C8000">
        <v>36</v>
      </c>
      <c r="D8000">
        <v>35.450000000000003</v>
      </c>
      <c r="E8000" t="s">
        <v>17</v>
      </c>
      <c r="F8000">
        <v>25.83</v>
      </c>
      <c r="G8000">
        <v>26.29</v>
      </c>
      <c r="H8000" t="s">
        <v>17</v>
      </c>
      <c r="I8000" t="str">
        <f>"062970008514"</f>
        <v>062970008514</v>
      </c>
    </row>
    <row r="8001" spans="1:9" x14ac:dyDescent="0.25">
      <c r="A8001" t="s">
        <v>6982</v>
      </c>
      <c r="B8001" t="s">
        <v>13</v>
      </c>
      <c r="C8001">
        <v>28</v>
      </c>
      <c r="D8001">
        <v>32</v>
      </c>
      <c r="E8001" t="s">
        <v>17</v>
      </c>
      <c r="F8001">
        <v>23.21</v>
      </c>
      <c r="G8001">
        <v>24.84</v>
      </c>
      <c r="H8001" t="s">
        <v>17</v>
      </c>
      <c r="I8001" t="str">
        <f>"062454007212"</f>
        <v>062454007212</v>
      </c>
    </row>
    <row r="8002" spans="1:9" x14ac:dyDescent="0.25">
      <c r="A8002" t="s">
        <v>6983</v>
      </c>
      <c r="B8002" t="s">
        <v>13</v>
      </c>
      <c r="C8002">
        <v>26</v>
      </c>
      <c r="D8002">
        <v>26</v>
      </c>
      <c r="E8002" t="s">
        <v>17</v>
      </c>
      <c r="F8002">
        <v>26.27</v>
      </c>
      <c r="G8002">
        <v>28.04</v>
      </c>
      <c r="H8002" t="s">
        <v>17</v>
      </c>
      <c r="I8002" t="str">
        <f>"060133208952"</f>
        <v>060133208952</v>
      </c>
    </row>
    <row r="8003" spans="1:9" x14ac:dyDescent="0.25">
      <c r="A8003" t="s">
        <v>6984</v>
      </c>
      <c r="B8003" t="s">
        <v>13</v>
      </c>
      <c r="C8003">
        <v>23.53</v>
      </c>
      <c r="D8003">
        <v>24.93</v>
      </c>
      <c r="E8003" t="s">
        <v>17</v>
      </c>
      <c r="F8003">
        <v>23.63</v>
      </c>
      <c r="G8003">
        <v>22.9</v>
      </c>
      <c r="H8003" t="s">
        <v>17</v>
      </c>
      <c r="I8003" t="str">
        <f>"061308003506"</f>
        <v>061308003506</v>
      </c>
    </row>
    <row r="8004" spans="1:9" x14ac:dyDescent="0.25">
      <c r="A8004" t="s">
        <v>6984</v>
      </c>
      <c r="B8004" t="s">
        <v>13</v>
      </c>
      <c r="C8004">
        <v>29</v>
      </c>
      <c r="D8004">
        <v>33</v>
      </c>
      <c r="E8004" t="s">
        <v>17</v>
      </c>
      <c r="F8004">
        <v>27.86</v>
      </c>
      <c r="G8004">
        <v>25.39</v>
      </c>
      <c r="H8004" t="s">
        <v>17</v>
      </c>
      <c r="I8004" t="str">
        <f>"064356010156"</f>
        <v>064356010156</v>
      </c>
    </row>
    <row r="8005" spans="1:9" x14ac:dyDescent="0.25">
      <c r="A8005" t="s">
        <v>6985</v>
      </c>
      <c r="B8005" t="s">
        <v>13</v>
      </c>
      <c r="C8005">
        <v>86.15</v>
      </c>
      <c r="D8005">
        <v>84.18</v>
      </c>
      <c r="E8005" t="s">
        <v>17</v>
      </c>
      <c r="F8005">
        <v>25.28</v>
      </c>
      <c r="G8005">
        <v>26.09</v>
      </c>
      <c r="H8005" t="s">
        <v>17</v>
      </c>
      <c r="I8005" t="str">
        <f>"061954003116"</f>
        <v>061954003116</v>
      </c>
    </row>
    <row r="8006" spans="1:9" x14ac:dyDescent="0.25">
      <c r="A8006" t="s">
        <v>6986</v>
      </c>
      <c r="B8006" t="s">
        <v>13</v>
      </c>
      <c r="C8006">
        <v>7.1</v>
      </c>
      <c r="D8006">
        <v>8</v>
      </c>
      <c r="E8006" t="s">
        <v>17</v>
      </c>
      <c r="F8006">
        <v>15.49</v>
      </c>
      <c r="G8006">
        <v>12.75</v>
      </c>
      <c r="H8006" t="s">
        <v>17</v>
      </c>
      <c r="I8006" t="str">
        <f>"062982004642"</f>
        <v>062982004642</v>
      </c>
    </row>
    <row r="8007" spans="1:9" x14ac:dyDescent="0.25">
      <c r="A8007" t="s">
        <v>6987</v>
      </c>
      <c r="B8007" t="s">
        <v>13</v>
      </c>
      <c r="C8007">
        <v>11</v>
      </c>
      <c r="D8007">
        <v>12</v>
      </c>
      <c r="E8007" t="s">
        <v>17</v>
      </c>
      <c r="F8007">
        <v>22.36</v>
      </c>
      <c r="G8007">
        <v>21.42</v>
      </c>
      <c r="H8007" t="s">
        <v>17</v>
      </c>
      <c r="I8007" t="str">
        <f>"061038001164"</f>
        <v>061038001164</v>
      </c>
    </row>
    <row r="8008" spans="1:9" x14ac:dyDescent="0.25">
      <c r="A8008" t="s">
        <v>6988</v>
      </c>
      <c r="B8008" t="s">
        <v>13</v>
      </c>
      <c r="C8008">
        <v>17.95</v>
      </c>
      <c r="D8008">
        <v>18.600000000000001</v>
      </c>
      <c r="E8008" t="s">
        <v>17</v>
      </c>
      <c r="F8008">
        <v>16.77</v>
      </c>
      <c r="G8008">
        <v>16.61</v>
      </c>
      <c r="H8008" t="s">
        <v>17</v>
      </c>
      <c r="I8008" t="str">
        <f>"063583006130"</f>
        <v>063583006130</v>
      </c>
    </row>
    <row r="8009" spans="1:9" x14ac:dyDescent="0.25">
      <c r="A8009" t="s">
        <v>6989</v>
      </c>
      <c r="B8009" t="s">
        <v>13</v>
      </c>
      <c r="C8009">
        <v>37</v>
      </c>
      <c r="D8009">
        <v>38</v>
      </c>
      <c r="E8009" t="s">
        <v>17</v>
      </c>
      <c r="F8009">
        <v>20</v>
      </c>
      <c r="G8009">
        <v>20</v>
      </c>
      <c r="H8009" t="s">
        <v>17</v>
      </c>
      <c r="I8009" t="str">
        <f>"063417005381"</f>
        <v>063417005381</v>
      </c>
    </row>
    <row r="8010" spans="1:9" x14ac:dyDescent="0.25">
      <c r="A8010" t="s">
        <v>6989</v>
      </c>
      <c r="B8010" t="s">
        <v>13</v>
      </c>
      <c r="C8010">
        <v>17.5</v>
      </c>
      <c r="D8010">
        <v>20.3</v>
      </c>
      <c r="E8010" t="s">
        <v>17</v>
      </c>
      <c r="F8010">
        <v>27.03</v>
      </c>
      <c r="G8010">
        <v>25.42</v>
      </c>
      <c r="H8010" t="s">
        <v>17</v>
      </c>
      <c r="I8010" t="str">
        <f>"062250002754"</f>
        <v>062250002754</v>
      </c>
    </row>
    <row r="8011" spans="1:9" x14ac:dyDescent="0.25">
      <c r="A8011" t="s">
        <v>6990</v>
      </c>
      <c r="B8011" t="s">
        <v>13</v>
      </c>
      <c r="C8011">
        <v>23.4</v>
      </c>
      <c r="D8011">
        <v>22</v>
      </c>
      <c r="E8011" t="s">
        <v>17</v>
      </c>
      <c r="F8011">
        <v>6.88</v>
      </c>
      <c r="G8011">
        <v>8.5</v>
      </c>
      <c r="H8011" t="s">
        <v>17</v>
      </c>
      <c r="I8011" t="str">
        <f>"063432005539"</f>
        <v>063432005539</v>
      </c>
    </row>
    <row r="8012" spans="1:9" x14ac:dyDescent="0.25">
      <c r="A8012" t="s">
        <v>6991</v>
      </c>
      <c r="B8012" t="s">
        <v>13</v>
      </c>
      <c r="C8012" t="s">
        <v>14</v>
      </c>
      <c r="D8012" t="s">
        <v>14</v>
      </c>
      <c r="E8012" t="s">
        <v>17</v>
      </c>
      <c r="F8012" t="s">
        <v>14</v>
      </c>
      <c r="G8012" t="s">
        <v>14</v>
      </c>
      <c r="H8012" t="s">
        <v>17</v>
      </c>
      <c r="I8012" t="str">
        <f>"063261011306"</f>
        <v>063261011306</v>
      </c>
    </row>
    <row r="8013" spans="1:9" x14ac:dyDescent="0.25">
      <c r="A8013" t="s">
        <v>6992</v>
      </c>
      <c r="B8013" t="s">
        <v>13</v>
      </c>
      <c r="C8013">
        <v>48.65</v>
      </c>
      <c r="D8013">
        <v>55.65</v>
      </c>
      <c r="E8013" t="s">
        <v>17</v>
      </c>
      <c r="F8013">
        <v>25.65</v>
      </c>
      <c r="G8013">
        <v>23.47</v>
      </c>
      <c r="H8013" t="s">
        <v>17</v>
      </c>
      <c r="I8013" t="str">
        <f>"063261005074"</f>
        <v>063261005074</v>
      </c>
    </row>
    <row r="8014" spans="1:9" x14ac:dyDescent="0.25">
      <c r="A8014" t="s">
        <v>6993</v>
      </c>
      <c r="B8014" t="s">
        <v>13</v>
      </c>
      <c r="C8014">
        <v>2.4</v>
      </c>
      <c r="D8014">
        <v>2.4</v>
      </c>
      <c r="E8014" t="s">
        <v>17</v>
      </c>
      <c r="F8014">
        <v>15</v>
      </c>
      <c r="G8014">
        <v>14.58</v>
      </c>
      <c r="H8014" t="s">
        <v>17</v>
      </c>
      <c r="I8014" t="str">
        <f>"060756001445"</f>
        <v>060756001445</v>
      </c>
    </row>
    <row r="8015" spans="1:9" x14ac:dyDescent="0.25">
      <c r="A8015" t="s">
        <v>6994</v>
      </c>
      <c r="B8015" t="s">
        <v>13</v>
      </c>
      <c r="C8015" t="s">
        <v>14</v>
      </c>
      <c r="D8015" t="s">
        <v>14</v>
      </c>
      <c r="E8015" t="s">
        <v>17</v>
      </c>
      <c r="F8015" t="s">
        <v>14</v>
      </c>
      <c r="G8015" t="s">
        <v>14</v>
      </c>
      <c r="H8015" t="s">
        <v>17</v>
      </c>
      <c r="I8015" t="str">
        <f>"063375005209"</f>
        <v>063375005209</v>
      </c>
    </row>
    <row r="8016" spans="1:9" x14ac:dyDescent="0.25">
      <c r="A8016" t="s">
        <v>6995</v>
      </c>
      <c r="B8016" t="s">
        <v>13</v>
      </c>
      <c r="C8016">
        <v>64.81</v>
      </c>
      <c r="D8016">
        <v>60</v>
      </c>
      <c r="E8016" t="s">
        <v>17</v>
      </c>
      <c r="F8016">
        <v>20.94</v>
      </c>
      <c r="G8016">
        <v>21.73</v>
      </c>
      <c r="H8016" t="s">
        <v>17</v>
      </c>
      <c r="I8016" t="str">
        <f>"061288008833"</f>
        <v>061288008833</v>
      </c>
    </row>
    <row r="8017" spans="1:9" x14ac:dyDescent="0.25">
      <c r="A8017" t="s">
        <v>6996</v>
      </c>
      <c r="B8017" t="s">
        <v>13</v>
      </c>
      <c r="C8017">
        <v>7.43</v>
      </c>
      <c r="D8017">
        <v>7.9</v>
      </c>
      <c r="E8017" t="s">
        <v>17</v>
      </c>
      <c r="F8017">
        <v>22.48</v>
      </c>
      <c r="G8017">
        <v>21.39</v>
      </c>
      <c r="H8017" t="s">
        <v>17</v>
      </c>
      <c r="I8017" t="str">
        <f>"063264011481"</f>
        <v>063264011481</v>
      </c>
    </row>
    <row r="8018" spans="1:9" x14ac:dyDescent="0.25">
      <c r="A8018" t="s">
        <v>6997</v>
      </c>
      <c r="B8018" t="s">
        <v>13</v>
      </c>
      <c r="C8018">
        <v>33.15</v>
      </c>
      <c r="D8018">
        <v>36.68</v>
      </c>
      <c r="E8018" t="s">
        <v>17</v>
      </c>
      <c r="F8018">
        <v>25.4</v>
      </c>
      <c r="G8018">
        <v>22.96</v>
      </c>
      <c r="H8018" t="s">
        <v>17</v>
      </c>
      <c r="I8018" t="str">
        <f>"063583006131"</f>
        <v>063583006131</v>
      </c>
    </row>
    <row r="8019" spans="1:9" x14ac:dyDescent="0.25">
      <c r="A8019" t="s">
        <v>6998</v>
      </c>
      <c r="B8019" t="s">
        <v>13</v>
      </c>
      <c r="C8019" t="s">
        <v>14</v>
      </c>
      <c r="D8019" t="s">
        <v>14</v>
      </c>
      <c r="E8019" t="s">
        <v>17</v>
      </c>
      <c r="F8019" t="s">
        <v>14</v>
      </c>
      <c r="G8019" t="s">
        <v>14</v>
      </c>
      <c r="H8019" t="s">
        <v>17</v>
      </c>
      <c r="I8019" t="str">
        <f>"060006105117"</f>
        <v>060006105117</v>
      </c>
    </row>
    <row r="8020" spans="1:9" x14ac:dyDescent="0.25">
      <c r="A8020" t="s">
        <v>6999</v>
      </c>
      <c r="B8020" t="s">
        <v>13</v>
      </c>
      <c r="C8020">
        <v>62.95</v>
      </c>
      <c r="D8020">
        <v>66.010000000000005</v>
      </c>
      <c r="E8020" t="s">
        <v>17</v>
      </c>
      <c r="F8020">
        <v>24.73</v>
      </c>
      <c r="G8020">
        <v>24.28</v>
      </c>
      <c r="H8020" t="s">
        <v>17</v>
      </c>
      <c r="I8020" t="str">
        <f>"063462005812"</f>
        <v>063462005812</v>
      </c>
    </row>
    <row r="8021" spans="1:9" x14ac:dyDescent="0.25">
      <c r="A8021" t="s">
        <v>7000</v>
      </c>
      <c r="B8021" t="s">
        <v>13</v>
      </c>
      <c r="C8021">
        <v>22.5</v>
      </c>
      <c r="D8021">
        <v>21.33</v>
      </c>
      <c r="E8021" t="s">
        <v>17</v>
      </c>
      <c r="F8021">
        <v>25.56</v>
      </c>
      <c r="G8021">
        <v>25.88</v>
      </c>
      <c r="H8021" t="s">
        <v>17</v>
      </c>
      <c r="I8021" t="str">
        <f>"063271008496"</f>
        <v>063271008496</v>
      </c>
    </row>
    <row r="8022" spans="1:9" x14ac:dyDescent="0.25">
      <c r="A8022" t="s">
        <v>7001</v>
      </c>
      <c r="B8022" t="s">
        <v>13</v>
      </c>
      <c r="C8022">
        <v>18.59</v>
      </c>
      <c r="D8022">
        <v>21.45</v>
      </c>
      <c r="E8022" t="s">
        <v>17</v>
      </c>
      <c r="F8022">
        <v>25.07</v>
      </c>
      <c r="G8022">
        <v>21.07</v>
      </c>
      <c r="H8022" t="s">
        <v>17</v>
      </c>
      <c r="I8022" t="str">
        <f>"063271005085"</f>
        <v>063271005085</v>
      </c>
    </row>
    <row r="8023" spans="1:9" x14ac:dyDescent="0.25">
      <c r="A8023" t="s">
        <v>7002</v>
      </c>
      <c r="B8023" t="s">
        <v>13</v>
      </c>
      <c r="C8023">
        <v>31.33</v>
      </c>
      <c r="D8023">
        <v>33.17</v>
      </c>
      <c r="E8023" t="s">
        <v>17</v>
      </c>
      <c r="F8023">
        <v>32.520000000000003</v>
      </c>
      <c r="G8023">
        <v>29.42</v>
      </c>
      <c r="H8023" t="s">
        <v>17</v>
      </c>
      <c r="I8023" t="str">
        <f>"063801007754"</f>
        <v>063801007754</v>
      </c>
    </row>
    <row r="8024" spans="1:9" x14ac:dyDescent="0.25">
      <c r="A8024" t="s">
        <v>7003</v>
      </c>
      <c r="B8024" t="s">
        <v>13</v>
      </c>
      <c r="C8024">
        <v>10.1</v>
      </c>
      <c r="D8024">
        <v>10.48</v>
      </c>
      <c r="E8024" t="s">
        <v>17</v>
      </c>
      <c r="F8024">
        <v>28.51</v>
      </c>
      <c r="G8024">
        <v>28.34</v>
      </c>
      <c r="H8024" t="s">
        <v>17</v>
      </c>
      <c r="I8024" t="str">
        <f>"061233007702"</f>
        <v>061233007702</v>
      </c>
    </row>
    <row r="8025" spans="1:9" x14ac:dyDescent="0.25">
      <c r="A8025" t="s">
        <v>7004</v>
      </c>
      <c r="B8025" t="s">
        <v>13</v>
      </c>
      <c r="C8025" t="s">
        <v>14</v>
      </c>
      <c r="D8025" t="s">
        <v>14</v>
      </c>
      <c r="E8025" t="s">
        <v>17</v>
      </c>
      <c r="F8025" t="s">
        <v>14</v>
      </c>
      <c r="G8025" t="s">
        <v>14</v>
      </c>
      <c r="H8025" t="s">
        <v>17</v>
      </c>
      <c r="I8025" t="str">
        <f>"063276012245"</f>
        <v>063276012245</v>
      </c>
    </row>
    <row r="8026" spans="1:9" x14ac:dyDescent="0.25">
      <c r="A8026" t="s">
        <v>7005</v>
      </c>
      <c r="B8026" t="s">
        <v>13</v>
      </c>
      <c r="C8026">
        <v>18</v>
      </c>
      <c r="D8026">
        <v>17</v>
      </c>
      <c r="E8026" t="s">
        <v>17</v>
      </c>
      <c r="F8026">
        <v>27.11</v>
      </c>
      <c r="G8026">
        <v>27.65</v>
      </c>
      <c r="H8026" t="s">
        <v>17</v>
      </c>
      <c r="I8026" t="str">
        <f>"063276011833"</f>
        <v>063276011833</v>
      </c>
    </row>
    <row r="8027" spans="1:9" x14ac:dyDescent="0.25">
      <c r="A8027" t="s">
        <v>7006</v>
      </c>
      <c r="B8027" t="s">
        <v>13</v>
      </c>
      <c r="C8027">
        <v>21</v>
      </c>
      <c r="D8027">
        <v>22</v>
      </c>
      <c r="E8027" t="s">
        <v>17</v>
      </c>
      <c r="F8027">
        <v>28</v>
      </c>
      <c r="G8027">
        <v>28.05</v>
      </c>
      <c r="H8027" t="s">
        <v>17</v>
      </c>
      <c r="I8027" t="str">
        <f>"062949004549"</f>
        <v>062949004549</v>
      </c>
    </row>
    <row r="8028" spans="1:9" x14ac:dyDescent="0.25">
      <c r="A8028" t="s">
        <v>7007</v>
      </c>
      <c r="B8028" t="s">
        <v>13</v>
      </c>
      <c r="C8028">
        <v>20</v>
      </c>
      <c r="D8028">
        <v>19</v>
      </c>
      <c r="E8028" t="s">
        <v>17</v>
      </c>
      <c r="F8028">
        <v>28.2</v>
      </c>
      <c r="G8028">
        <v>28.37</v>
      </c>
      <c r="H8028" t="s">
        <v>17</v>
      </c>
      <c r="I8028" t="str">
        <f>"063276010453"</f>
        <v>063276010453</v>
      </c>
    </row>
    <row r="8029" spans="1:9" x14ac:dyDescent="0.25">
      <c r="A8029" t="s">
        <v>7008</v>
      </c>
      <c r="B8029" t="s">
        <v>13</v>
      </c>
      <c r="C8029">
        <v>25.5</v>
      </c>
      <c r="D8029">
        <v>24.5</v>
      </c>
      <c r="E8029" t="s">
        <v>17</v>
      </c>
      <c r="F8029">
        <v>18.04</v>
      </c>
      <c r="G8029">
        <v>18.98</v>
      </c>
      <c r="H8029" t="s">
        <v>17</v>
      </c>
      <c r="I8029" t="str">
        <f>"063118011547"</f>
        <v>063118011547</v>
      </c>
    </row>
    <row r="8030" spans="1:9" x14ac:dyDescent="0.25">
      <c r="A8030" t="s">
        <v>7009</v>
      </c>
      <c r="B8030" t="s">
        <v>13</v>
      </c>
      <c r="C8030">
        <v>1</v>
      </c>
      <c r="D8030">
        <v>1</v>
      </c>
      <c r="E8030" t="s">
        <v>17</v>
      </c>
      <c r="F8030">
        <v>19</v>
      </c>
      <c r="G8030">
        <v>22</v>
      </c>
      <c r="H8030" t="s">
        <v>17</v>
      </c>
      <c r="I8030" t="str">
        <f>"069113410212"</f>
        <v>069113410212</v>
      </c>
    </row>
    <row r="8031" spans="1:9" x14ac:dyDescent="0.25">
      <c r="A8031" t="s">
        <v>7010</v>
      </c>
      <c r="B8031" t="s">
        <v>13</v>
      </c>
      <c r="C8031">
        <v>31</v>
      </c>
      <c r="D8031">
        <v>31.5</v>
      </c>
      <c r="E8031" t="s">
        <v>17</v>
      </c>
      <c r="F8031">
        <v>23.94</v>
      </c>
      <c r="G8031">
        <v>22.67</v>
      </c>
      <c r="H8031" t="s">
        <v>17</v>
      </c>
      <c r="I8031" t="str">
        <f>"063276005089"</f>
        <v>063276005089</v>
      </c>
    </row>
    <row r="8032" spans="1:9" x14ac:dyDescent="0.25">
      <c r="A8032" t="s">
        <v>7011</v>
      </c>
      <c r="B8032" t="s">
        <v>13</v>
      </c>
      <c r="C8032">
        <v>34.92</v>
      </c>
      <c r="D8032">
        <v>31</v>
      </c>
      <c r="E8032" t="s">
        <v>17</v>
      </c>
      <c r="F8032">
        <v>24.48</v>
      </c>
      <c r="G8032">
        <v>25.87</v>
      </c>
      <c r="H8032" t="s">
        <v>17</v>
      </c>
      <c r="I8032" t="str">
        <f>"061209001357"</f>
        <v>061209001357</v>
      </c>
    </row>
    <row r="8033" spans="1:9" x14ac:dyDescent="0.25">
      <c r="A8033" t="s">
        <v>7011</v>
      </c>
      <c r="B8033" t="s">
        <v>13</v>
      </c>
      <c r="C8033">
        <v>34.75</v>
      </c>
      <c r="D8033">
        <v>32.15</v>
      </c>
      <c r="E8033" t="s">
        <v>17</v>
      </c>
      <c r="F8033">
        <v>25.78</v>
      </c>
      <c r="G8033">
        <v>26.38</v>
      </c>
      <c r="H8033" t="s">
        <v>17</v>
      </c>
      <c r="I8033" t="str">
        <f>"061146001273"</f>
        <v>061146001273</v>
      </c>
    </row>
    <row r="8034" spans="1:9" x14ac:dyDescent="0.25">
      <c r="A8034" t="s">
        <v>7012</v>
      </c>
      <c r="B8034" t="s">
        <v>13</v>
      </c>
      <c r="C8034">
        <v>86.4</v>
      </c>
      <c r="D8034">
        <v>90.4</v>
      </c>
      <c r="E8034" t="s">
        <v>17</v>
      </c>
      <c r="F8034">
        <v>19.87</v>
      </c>
      <c r="G8034">
        <v>20.11</v>
      </c>
      <c r="H8034" t="s">
        <v>17</v>
      </c>
      <c r="I8034" t="str">
        <f>"060133201991"</f>
        <v>060133201991</v>
      </c>
    </row>
    <row r="8035" spans="1:9" x14ac:dyDescent="0.25">
      <c r="A8035" t="s">
        <v>7013</v>
      </c>
      <c r="B8035" t="s">
        <v>13</v>
      </c>
      <c r="C8035">
        <v>19.670000000000002</v>
      </c>
      <c r="D8035">
        <v>20</v>
      </c>
      <c r="E8035" t="s">
        <v>17</v>
      </c>
      <c r="F8035">
        <v>20.59</v>
      </c>
      <c r="G8035">
        <v>22.75</v>
      </c>
      <c r="H8035" t="s">
        <v>17</v>
      </c>
      <c r="I8035" t="str">
        <f>"060133201992"</f>
        <v>060133201992</v>
      </c>
    </row>
    <row r="8036" spans="1:9" x14ac:dyDescent="0.25">
      <c r="A8036" t="s">
        <v>7014</v>
      </c>
      <c r="B8036" t="s">
        <v>13</v>
      </c>
      <c r="C8036">
        <v>16</v>
      </c>
      <c r="D8036">
        <v>16</v>
      </c>
      <c r="E8036" t="s">
        <v>17</v>
      </c>
      <c r="F8036">
        <v>28.13</v>
      </c>
      <c r="G8036">
        <v>28.63</v>
      </c>
      <c r="H8036" t="s">
        <v>17</v>
      </c>
      <c r="I8036" t="str">
        <f>"063276005090"</f>
        <v>063276005090</v>
      </c>
    </row>
    <row r="8037" spans="1:9" x14ac:dyDescent="0.25">
      <c r="A8037" t="s">
        <v>7015</v>
      </c>
      <c r="B8037" t="s">
        <v>13</v>
      </c>
      <c r="C8037">
        <v>84.05</v>
      </c>
      <c r="D8037">
        <v>85.2</v>
      </c>
      <c r="E8037" t="s">
        <v>17</v>
      </c>
      <c r="F8037">
        <v>24.52</v>
      </c>
      <c r="G8037">
        <v>23.87</v>
      </c>
      <c r="H8037" t="s">
        <v>17</v>
      </c>
      <c r="I8037" t="str">
        <f>"062927004521"</f>
        <v>062927004521</v>
      </c>
    </row>
    <row r="8038" spans="1:9" x14ac:dyDescent="0.25">
      <c r="A8038" t="s">
        <v>7016</v>
      </c>
      <c r="B8038" t="s">
        <v>13</v>
      </c>
      <c r="C8038">
        <v>48.5</v>
      </c>
      <c r="D8038">
        <v>49</v>
      </c>
      <c r="E8038" t="s">
        <v>17</v>
      </c>
      <c r="F8038">
        <v>25.32</v>
      </c>
      <c r="G8038">
        <v>24.06</v>
      </c>
      <c r="H8038" t="s">
        <v>17</v>
      </c>
      <c r="I8038" t="str">
        <f>"064251011320"</f>
        <v>064251011320</v>
      </c>
    </row>
    <row r="8039" spans="1:9" x14ac:dyDescent="0.25">
      <c r="A8039" t="s">
        <v>7017</v>
      </c>
      <c r="B8039" t="s">
        <v>13</v>
      </c>
      <c r="C8039">
        <v>17</v>
      </c>
      <c r="D8039">
        <v>17</v>
      </c>
      <c r="E8039" t="s">
        <v>17</v>
      </c>
      <c r="F8039">
        <v>29.47</v>
      </c>
      <c r="G8039">
        <v>28.82</v>
      </c>
      <c r="H8039" t="s">
        <v>17</v>
      </c>
      <c r="I8039" t="str">
        <f>"063276005091"</f>
        <v>063276005091</v>
      </c>
    </row>
    <row r="8040" spans="1:9" x14ac:dyDescent="0.25">
      <c r="A8040" t="s">
        <v>7018</v>
      </c>
      <c r="B8040" t="s">
        <v>13</v>
      </c>
      <c r="C8040">
        <v>23</v>
      </c>
      <c r="D8040">
        <v>22</v>
      </c>
      <c r="E8040" t="s">
        <v>17</v>
      </c>
      <c r="F8040">
        <v>29.17</v>
      </c>
      <c r="G8040">
        <v>29.05</v>
      </c>
      <c r="H8040" t="s">
        <v>17</v>
      </c>
      <c r="I8040" t="str">
        <f>"063276005092"</f>
        <v>063276005092</v>
      </c>
    </row>
    <row r="8041" spans="1:9" x14ac:dyDescent="0.25">
      <c r="A8041" t="s">
        <v>7019</v>
      </c>
      <c r="B8041" t="s">
        <v>13</v>
      </c>
      <c r="C8041">
        <v>21</v>
      </c>
      <c r="D8041">
        <v>21</v>
      </c>
      <c r="E8041" t="s">
        <v>17</v>
      </c>
      <c r="F8041">
        <v>26.19</v>
      </c>
      <c r="G8041">
        <v>26.95</v>
      </c>
      <c r="H8041" t="s">
        <v>17</v>
      </c>
      <c r="I8041" t="str">
        <f>"063276008667"</f>
        <v>063276008667</v>
      </c>
    </row>
    <row r="8042" spans="1:9" x14ac:dyDescent="0.25">
      <c r="A8042" t="s">
        <v>7020</v>
      </c>
      <c r="B8042" t="s">
        <v>13</v>
      </c>
      <c r="C8042">
        <v>30</v>
      </c>
      <c r="D8042">
        <v>31.75</v>
      </c>
      <c r="E8042" t="s">
        <v>17</v>
      </c>
      <c r="F8042">
        <v>27.37</v>
      </c>
      <c r="G8042">
        <v>26.55</v>
      </c>
      <c r="H8042" t="s">
        <v>17</v>
      </c>
      <c r="I8042" t="str">
        <f>"061146001274"</f>
        <v>061146001274</v>
      </c>
    </row>
    <row r="8043" spans="1:9" x14ac:dyDescent="0.25">
      <c r="A8043" t="s">
        <v>7021</v>
      </c>
      <c r="B8043" t="s">
        <v>13</v>
      </c>
      <c r="C8043">
        <v>43.5</v>
      </c>
      <c r="D8043">
        <v>40</v>
      </c>
      <c r="E8043" t="s">
        <v>17</v>
      </c>
      <c r="F8043">
        <v>22.83</v>
      </c>
      <c r="G8043">
        <v>24.63</v>
      </c>
      <c r="H8043" t="s">
        <v>17</v>
      </c>
      <c r="I8043" t="str">
        <f>"063588006144"</f>
        <v>063588006144</v>
      </c>
    </row>
    <row r="8044" spans="1:9" x14ac:dyDescent="0.25">
      <c r="A8044" t="s">
        <v>7022</v>
      </c>
      <c r="B8044" t="s">
        <v>13</v>
      </c>
      <c r="C8044">
        <v>27</v>
      </c>
      <c r="D8044">
        <v>28</v>
      </c>
      <c r="E8044" t="s">
        <v>17</v>
      </c>
      <c r="F8044">
        <v>20.3</v>
      </c>
      <c r="G8044">
        <v>20.68</v>
      </c>
      <c r="H8044" t="s">
        <v>17</v>
      </c>
      <c r="I8044" t="str">
        <f>"060133201993"</f>
        <v>060133201993</v>
      </c>
    </row>
    <row r="8045" spans="1:9" x14ac:dyDescent="0.25">
      <c r="A8045" t="s">
        <v>7023</v>
      </c>
      <c r="B8045" t="s">
        <v>13</v>
      </c>
      <c r="C8045">
        <v>11</v>
      </c>
      <c r="D8045">
        <v>11.32</v>
      </c>
      <c r="E8045" t="s">
        <v>17</v>
      </c>
      <c r="F8045">
        <v>27.82</v>
      </c>
      <c r="G8045">
        <v>23.59</v>
      </c>
      <c r="H8045" t="s">
        <v>17</v>
      </c>
      <c r="I8045" t="str">
        <f>"062223012723"</f>
        <v>062223012723</v>
      </c>
    </row>
    <row r="8046" spans="1:9" x14ac:dyDescent="0.25">
      <c r="A8046" t="s">
        <v>7024</v>
      </c>
      <c r="B8046" t="s">
        <v>13</v>
      </c>
      <c r="C8046">
        <v>1</v>
      </c>
      <c r="D8046">
        <v>1</v>
      </c>
      <c r="E8046" t="s">
        <v>17</v>
      </c>
      <c r="F8046">
        <v>8</v>
      </c>
      <c r="G8046">
        <v>19</v>
      </c>
      <c r="H8046" t="s">
        <v>17</v>
      </c>
      <c r="I8046" t="str">
        <f>"061959011602"</f>
        <v>061959011602</v>
      </c>
    </row>
    <row r="8047" spans="1:9" x14ac:dyDescent="0.25">
      <c r="A8047" t="s">
        <v>7025</v>
      </c>
      <c r="B8047" t="s">
        <v>13</v>
      </c>
      <c r="C8047">
        <v>20</v>
      </c>
      <c r="D8047">
        <v>20</v>
      </c>
      <c r="E8047" t="s">
        <v>17</v>
      </c>
      <c r="F8047">
        <v>22.55</v>
      </c>
      <c r="G8047">
        <v>22</v>
      </c>
      <c r="H8047" t="s">
        <v>17</v>
      </c>
      <c r="I8047" t="str">
        <f>"061209001358"</f>
        <v>061209001358</v>
      </c>
    </row>
    <row r="8048" spans="1:9" x14ac:dyDescent="0.25">
      <c r="A8048" t="s">
        <v>7025</v>
      </c>
      <c r="B8048" t="s">
        <v>13</v>
      </c>
      <c r="C8048">
        <v>19</v>
      </c>
      <c r="D8048">
        <v>21</v>
      </c>
      <c r="E8048" t="s">
        <v>17</v>
      </c>
      <c r="F8048">
        <v>23.79</v>
      </c>
      <c r="G8048">
        <v>22.95</v>
      </c>
      <c r="H8048" t="s">
        <v>17</v>
      </c>
      <c r="I8048" t="str">
        <f>"061218001380"</f>
        <v>061218001380</v>
      </c>
    </row>
    <row r="8049" spans="1:9" x14ac:dyDescent="0.25">
      <c r="A8049" t="s">
        <v>7025</v>
      </c>
      <c r="B8049" t="s">
        <v>13</v>
      </c>
      <c r="C8049">
        <v>16.600000000000001</v>
      </c>
      <c r="D8049">
        <v>20.45</v>
      </c>
      <c r="E8049" t="s">
        <v>17</v>
      </c>
      <c r="F8049">
        <v>31.02</v>
      </c>
      <c r="G8049">
        <v>23.91</v>
      </c>
      <c r="H8049" t="s">
        <v>17</v>
      </c>
      <c r="I8049" t="str">
        <f>"061380001558"</f>
        <v>061380001558</v>
      </c>
    </row>
    <row r="8050" spans="1:9" x14ac:dyDescent="0.25">
      <c r="A8050" t="s">
        <v>7025</v>
      </c>
      <c r="B8050" t="s">
        <v>13</v>
      </c>
      <c r="C8050">
        <v>28</v>
      </c>
      <c r="D8050">
        <v>28</v>
      </c>
      <c r="E8050" t="s">
        <v>17</v>
      </c>
      <c r="F8050">
        <v>26.11</v>
      </c>
      <c r="G8050">
        <v>26.04</v>
      </c>
      <c r="H8050" t="s">
        <v>17</v>
      </c>
      <c r="I8050" t="str">
        <f>"062955011029"</f>
        <v>062955011029</v>
      </c>
    </row>
    <row r="8051" spans="1:9" x14ac:dyDescent="0.25">
      <c r="A8051" t="s">
        <v>7025</v>
      </c>
      <c r="B8051" t="s">
        <v>13</v>
      </c>
      <c r="C8051">
        <v>32.25</v>
      </c>
      <c r="D8051">
        <v>32</v>
      </c>
      <c r="E8051" t="s">
        <v>17</v>
      </c>
      <c r="F8051">
        <v>29.49</v>
      </c>
      <c r="G8051">
        <v>29.41</v>
      </c>
      <c r="H8051" t="s">
        <v>17</v>
      </c>
      <c r="I8051" t="str">
        <f>"063066004768"</f>
        <v>063066004768</v>
      </c>
    </row>
    <row r="8052" spans="1:9" x14ac:dyDescent="0.25">
      <c r="A8052" t="s">
        <v>7025</v>
      </c>
      <c r="B8052" t="s">
        <v>13</v>
      </c>
      <c r="C8052">
        <v>27</v>
      </c>
      <c r="D8052">
        <v>36.380000000000003</v>
      </c>
      <c r="E8052" t="s">
        <v>17</v>
      </c>
      <c r="F8052">
        <v>28.22</v>
      </c>
      <c r="G8052">
        <v>22.54</v>
      </c>
      <c r="H8052" t="s">
        <v>17</v>
      </c>
      <c r="I8052" t="str">
        <f>"063597006157"</f>
        <v>063597006157</v>
      </c>
    </row>
    <row r="8053" spans="1:9" x14ac:dyDescent="0.25">
      <c r="A8053" t="s">
        <v>7025</v>
      </c>
      <c r="B8053" t="s">
        <v>13</v>
      </c>
      <c r="C8053">
        <v>19</v>
      </c>
      <c r="D8053">
        <v>18</v>
      </c>
      <c r="E8053" t="s">
        <v>17</v>
      </c>
      <c r="F8053">
        <v>20.95</v>
      </c>
      <c r="G8053">
        <v>22.67</v>
      </c>
      <c r="H8053" t="s">
        <v>17</v>
      </c>
      <c r="I8053" t="str">
        <f>"062271003309"</f>
        <v>062271003309</v>
      </c>
    </row>
    <row r="8054" spans="1:9" x14ac:dyDescent="0.25">
      <c r="A8054" t="s">
        <v>7025</v>
      </c>
      <c r="B8054" t="s">
        <v>13</v>
      </c>
      <c r="C8054">
        <v>21.5</v>
      </c>
      <c r="D8054">
        <v>16.8</v>
      </c>
      <c r="E8054" t="s">
        <v>17</v>
      </c>
      <c r="F8054">
        <v>21.12</v>
      </c>
      <c r="G8054">
        <v>25.36</v>
      </c>
      <c r="H8054" t="s">
        <v>17</v>
      </c>
      <c r="I8054" t="str">
        <f>"062637009406"</f>
        <v>062637009406</v>
      </c>
    </row>
    <row r="8055" spans="1:9" x14ac:dyDescent="0.25">
      <c r="A8055" t="s">
        <v>7025</v>
      </c>
      <c r="B8055" t="s">
        <v>13</v>
      </c>
      <c r="C8055">
        <v>29</v>
      </c>
      <c r="D8055">
        <v>30</v>
      </c>
      <c r="E8055" t="s">
        <v>17</v>
      </c>
      <c r="F8055">
        <v>19.41</v>
      </c>
      <c r="G8055">
        <v>18.57</v>
      </c>
      <c r="H8055" t="s">
        <v>17</v>
      </c>
      <c r="I8055" t="str">
        <f>"063417005382"</f>
        <v>063417005382</v>
      </c>
    </row>
    <row r="8056" spans="1:9" x14ac:dyDescent="0.25">
      <c r="A8056" t="s">
        <v>7025</v>
      </c>
      <c r="B8056" t="s">
        <v>13</v>
      </c>
      <c r="C8056">
        <v>33.5</v>
      </c>
      <c r="D8056">
        <v>29</v>
      </c>
      <c r="E8056" t="s">
        <v>17</v>
      </c>
      <c r="F8056">
        <v>26.18</v>
      </c>
      <c r="G8056">
        <v>26</v>
      </c>
      <c r="H8056" t="s">
        <v>17</v>
      </c>
      <c r="I8056" t="str">
        <f>"060001701149"</f>
        <v>060001701149</v>
      </c>
    </row>
    <row r="8057" spans="1:9" x14ac:dyDescent="0.25">
      <c r="A8057" t="s">
        <v>7026</v>
      </c>
      <c r="B8057" t="s">
        <v>13</v>
      </c>
      <c r="C8057">
        <v>2.1</v>
      </c>
      <c r="D8057">
        <v>2.48</v>
      </c>
      <c r="E8057" t="s">
        <v>17</v>
      </c>
      <c r="F8057">
        <v>19.05</v>
      </c>
      <c r="G8057">
        <v>11.69</v>
      </c>
      <c r="H8057" t="s">
        <v>17</v>
      </c>
      <c r="I8057" t="str">
        <f>"061926000963"</f>
        <v>061926000963</v>
      </c>
    </row>
    <row r="8058" spans="1:9" x14ac:dyDescent="0.25">
      <c r="A8058" t="s">
        <v>7026</v>
      </c>
      <c r="B8058" t="s">
        <v>13</v>
      </c>
      <c r="C8058">
        <v>19.850000000000001</v>
      </c>
      <c r="D8058">
        <v>20.399999999999999</v>
      </c>
      <c r="E8058" t="s">
        <v>17</v>
      </c>
      <c r="F8058">
        <v>17.579999999999998</v>
      </c>
      <c r="G8058">
        <v>18.09</v>
      </c>
      <c r="H8058" t="s">
        <v>17</v>
      </c>
      <c r="I8058" t="str">
        <f>"063311005125"</f>
        <v>063311005125</v>
      </c>
    </row>
    <row r="8059" spans="1:9" x14ac:dyDescent="0.25">
      <c r="A8059" t="s">
        <v>7027</v>
      </c>
      <c r="B8059" t="s">
        <v>13</v>
      </c>
      <c r="C8059">
        <v>29.8</v>
      </c>
      <c r="D8059">
        <v>29.7</v>
      </c>
      <c r="E8059" t="s">
        <v>17</v>
      </c>
      <c r="F8059">
        <v>24.3</v>
      </c>
      <c r="G8059">
        <v>24.51</v>
      </c>
      <c r="H8059" t="s">
        <v>17</v>
      </c>
      <c r="I8059" t="str">
        <f>"063276011957"</f>
        <v>063276011957</v>
      </c>
    </row>
    <row r="8060" spans="1:9" x14ac:dyDescent="0.25">
      <c r="A8060" t="s">
        <v>7027</v>
      </c>
      <c r="B8060" t="s">
        <v>13</v>
      </c>
      <c r="C8060">
        <v>31.78</v>
      </c>
      <c r="D8060">
        <v>32</v>
      </c>
      <c r="E8060" t="s">
        <v>17</v>
      </c>
      <c r="F8060">
        <v>24.86</v>
      </c>
      <c r="G8060">
        <v>24.78</v>
      </c>
      <c r="H8060" t="s">
        <v>17</v>
      </c>
      <c r="I8060" t="str">
        <f>"060797010494"</f>
        <v>060797010494</v>
      </c>
    </row>
    <row r="8061" spans="1:9" x14ac:dyDescent="0.25">
      <c r="A8061" t="s">
        <v>7028</v>
      </c>
      <c r="B8061" t="s">
        <v>13</v>
      </c>
      <c r="C8061">
        <v>11</v>
      </c>
      <c r="D8061">
        <v>12</v>
      </c>
      <c r="E8061" t="s">
        <v>17</v>
      </c>
      <c r="F8061">
        <v>25.36</v>
      </c>
      <c r="G8061">
        <v>24.67</v>
      </c>
      <c r="H8061" t="s">
        <v>17</v>
      </c>
      <c r="I8061" t="str">
        <f>"060681000624"</f>
        <v>060681000624</v>
      </c>
    </row>
    <row r="8062" spans="1:9" x14ac:dyDescent="0.25">
      <c r="A8062" t="s">
        <v>7029</v>
      </c>
      <c r="B8062" t="s">
        <v>13</v>
      </c>
      <c r="C8062">
        <v>18.62</v>
      </c>
      <c r="D8062">
        <v>16.73</v>
      </c>
      <c r="E8062" t="s">
        <v>17</v>
      </c>
      <c r="F8062">
        <v>23.85</v>
      </c>
      <c r="G8062">
        <v>25.16</v>
      </c>
      <c r="H8062" t="s">
        <v>17</v>
      </c>
      <c r="I8062" t="str">
        <f>"063288005111"</f>
        <v>063288005111</v>
      </c>
    </row>
    <row r="8063" spans="1:9" x14ac:dyDescent="0.25">
      <c r="A8063" t="s">
        <v>7030</v>
      </c>
      <c r="B8063" t="s">
        <v>13</v>
      </c>
      <c r="C8063">
        <v>35.28</v>
      </c>
      <c r="D8063">
        <v>37.42</v>
      </c>
      <c r="E8063" t="s">
        <v>17</v>
      </c>
      <c r="F8063">
        <v>25.31</v>
      </c>
      <c r="G8063">
        <v>24.59</v>
      </c>
      <c r="H8063" t="s">
        <v>17</v>
      </c>
      <c r="I8063" t="str">
        <f>"063288005112"</f>
        <v>063288005112</v>
      </c>
    </row>
    <row r="8064" spans="1:9" x14ac:dyDescent="0.25">
      <c r="A8064" t="s">
        <v>7031</v>
      </c>
      <c r="B8064" t="s">
        <v>13</v>
      </c>
      <c r="C8064">
        <v>17.079999999999998</v>
      </c>
      <c r="D8064">
        <v>17.260000000000002</v>
      </c>
      <c r="E8064" t="s">
        <v>17</v>
      </c>
      <c r="F8064">
        <v>25.23</v>
      </c>
      <c r="G8064">
        <v>26.01</v>
      </c>
      <c r="H8064" t="s">
        <v>17</v>
      </c>
      <c r="I8064" t="str">
        <f>"063288005113"</f>
        <v>063288005113</v>
      </c>
    </row>
    <row r="8065" spans="1:9" x14ac:dyDescent="0.25">
      <c r="A8065" t="s">
        <v>7032</v>
      </c>
      <c r="B8065" t="s">
        <v>13</v>
      </c>
      <c r="C8065">
        <v>14</v>
      </c>
      <c r="D8065">
        <v>15</v>
      </c>
      <c r="E8065" t="s">
        <v>17</v>
      </c>
      <c r="F8065">
        <v>23.21</v>
      </c>
      <c r="G8065">
        <v>22.47</v>
      </c>
      <c r="H8065" t="s">
        <v>17</v>
      </c>
      <c r="I8065" t="str">
        <f>"062805011559"</f>
        <v>062805011559</v>
      </c>
    </row>
    <row r="8066" spans="1:9" x14ac:dyDescent="0.25">
      <c r="A8066" t="s">
        <v>7033</v>
      </c>
      <c r="B8066" t="s">
        <v>13</v>
      </c>
      <c r="C8066">
        <v>5</v>
      </c>
      <c r="D8066" t="s">
        <v>14</v>
      </c>
      <c r="E8066" t="s">
        <v>14</v>
      </c>
      <c r="F8066">
        <v>17</v>
      </c>
      <c r="G8066" t="s">
        <v>14</v>
      </c>
      <c r="H8066" t="s">
        <v>14</v>
      </c>
      <c r="I8066" t="str">
        <f>"062271012852"</f>
        <v>062271012852</v>
      </c>
    </row>
    <row r="8067" spans="1:9" x14ac:dyDescent="0.25">
      <c r="A8067" t="s">
        <v>7034</v>
      </c>
      <c r="B8067" t="s">
        <v>13</v>
      </c>
      <c r="C8067">
        <v>13.2</v>
      </c>
      <c r="D8067">
        <v>16.399999999999999</v>
      </c>
      <c r="E8067" t="s">
        <v>17</v>
      </c>
      <c r="F8067">
        <v>12.5</v>
      </c>
      <c r="G8067">
        <v>13.6</v>
      </c>
      <c r="H8067" t="s">
        <v>17</v>
      </c>
      <c r="I8067" t="str">
        <f>"069100602957"</f>
        <v>069100602957</v>
      </c>
    </row>
    <row r="8068" spans="1:9" x14ac:dyDescent="0.25">
      <c r="A8068" t="s">
        <v>7035</v>
      </c>
      <c r="B8068" t="s">
        <v>13</v>
      </c>
      <c r="C8068">
        <v>18</v>
      </c>
      <c r="D8068">
        <v>16</v>
      </c>
      <c r="E8068" t="s">
        <v>17</v>
      </c>
      <c r="F8068">
        <v>20.89</v>
      </c>
      <c r="G8068">
        <v>24.19</v>
      </c>
      <c r="H8068" t="s">
        <v>17</v>
      </c>
      <c r="I8068" t="str">
        <f>"062271003310"</f>
        <v>062271003310</v>
      </c>
    </row>
    <row r="8069" spans="1:9" x14ac:dyDescent="0.25">
      <c r="A8069" t="s">
        <v>7036</v>
      </c>
      <c r="B8069" t="s">
        <v>13</v>
      </c>
      <c r="C8069">
        <v>5.51</v>
      </c>
      <c r="D8069">
        <v>5.51</v>
      </c>
      <c r="E8069" t="s">
        <v>17</v>
      </c>
      <c r="F8069">
        <v>9.07</v>
      </c>
      <c r="G8069">
        <v>11.07</v>
      </c>
      <c r="H8069" t="s">
        <v>17</v>
      </c>
      <c r="I8069" t="str">
        <f>"064116007892"</f>
        <v>064116007892</v>
      </c>
    </row>
    <row r="8070" spans="1:9" x14ac:dyDescent="0.25">
      <c r="A8070" t="s">
        <v>7037</v>
      </c>
      <c r="B8070" t="s">
        <v>13</v>
      </c>
      <c r="C8070">
        <v>29</v>
      </c>
      <c r="D8070">
        <v>29</v>
      </c>
      <c r="E8070" t="s">
        <v>17</v>
      </c>
      <c r="F8070">
        <v>29.38</v>
      </c>
      <c r="G8070">
        <v>28.62</v>
      </c>
      <c r="H8070" t="s">
        <v>17</v>
      </c>
      <c r="I8070" t="str">
        <f>"060797010493"</f>
        <v>060797010493</v>
      </c>
    </row>
    <row r="8071" spans="1:9" x14ac:dyDescent="0.25">
      <c r="A8071" t="s">
        <v>7038</v>
      </c>
      <c r="B8071" t="s">
        <v>13</v>
      </c>
      <c r="C8071">
        <v>16.170000000000002</v>
      </c>
      <c r="D8071">
        <v>15.86</v>
      </c>
      <c r="E8071" t="s">
        <v>17</v>
      </c>
      <c r="F8071">
        <v>22.33</v>
      </c>
      <c r="G8071">
        <v>22.51</v>
      </c>
      <c r="H8071" t="s">
        <v>17</v>
      </c>
      <c r="I8071" t="str">
        <f>"062664004695"</f>
        <v>062664004695</v>
      </c>
    </row>
    <row r="8072" spans="1:9" x14ac:dyDescent="0.25">
      <c r="A8072" t="s">
        <v>7039</v>
      </c>
      <c r="B8072" t="s">
        <v>13</v>
      </c>
      <c r="C8072">
        <v>83.34</v>
      </c>
      <c r="D8072">
        <v>78.66</v>
      </c>
      <c r="E8072" t="s">
        <v>17</v>
      </c>
      <c r="F8072">
        <v>23.99</v>
      </c>
      <c r="G8072">
        <v>24.96</v>
      </c>
      <c r="H8072" t="s">
        <v>17</v>
      </c>
      <c r="I8072" t="str">
        <f>"064158006857"</f>
        <v>064158006857</v>
      </c>
    </row>
    <row r="8073" spans="1:9" x14ac:dyDescent="0.25">
      <c r="A8073" t="s">
        <v>7040</v>
      </c>
      <c r="B8073" t="s">
        <v>13</v>
      </c>
      <c r="C8073" t="str">
        <f>"0.88"</f>
        <v>0.88</v>
      </c>
      <c r="D8073">
        <v>1</v>
      </c>
      <c r="E8073" t="s">
        <v>17</v>
      </c>
      <c r="F8073">
        <v>3.41</v>
      </c>
      <c r="G8073">
        <v>5</v>
      </c>
      <c r="H8073" t="s">
        <v>17</v>
      </c>
      <c r="I8073" t="str">
        <f>"063311011075"</f>
        <v>063311011075</v>
      </c>
    </row>
    <row r="8074" spans="1:9" x14ac:dyDescent="0.25">
      <c r="A8074" t="s">
        <v>7041</v>
      </c>
      <c r="B8074" t="s">
        <v>13</v>
      </c>
      <c r="C8074" t="str">
        <f>"0.83"</f>
        <v>0.83</v>
      </c>
      <c r="D8074">
        <v>1</v>
      </c>
      <c r="E8074" t="s">
        <v>17</v>
      </c>
      <c r="F8074">
        <v>21.69</v>
      </c>
      <c r="G8074">
        <v>17</v>
      </c>
      <c r="H8074" t="s">
        <v>17</v>
      </c>
      <c r="I8074" t="str">
        <f>"063311009429"</f>
        <v>063311009429</v>
      </c>
    </row>
    <row r="8075" spans="1:9" x14ac:dyDescent="0.25">
      <c r="A8075" t="s">
        <v>7042</v>
      </c>
      <c r="B8075" t="s">
        <v>13</v>
      </c>
      <c r="C8075">
        <v>21.13</v>
      </c>
      <c r="D8075">
        <v>22.32</v>
      </c>
      <c r="E8075" t="s">
        <v>17</v>
      </c>
      <c r="F8075">
        <v>25.46</v>
      </c>
      <c r="G8075">
        <v>23.92</v>
      </c>
      <c r="H8075" t="s">
        <v>17</v>
      </c>
      <c r="I8075" t="str">
        <f>"063459004084"</f>
        <v>063459004084</v>
      </c>
    </row>
    <row r="8076" spans="1:9" x14ac:dyDescent="0.25">
      <c r="A8076" t="s">
        <v>7043</v>
      </c>
      <c r="B8076" t="s">
        <v>13</v>
      </c>
      <c r="C8076">
        <v>42.01</v>
      </c>
      <c r="D8076">
        <v>45</v>
      </c>
      <c r="E8076" t="s">
        <v>17</v>
      </c>
      <c r="F8076">
        <v>24.68</v>
      </c>
      <c r="G8076">
        <v>24.58</v>
      </c>
      <c r="H8076" t="s">
        <v>17</v>
      </c>
      <c r="I8076" t="str">
        <f>"060985011710"</f>
        <v>060985011710</v>
      </c>
    </row>
    <row r="8077" spans="1:9" x14ac:dyDescent="0.25">
      <c r="A8077" t="s">
        <v>7044</v>
      </c>
      <c r="B8077" t="s">
        <v>13</v>
      </c>
      <c r="C8077" t="s">
        <v>17</v>
      </c>
      <c r="D8077" t="s">
        <v>14</v>
      </c>
      <c r="E8077" t="s">
        <v>14</v>
      </c>
      <c r="F8077" t="s">
        <v>17</v>
      </c>
      <c r="G8077" t="s">
        <v>14</v>
      </c>
      <c r="H8077" t="s">
        <v>14</v>
      </c>
      <c r="I8077" t="str">
        <f>"060387013146"</f>
        <v>060387013146</v>
      </c>
    </row>
    <row r="8078" spans="1:9" x14ac:dyDescent="0.25">
      <c r="A8078" t="s">
        <v>7045</v>
      </c>
      <c r="B8078" t="s">
        <v>13</v>
      </c>
      <c r="C8078">
        <v>7</v>
      </c>
      <c r="D8078">
        <v>6</v>
      </c>
      <c r="E8078" t="s">
        <v>17</v>
      </c>
      <c r="F8078">
        <v>23.71</v>
      </c>
      <c r="G8078">
        <v>25.5</v>
      </c>
      <c r="H8078" t="s">
        <v>17</v>
      </c>
      <c r="I8078" t="str">
        <f>"060133812549"</f>
        <v>060133812549</v>
      </c>
    </row>
    <row r="8079" spans="1:9" x14ac:dyDescent="0.25">
      <c r="A8079" t="s">
        <v>7046</v>
      </c>
      <c r="B8079" t="s">
        <v>13</v>
      </c>
      <c r="C8079">
        <v>10</v>
      </c>
      <c r="D8079">
        <v>10</v>
      </c>
      <c r="E8079" t="s">
        <v>17</v>
      </c>
      <c r="F8079">
        <v>23.9</v>
      </c>
      <c r="G8079">
        <v>23.5</v>
      </c>
      <c r="H8079" t="s">
        <v>17</v>
      </c>
      <c r="I8079" t="str">
        <f>"064030012026"</f>
        <v>064030012026</v>
      </c>
    </row>
    <row r="8080" spans="1:9" x14ac:dyDescent="0.25">
      <c r="A8080" t="s">
        <v>7047</v>
      </c>
      <c r="B8080" t="s">
        <v>13</v>
      </c>
      <c r="C8080">
        <v>7</v>
      </c>
      <c r="D8080">
        <v>5.2</v>
      </c>
      <c r="E8080" t="s">
        <v>17</v>
      </c>
      <c r="F8080">
        <v>21.57</v>
      </c>
      <c r="G8080">
        <v>26.35</v>
      </c>
      <c r="H8080" t="s">
        <v>17</v>
      </c>
      <c r="I8080" t="str">
        <f>"069104712801"</f>
        <v>069104712801</v>
      </c>
    </row>
    <row r="8081" spans="1:9" x14ac:dyDescent="0.25">
      <c r="A8081" t="s">
        <v>7048</v>
      </c>
      <c r="B8081" t="s">
        <v>13</v>
      </c>
      <c r="C8081">
        <v>33.700000000000003</v>
      </c>
      <c r="D8081">
        <v>34.64</v>
      </c>
      <c r="E8081" t="s">
        <v>17</v>
      </c>
      <c r="F8081">
        <v>18.04</v>
      </c>
      <c r="G8081">
        <v>19.260000000000002</v>
      </c>
      <c r="H8081" t="s">
        <v>17</v>
      </c>
      <c r="I8081" t="str">
        <f>"061479001051"</f>
        <v>061479001051</v>
      </c>
    </row>
    <row r="8082" spans="1:9" x14ac:dyDescent="0.25">
      <c r="A8082" t="s">
        <v>7049</v>
      </c>
      <c r="B8082" t="s">
        <v>13</v>
      </c>
      <c r="C8082">
        <v>275.88</v>
      </c>
      <c r="D8082">
        <v>265.91000000000003</v>
      </c>
      <c r="E8082" t="s">
        <v>17</v>
      </c>
      <c r="F8082">
        <v>20.11</v>
      </c>
      <c r="G8082">
        <v>20.39</v>
      </c>
      <c r="H8082" t="s">
        <v>17</v>
      </c>
      <c r="I8082" t="str">
        <f>"069102611707"</f>
        <v>069102611707</v>
      </c>
    </row>
    <row r="8083" spans="1:9" x14ac:dyDescent="0.25">
      <c r="A8083" t="s">
        <v>7050</v>
      </c>
      <c r="B8083" t="s">
        <v>13</v>
      </c>
      <c r="C8083">
        <v>12.46</v>
      </c>
      <c r="D8083">
        <v>9.77</v>
      </c>
      <c r="E8083" t="s">
        <v>17</v>
      </c>
      <c r="F8083">
        <v>22.47</v>
      </c>
      <c r="G8083">
        <v>27.84</v>
      </c>
      <c r="H8083" t="s">
        <v>17</v>
      </c>
      <c r="I8083" t="str">
        <f>"062079007308"</f>
        <v>062079007308</v>
      </c>
    </row>
    <row r="8084" spans="1:9" x14ac:dyDescent="0.25">
      <c r="A8084" t="s">
        <v>7051</v>
      </c>
      <c r="B8084" t="s">
        <v>13</v>
      </c>
      <c r="C8084">
        <v>81.84</v>
      </c>
      <c r="D8084">
        <v>83.99</v>
      </c>
      <c r="E8084" t="s">
        <v>17</v>
      </c>
      <c r="F8084">
        <v>20.61</v>
      </c>
      <c r="G8084">
        <v>20.11</v>
      </c>
      <c r="H8084" t="s">
        <v>17</v>
      </c>
      <c r="I8084" t="str">
        <f>"064347011520"</f>
        <v>064347011520</v>
      </c>
    </row>
    <row r="8085" spans="1:9" x14ac:dyDescent="0.25">
      <c r="A8085" t="s">
        <v>7052</v>
      </c>
      <c r="B8085" t="s">
        <v>13</v>
      </c>
      <c r="C8085">
        <v>1</v>
      </c>
      <c r="D8085">
        <v>1</v>
      </c>
      <c r="E8085" t="s">
        <v>17</v>
      </c>
      <c r="F8085">
        <v>6</v>
      </c>
      <c r="G8085">
        <v>5</v>
      </c>
      <c r="H8085" t="s">
        <v>17</v>
      </c>
      <c r="I8085" t="str">
        <f>"061995012357"</f>
        <v>061995012357</v>
      </c>
    </row>
    <row r="8086" spans="1:9" x14ac:dyDescent="0.25">
      <c r="A8086" t="s">
        <v>7053</v>
      </c>
      <c r="B8086" t="s">
        <v>13</v>
      </c>
      <c r="C8086">
        <v>26</v>
      </c>
      <c r="D8086">
        <v>26</v>
      </c>
      <c r="E8086" t="s">
        <v>17</v>
      </c>
      <c r="F8086">
        <v>28.12</v>
      </c>
      <c r="G8086">
        <v>26.42</v>
      </c>
      <c r="H8086" t="s">
        <v>17</v>
      </c>
      <c r="I8086" t="str">
        <f>"061218001381"</f>
        <v>061218001381</v>
      </c>
    </row>
    <row r="8087" spans="1:9" x14ac:dyDescent="0.25">
      <c r="A8087" t="s">
        <v>7054</v>
      </c>
      <c r="B8087" t="s">
        <v>13</v>
      </c>
      <c r="C8087">
        <v>33</v>
      </c>
      <c r="D8087">
        <v>33</v>
      </c>
      <c r="E8087" t="s">
        <v>17</v>
      </c>
      <c r="F8087">
        <v>24.79</v>
      </c>
      <c r="G8087">
        <v>24.85</v>
      </c>
      <c r="H8087" t="s">
        <v>17</v>
      </c>
      <c r="I8087" t="str">
        <f>"061218001382"</f>
        <v>061218001382</v>
      </c>
    </row>
    <row r="8088" spans="1:9" x14ac:dyDescent="0.25">
      <c r="A8088" t="s">
        <v>7055</v>
      </c>
      <c r="B8088" t="s">
        <v>13</v>
      </c>
      <c r="C8088">
        <v>40.89</v>
      </c>
      <c r="D8088">
        <v>27</v>
      </c>
      <c r="E8088" t="s">
        <v>17</v>
      </c>
      <c r="F8088">
        <v>20.32</v>
      </c>
      <c r="G8088">
        <v>20.67</v>
      </c>
      <c r="H8088" t="s">
        <v>17</v>
      </c>
      <c r="I8088" t="str">
        <f>"064158012263"</f>
        <v>064158012263</v>
      </c>
    </row>
    <row r="8089" spans="1:9" x14ac:dyDescent="0.25">
      <c r="A8089" t="s">
        <v>7056</v>
      </c>
      <c r="B8089" t="s">
        <v>13</v>
      </c>
      <c r="C8089">
        <v>35.799999999999997</v>
      </c>
      <c r="D8089">
        <v>36.1</v>
      </c>
      <c r="E8089" t="s">
        <v>17</v>
      </c>
      <c r="F8089">
        <v>19.89</v>
      </c>
      <c r="G8089">
        <v>19.09</v>
      </c>
      <c r="H8089" t="s">
        <v>17</v>
      </c>
      <c r="I8089" t="str">
        <f>"060006104232"</f>
        <v>060006104232</v>
      </c>
    </row>
    <row r="8090" spans="1:9" x14ac:dyDescent="0.25">
      <c r="A8090" t="s">
        <v>7057</v>
      </c>
      <c r="B8090" t="s">
        <v>13</v>
      </c>
      <c r="C8090">
        <v>20</v>
      </c>
      <c r="D8090">
        <v>19</v>
      </c>
      <c r="E8090" t="s">
        <v>17</v>
      </c>
      <c r="F8090">
        <v>23.8</v>
      </c>
      <c r="G8090">
        <v>22.95</v>
      </c>
      <c r="H8090" t="s">
        <v>17</v>
      </c>
      <c r="I8090" t="str">
        <f>"060006111925"</f>
        <v>060006111925</v>
      </c>
    </row>
    <row r="8091" spans="1:9" x14ac:dyDescent="0.25">
      <c r="A8091" t="s">
        <v>7058</v>
      </c>
      <c r="B8091" t="s">
        <v>13</v>
      </c>
      <c r="C8091">
        <v>50.88</v>
      </c>
      <c r="D8091">
        <v>47.52</v>
      </c>
      <c r="E8091" t="s">
        <v>17</v>
      </c>
      <c r="F8091">
        <v>24.25</v>
      </c>
      <c r="G8091">
        <v>26.03</v>
      </c>
      <c r="H8091" t="s">
        <v>17</v>
      </c>
      <c r="I8091" t="str">
        <f>"064347011930"</f>
        <v>064347011930</v>
      </c>
    </row>
    <row r="8092" spans="1:9" x14ac:dyDescent="0.25">
      <c r="A8092" t="s">
        <v>7059</v>
      </c>
      <c r="B8092" t="s">
        <v>13</v>
      </c>
      <c r="C8092" t="s">
        <v>17</v>
      </c>
      <c r="D8092" t="s">
        <v>14</v>
      </c>
      <c r="E8092" t="s">
        <v>14</v>
      </c>
      <c r="F8092" t="s">
        <v>17</v>
      </c>
      <c r="G8092" t="s">
        <v>14</v>
      </c>
      <c r="H8092" t="s">
        <v>14</v>
      </c>
      <c r="I8092" t="str">
        <f>"061926013334"</f>
        <v>061926013334</v>
      </c>
    </row>
    <row r="8093" spans="1:9" x14ac:dyDescent="0.25">
      <c r="A8093" t="s">
        <v>7060</v>
      </c>
      <c r="B8093" t="s">
        <v>13</v>
      </c>
      <c r="C8093" t="s">
        <v>14</v>
      </c>
      <c r="D8093" t="str">
        <f>"0.50"</f>
        <v>0.50</v>
      </c>
      <c r="E8093" t="s">
        <v>17</v>
      </c>
      <c r="F8093" t="s">
        <v>17</v>
      </c>
      <c r="G8093">
        <v>10</v>
      </c>
      <c r="H8093" t="s">
        <v>17</v>
      </c>
      <c r="I8093" t="str">
        <f>"060004008478"</f>
        <v>060004008478</v>
      </c>
    </row>
    <row r="8094" spans="1:9" x14ac:dyDescent="0.25">
      <c r="A8094" t="s">
        <v>7061</v>
      </c>
      <c r="B8094" t="s">
        <v>13</v>
      </c>
      <c r="C8094">
        <v>24.01</v>
      </c>
      <c r="D8094">
        <v>24</v>
      </c>
      <c r="E8094" t="s">
        <v>17</v>
      </c>
      <c r="F8094">
        <v>22.45</v>
      </c>
      <c r="G8094">
        <v>22.17</v>
      </c>
      <c r="H8094" t="s">
        <v>17</v>
      </c>
      <c r="I8094" t="str">
        <f>"060004005118"</f>
        <v>060004005118</v>
      </c>
    </row>
    <row r="8095" spans="1:9" x14ac:dyDescent="0.25">
      <c r="A8095" t="s">
        <v>7061</v>
      </c>
      <c r="B8095" t="s">
        <v>13</v>
      </c>
      <c r="C8095">
        <v>20</v>
      </c>
      <c r="D8095">
        <v>21</v>
      </c>
      <c r="E8095" t="s">
        <v>17</v>
      </c>
      <c r="F8095">
        <v>25.3</v>
      </c>
      <c r="G8095">
        <v>24.95</v>
      </c>
      <c r="H8095" t="s">
        <v>17</v>
      </c>
      <c r="I8095" t="str">
        <f>"061488001875"</f>
        <v>061488001875</v>
      </c>
    </row>
    <row r="8096" spans="1:9" x14ac:dyDescent="0.25">
      <c r="A8096" t="s">
        <v>7062</v>
      </c>
      <c r="B8096" t="s">
        <v>13</v>
      </c>
      <c r="C8096">
        <v>28</v>
      </c>
      <c r="D8096">
        <v>28.5</v>
      </c>
      <c r="E8096" t="s">
        <v>17</v>
      </c>
      <c r="F8096">
        <v>18.25</v>
      </c>
      <c r="G8096">
        <v>18.559999999999999</v>
      </c>
      <c r="H8096" t="s">
        <v>17</v>
      </c>
      <c r="I8096" t="str">
        <f>"060004005120"</f>
        <v>060004005120</v>
      </c>
    </row>
    <row r="8097" spans="1:9" x14ac:dyDescent="0.25">
      <c r="A8097" t="s">
        <v>7063</v>
      </c>
      <c r="B8097" t="s">
        <v>13</v>
      </c>
      <c r="C8097">
        <v>20</v>
      </c>
      <c r="D8097">
        <v>20.170000000000002</v>
      </c>
      <c r="E8097" t="s">
        <v>17</v>
      </c>
      <c r="F8097">
        <v>25.65</v>
      </c>
      <c r="G8097">
        <v>26.03</v>
      </c>
      <c r="H8097" t="s">
        <v>17</v>
      </c>
      <c r="I8097" t="str">
        <f>"060016010252"</f>
        <v>060016010252</v>
      </c>
    </row>
    <row r="8098" spans="1:9" x14ac:dyDescent="0.25">
      <c r="A8098" t="s">
        <v>7064</v>
      </c>
      <c r="B8098" t="s">
        <v>13</v>
      </c>
      <c r="C8098">
        <v>38.75</v>
      </c>
      <c r="D8098">
        <v>38</v>
      </c>
      <c r="E8098" t="s">
        <v>17</v>
      </c>
      <c r="F8098">
        <v>24</v>
      </c>
      <c r="G8098">
        <v>24.61</v>
      </c>
      <c r="H8098" t="s">
        <v>17</v>
      </c>
      <c r="I8098" t="str">
        <f>"069102610577"</f>
        <v>069102610577</v>
      </c>
    </row>
    <row r="8099" spans="1:9" x14ac:dyDescent="0.25">
      <c r="A8099" t="s">
        <v>7065</v>
      </c>
      <c r="B8099" t="s">
        <v>13</v>
      </c>
      <c r="C8099">
        <v>3.25</v>
      </c>
      <c r="D8099" t="s">
        <v>17</v>
      </c>
      <c r="E8099" t="s">
        <v>14</v>
      </c>
      <c r="F8099">
        <v>20.309999999999999</v>
      </c>
      <c r="G8099" t="s">
        <v>17</v>
      </c>
      <c r="H8099" t="s">
        <v>14</v>
      </c>
      <c r="I8099" t="str">
        <f>"069102612986"</f>
        <v>069102612986</v>
      </c>
    </row>
    <row r="8100" spans="1:9" x14ac:dyDescent="0.25">
      <c r="A8100" t="s">
        <v>7066</v>
      </c>
      <c r="B8100" t="s">
        <v>13</v>
      </c>
      <c r="C8100">
        <v>12.25</v>
      </c>
      <c r="D8100">
        <v>14</v>
      </c>
      <c r="E8100" t="s">
        <v>17</v>
      </c>
      <c r="F8100">
        <v>20</v>
      </c>
      <c r="G8100">
        <v>21.5</v>
      </c>
      <c r="H8100" t="s">
        <v>17</v>
      </c>
      <c r="I8100" t="str">
        <f>"069102607567"</f>
        <v>069102607567</v>
      </c>
    </row>
    <row r="8101" spans="1:9" x14ac:dyDescent="0.25">
      <c r="A8101" t="s">
        <v>7067</v>
      </c>
      <c r="B8101" t="s">
        <v>13</v>
      </c>
      <c r="C8101">
        <v>4</v>
      </c>
      <c r="D8101">
        <v>5</v>
      </c>
      <c r="E8101" t="s">
        <v>17</v>
      </c>
      <c r="F8101">
        <v>33.75</v>
      </c>
      <c r="G8101">
        <v>29</v>
      </c>
      <c r="H8101" t="s">
        <v>17</v>
      </c>
      <c r="I8101" t="str">
        <f>"069102609238"</f>
        <v>069102609238</v>
      </c>
    </row>
    <row r="8102" spans="1:9" x14ac:dyDescent="0.25">
      <c r="A8102" t="s">
        <v>7068</v>
      </c>
      <c r="B8102" t="s">
        <v>13</v>
      </c>
      <c r="C8102" t="s">
        <v>17</v>
      </c>
      <c r="D8102" t="s">
        <v>17</v>
      </c>
      <c r="E8102" t="s">
        <v>17</v>
      </c>
      <c r="F8102" t="s">
        <v>17</v>
      </c>
      <c r="G8102" t="s">
        <v>17</v>
      </c>
      <c r="H8102" t="s">
        <v>17</v>
      </c>
      <c r="I8102" t="str">
        <f>"060009411035"</f>
        <v>060009411035</v>
      </c>
    </row>
    <row r="8103" spans="1:9" x14ac:dyDescent="0.25">
      <c r="A8103" t="s">
        <v>7069</v>
      </c>
      <c r="B8103" t="s">
        <v>13</v>
      </c>
      <c r="C8103">
        <v>107</v>
      </c>
      <c r="D8103">
        <v>111.5</v>
      </c>
      <c r="E8103" t="s">
        <v>17</v>
      </c>
      <c r="F8103">
        <v>8.7899999999999991</v>
      </c>
      <c r="G8103">
        <v>8.8699999999999992</v>
      </c>
      <c r="H8103" t="s">
        <v>17</v>
      </c>
      <c r="I8103" t="str">
        <f>"069102609031"</f>
        <v>069102609031</v>
      </c>
    </row>
    <row r="8104" spans="1:9" x14ac:dyDescent="0.25">
      <c r="A8104" t="s">
        <v>7070</v>
      </c>
      <c r="B8104" t="s">
        <v>13</v>
      </c>
      <c r="C8104">
        <v>24</v>
      </c>
      <c r="D8104">
        <v>24</v>
      </c>
      <c r="E8104" t="s">
        <v>17</v>
      </c>
      <c r="F8104">
        <v>23.54</v>
      </c>
      <c r="G8104">
        <v>22.54</v>
      </c>
      <c r="H8104" t="s">
        <v>17</v>
      </c>
      <c r="I8104" t="str">
        <f>"062271003311"</f>
        <v>062271003311</v>
      </c>
    </row>
    <row r="8105" spans="1:9" x14ac:dyDescent="0.25">
      <c r="A8105" t="s">
        <v>7071</v>
      </c>
      <c r="B8105" t="s">
        <v>13</v>
      </c>
      <c r="C8105">
        <v>17</v>
      </c>
      <c r="D8105">
        <v>19</v>
      </c>
      <c r="E8105" t="s">
        <v>17</v>
      </c>
      <c r="F8105">
        <v>25.76</v>
      </c>
      <c r="G8105">
        <v>21.16</v>
      </c>
      <c r="H8105" t="s">
        <v>17</v>
      </c>
      <c r="I8105" t="str">
        <f>"063255005056"</f>
        <v>063255005056</v>
      </c>
    </row>
    <row r="8106" spans="1:9" x14ac:dyDescent="0.25">
      <c r="A8106" t="s">
        <v>7072</v>
      </c>
      <c r="B8106" t="s">
        <v>13</v>
      </c>
      <c r="C8106">
        <v>15.4</v>
      </c>
      <c r="D8106">
        <v>15.4</v>
      </c>
      <c r="E8106" t="s">
        <v>17</v>
      </c>
      <c r="F8106">
        <v>21.04</v>
      </c>
      <c r="G8106">
        <v>20.39</v>
      </c>
      <c r="H8106" t="s">
        <v>17</v>
      </c>
      <c r="I8106" t="str">
        <f>"063118011836"</f>
        <v>063118011836</v>
      </c>
    </row>
    <row r="8107" spans="1:9" x14ac:dyDescent="0.25">
      <c r="A8107" t="s">
        <v>7073</v>
      </c>
      <c r="B8107" t="s">
        <v>13</v>
      </c>
      <c r="C8107">
        <v>87.66</v>
      </c>
      <c r="D8107">
        <v>80.16</v>
      </c>
      <c r="E8107" t="s">
        <v>17</v>
      </c>
      <c r="F8107">
        <v>23.94</v>
      </c>
      <c r="G8107">
        <v>24.36</v>
      </c>
      <c r="H8107" t="s">
        <v>17</v>
      </c>
      <c r="I8107" t="str">
        <f>"062895011863"</f>
        <v>062895011863</v>
      </c>
    </row>
    <row r="8108" spans="1:9" x14ac:dyDescent="0.25">
      <c r="A8108" t="s">
        <v>7074</v>
      </c>
      <c r="B8108" t="s">
        <v>13</v>
      </c>
      <c r="C8108">
        <v>13.76</v>
      </c>
      <c r="D8108" t="s">
        <v>14</v>
      </c>
      <c r="E8108" t="s">
        <v>14</v>
      </c>
      <c r="F8108">
        <v>30.16</v>
      </c>
      <c r="G8108" t="s">
        <v>14</v>
      </c>
      <c r="H8108" t="s">
        <v>14</v>
      </c>
      <c r="I8108" t="str">
        <f>"063315013103"</f>
        <v>063315013103</v>
      </c>
    </row>
    <row r="8109" spans="1:9" x14ac:dyDescent="0.25">
      <c r="A8109" t="s">
        <v>7075</v>
      </c>
      <c r="B8109" t="s">
        <v>13</v>
      </c>
      <c r="C8109">
        <v>10.43</v>
      </c>
      <c r="D8109">
        <v>8.36</v>
      </c>
      <c r="E8109" t="s">
        <v>17</v>
      </c>
      <c r="F8109">
        <v>12.46</v>
      </c>
      <c r="G8109">
        <v>11.6</v>
      </c>
      <c r="H8109" t="s">
        <v>17</v>
      </c>
      <c r="I8109" t="str">
        <f>"063315012176"</f>
        <v>063315012176</v>
      </c>
    </row>
    <row r="8110" spans="1:9" x14ac:dyDescent="0.25">
      <c r="A8110" t="s">
        <v>7076</v>
      </c>
      <c r="B8110" t="s">
        <v>13</v>
      </c>
      <c r="C8110">
        <v>12</v>
      </c>
      <c r="D8110">
        <v>16</v>
      </c>
      <c r="E8110" t="s">
        <v>17</v>
      </c>
      <c r="F8110">
        <v>25.67</v>
      </c>
      <c r="G8110">
        <v>18.690000000000001</v>
      </c>
      <c r="H8110" t="s">
        <v>17</v>
      </c>
      <c r="I8110" t="str">
        <f>"060985001064"</f>
        <v>060985001064</v>
      </c>
    </row>
    <row r="8111" spans="1:9" x14ac:dyDescent="0.25">
      <c r="A8111" t="s">
        <v>7076</v>
      </c>
      <c r="B8111" t="s">
        <v>13</v>
      </c>
      <c r="C8111">
        <v>21.18</v>
      </c>
      <c r="D8111">
        <v>23</v>
      </c>
      <c r="E8111" t="s">
        <v>17</v>
      </c>
      <c r="F8111">
        <v>23.32</v>
      </c>
      <c r="G8111">
        <v>23.83</v>
      </c>
      <c r="H8111" t="s">
        <v>17</v>
      </c>
      <c r="I8111" t="str">
        <f>"062079002497"</f>
        <v>062079002497</v>
      </c>
    </row>
    <row r="8112" spans="1:9" x14ac:dyDescent="0.25">
      <c r="A8112" t="s">
        <v>7076</v>
      </c>
      <c r="B8112" t="s">
        <v>13</v>
      </c>
      <c r="C8112">
        <v>26</v>
      </c>
      <c r="D8112">
        <v>27</v>
      </c>
      <c r="E8112" t="s">
        <v>17</v>
      </c>
      <c r="F8112">
        <v>29.77</v>
      </c>
      <c r="G8112">
        <v>27.67</v>
      </c>
      <c r="H8112" t="s">
        <v>17</v>
      </c>
      <c r="I8112" t="str">
        <f>"060903010483"</f>
        <v>060903010483</v>
      </c>
    </row>
    <row r="8113" spans="1:9" x14ac:dyDescent="0.25">
      <c r="A8113" t="s">
        <v>7076</v>
      </c>
      <c r="B8113" t="s">
        <v>13</v>
      </c>
      <c r="C8113">
        <v>17.2</v>
      </c>
      <c r="D8113">
        <v>17.2</v>
      </c>
      <c r="E8113" t="s">
        <v>17</v>
      </c>
      <c r="F8113">
        <v>24.83</v>
      </c>
      <c r="G8113">
        <v>24.24</v>
      </c>
      <c r="H8113" t="s">
        <v>17</v>
      </c>
      <c r="I8113" t="str">
        <f>"061970002375"</f>
        <v>061970002375</v>
      </c>
    </row>
    <row r="8114" spans="1:9" x14ac:dyDescent="0.25">
      <c r="A8114" t="s">
        <v>7077</v>
      </c>
      <c r="B8114" t="s">
        <v>13</v>
      </c>
      <c r="C8114">
        <v>4.55</v>
      </c>
      <c r="D8114">
        <v>4.8</v>
      </c>
      <c r="E8114" t="s">
        <v>17</v>
      </c>
      <c r="F8114">
        <v>22.42</v>
      </c>
      <c r="G8114">
        <v>23.96</v>
      </c>
      <c r="H8114" t="s">
        <v>17</v>
      </c>
      <c r="I8114" t="str">
        <f>"061686009376"</f>
        <v>061686009376</v>
      </c>
    </row>
    <row r="8115" spans="1:9" x14ac:dyDescent="0.25">
      <c r="A8115" t="s">
        <v>7077</v>
      </c>
      <c r="B8115" t="s">
        <v>13</v>
      </c>
      <c r="C8115">
        <v>11.25</v>
      </c>
      <c r="D8115">
        <v>10.199999999999999</v>
      </c>
      <c r="E8115" t="s">
        <v>17</v>
      </c>
      <c r="F8115">
        <v>24.18</v>
      </c>
      <c r="G8115">
        <v>25</v>
      </c>
      <c r="H8115" t="s">
        <v>17</v>
      </c>
      <c r="I8115" t="str">
        <f>"063311005126"</f>
        <v>063311005126</v>
      </c>
    </row>
    <row r="8116" spans="1:9" x14ac:dyDescent="0.25">
      <c r="A8116" t="s">
        <v>7077</v>
      </c>
      <c r="B8116" t="s">
        <v>13</v>
      </c>
      <c r="C8116">
        <v>43.35</v>
      </c>
      <c r="D8116">
        <v>46.34</v>
      </c>
      <c r="E8116" t="s">
        <v>17</v>
      </c>
      <c r="F8116">
        <v>16.82</v>
      </c>
      <c r="G8116">
        <v>15.99</v>
      </c>
      <c r="H8116" t="s">
        <v>17</v>
      </c>
      <c r="I8116" t="str">
        <f>"062637003969"</f>
        <v>062637003969</v>
      </c>
    </row>
    <row r="8117" spans="1:9" x14ac:dyDescent="0.25">
      <c r="A8117" t="s">
        <v>7078</v>
      </c>
      <c r="B8117" t="s">
        <v>13</v>
      </c>
      <c r="C8117">
        <v>11.5</v>
      </c>
      <c r="D8117">
        <v>12.75</v>
      </c>
      <c r="E8117" t="s">
        <v>17</v>
      </c>
      <c r="F8117">
        <v>23.65</v>
      </c>
      <c r="G8117">
        <v>21.18</v>
      </c>
      <c r="H8117" t="s">
        <v>17</v>
      </c>
      <c r="I8117" t="str">
        <f>"061932004574"</f>
        <v>061932004574</v>
      </c>
    </row>
    <row r="8118" spans="1:9" x14ac:dyDescent="0.25">
      <c r="A8118" t="s">
        <v>7078</v>
      </c>
      <c r="B8118" t="s">
        <v>13</v>
      </c>
      <c r="C8118">
        <v>32.26</v>
      </c>
      <c r="D8118">
        <v>30.17</v>
      </c>
      <c r="E8118" t="s">
        <v>17</v>
      </c>
      <c r="F8118">
        <v>21.61</v>
      </c>
      <c r="G8118">
        <v>23.7</v>
      </c>
      <c r="H8118" t="s">
        <v>17</v>
      </c>
      <c r="I8118" t="str">
        <f>"063942006570"</f>
        <v>063942006570</v>
      </c>
    </row>
    <row r="8119" spans="1:9" x14ac:dyDescent="0.25">
      <c r="A8119" t="s">
        <v>7079</v>
      </c>
      <c r="B8119" t="s">
        <v>13</v>
      </c>
      <c r="C8119" t="s">
        <v>14</v>
      </c>
      <c r="D8119">
        <v>2</v>
      </c>
      <c r="E8119" t="s">
        <v>17</v>
      </c>
      <c r="F8119" t="s">
        <v>17</v>
      </c>
      <c r="G8119">
        <v>2.5</v>
      </c>
      <c r="H8119" t="s">
        <v>17</v>
      </c>
      <c r="I8119" t="str">
        <f>"061932012522"</f>
        <v>061932012522</v>
      </c>
    </row>
    <row r="8120" spans="1:9" x14ac:dyDescent="0.25">
      <c r="A8120" t="s">
        <v>7080</v>
      </c>
      <c r="B8120" t="s">
        <v>13</v>
      </c>
      <c r="C8120" t="s">
        <v>17</v>
      </c>
      <c r="D8120" t="s">
        <v>14</v>
      </c>
      <c r="E8120" t="s">
        <v>14</v>
      </c>
      <c r="F8120" t="s">
        <v>17</v>
      </c>
      <c r="G8120" t="s">
        <v>14</v>
      </c>
      <c r="H8120" t="s">
        <v>14</v>
      </c>
      <c r="I8120" t="str">
        <f>"063018013280"</f>
        <v>063018013280</v>
      </c>
    </row>
    <row r="8121" spans="1:9" x14ac:dyDescent="0.25">
      <c r="A8121" t="s">
        <v>7081</v>
      </c>
      <c r="B8121" t="s">
        <v>13</v>
      </c>
      <c r="C8121">
        <v>8</v>
      </c>
      <c r="D8121">
        <v>8.5399999999999991</v>
      </c>
      <c r="E8121" t="s">
        <v>17</v>
      </c>
      <c r="F8121">
        <v>17.88</v>
      </c>
      <c r="G8121">
        <v>17.68</v>
      </c>
      <c r="H8121" t="s">
        <v>17</v>
      </c>
      <c r="I8121" t="str">
        <f>"064290011818"</f>
        <v>064290011818</v>
      </c>
    </row>
    <row r="8122" spans="1:9" x14ac:dyDescent="0.25">
      <c r="A8122" t="s">
        <v>7082</v>
      </c>
      <c r="B8122" t="s">
        <v>13</v>
      </c>
      <c r="C8122">
        <v>70.5</v>
      </c>
      <c r="D8122">
        <v>74.02</v>
      </c>
      <c r="E8122" t="s">
        <v>17</v>
      </c>
      <c r="F8122">
        <v>30.75</v>
      </c>
      <c r="G8122">
        <v>29.45</v>
      </c>
      <c r="H8122" t="s">
        <v>17</v>
      </c>
      <c r="I8122" t="str">
        <f>"062271003187"</f>
        <v>062271003187</v>
      </c>
    </row>
    <row r="8123" spans="1:9" x14ac:dyDescent="0.25">
      <c r="A8123" t="s">
        <v>7083</v>
      </c>
      <c r="B8123" t="s">
        <v>13</v>
      </c>
      <c r="C8123">
        <v>42.51</v>
      </c>
      <c r="D8123">
        <v>47.47</v>
      </c>
      <c r="E8123" t="s">
        <v>17</v>
      </c>
      <c r="F8123">
        <v>25.08</v>
      </c>
      <c r="G8123">
        <v>24.1</v>
      </c>
      <c r="H8123" t="s">
        <v>17</v>
      </c>
      <c r="I8123" t="str">
        <f>"063360008551"</f>
        <v>063360008551</v>
      </c>
    </row>
    <row r="8124" spans="1:9" x14ac:dyDescent="0.25">
      <c r="A8124" t="s">
        <v>7084</v>
      </c>
      <c r="B8124" t="s">
        <v>13</v>
      </c>
      <c r="C8124">
        <v>33.5</v>
      </c>
      <c r="D8124">
        <v>35.75</v>
      </c>
      <c r="E8124" t="s">
        <v>17</v>
      </c>
      <c r="F8124">
        <v>29.31</v>
      </c>
      <c r="G8124">
        <v>27.19</v>
      </c>
      <c r="H8124" t="s">
        <v>17</v>
      </c>
      <c r="I8124" t="str">
        <f>"061473010985"</f>
        <v>061473010985</v>
      </c>
    </row>
    <row r="8125" spans="1:9" x14ac:dyDescent="0.25">
      <c r="A8125" t="s">
        <v>7085</v>
      </c>
      <c r="B8125" t="s">
        <v>13</v>
      </c>
      <c r="C8125">
        <v>23.1</v>
      </c>
      <c r="D8125">
        <v>21.6</v>
      </c>
      <c r="E8125" t="s">
        <v>17</v>
      </c>
      <c r="F8125">
        <v>21.26</v>
      </c>
      <c r="G8125">
        <v>21.81</v>
      </c>
      <c r="H8125" t="s">
        <v>17</v>
      </c>
      <c r="I8125" t="str">
        <f>"062937004527"</f>
        <v>062937004527</v>
      </c>
    </row>
    <row r="8126" spans="1:9" x14ac:dyDescent="0.25">
      <c r="A8126" t="s">
        <v>7086</v>
      </c>
      <c r="B8126" t="s">
        <v>13</v>
      </c>
      <c r="C8126">
        <v>85.5</v>
      </c>
      <c r="D8126">
        <v>100.03</v>
      </c>
      <c r="E8126" t="s">
        <v>17</v>
      </c>
      <c r="F8126">
        <v>19.329999999999998</v>
      </c>
      <c r="G8126">
        <v>18.100000000000001</v>
      </c>
      <c r="H8126" t="s">
        <v>17</v>
      </c>
      <c r="I8126" t="str">
        <f>"062271003277"</f>
        <v>062271003277</v>
      </c>
    </row>
    <row r="8127" spans="1:9" x14ac:dyDescent="0.25">
      <c r="A8127" t="s">
        <v>7087</v>
      </c>
      <c r="B8127" t="s">
        <v>13</v>
      </c>
      <c r="C8127">
        <v>19.3</v>
      </c>
      <c r="D8127">
        <v>21.84</v>
      </c>
      <c r="E8127" t="s">
        <v>17</v>
      </c>
      <c r="F8127">
        <v>27.46</v>
      </c>
      <c r="G8127">
        <v>23.95</v>
      </c>
      <c r="H8127" t="s">
        <v>17</v>
      </c>
      <c r="I8127" t="str">
        <f>"061062001184"</f>
        <v>061062001184</v>
      </c>
    </row>
    <row r="8128" spans="1:9" x14ac:dyDescent="0.25">
      <c r="A8128" t="s">
        <v>7088</v>
      </c>
      <c r="B8128" t="s">
        <v>13</v>
      </c>
      <c r="C8128">
        <v>40.51</v>
      </c>
      <c r="D8128">
        <v>40.89</v>
      </c>
      <c r="E8128" t="s">
        <v>17</v>
      </c>
      <c r="F8128">
        <v>17.28</v>
      </c>
      <c r="G8128">
        <v>17.75</v>
      </c>
      <c r="H8128" t="s">
        <v>17</v>
      </c>
      <c r="I8128" t="str">
        <f>"062515003737"</f>
        <v>062515003737</v>
      </c>
    </row>
    <row r="8129" spans="1:9" x14ac:dyDescent="0.25">
      <c r="A8129" t="s">
        <v>7089</v>
      </c>
      <c r="B8129" t="s">
        <v>13</v>
      </c>
      <c r="C8129">
        <v>19</v>
      </c>
      <c r="D8129">
        <v>18</v>
      </c>
      <c r="E8129" t="s">
        <v>17</v>
      </c>
      <c r="F8129">
        <v>25.47</v>
      </c>
      <c r="G8129">
        <v>25.22</v>
      </c>
      <c r="H8129" t="s">
        <v>17</v>
      </c>
      <c r="I8129" t="str">
        <f>"062271003112"</f>
        <v>062271003112</v>
      </c>
    </row>
    <row r="8130" spans="1:9" x14ac:dyDescent="0.25">
      <c r="A8130" t="s">
        <v>7089</v>
      </c>
      <c r="B8130" t="s">
        <v>13</v>
      </c>
      <c r="C8130">
        <v>28</v>
      </c>
      <c r="D8130">
        <v>26</v>
      </c>
      <c r="E8130" t="s">
        <v>17</v>
      </c>
      <c r="F8130">
        <v>26.71</v>
      </c>
      <c r="G8130">
        <v>28.81</v>
      </c>
      <c r="H8130" t="s">
        <v>17</v>
      </c>
      <c r="I8130" t="str">
        <f>"060962000985"</f>
        <v>060962000985</v>
      </c>
    </row>
    <row r="8131" spans="1:9" x14ac:dyDescent="0.25">
      <c r="A8131" t="s">
        <v>7089</v>
      </c>
      <c r="B8131" t="s">
        <v>13</v>
      </c>
      <c r="C8131">
        <v>24</v>
      </c>
      <c r="D8131">
        <v>24</v>
      </c>
      <c r="E8131" t="s">
        <v>17</v>
      </c>
      <c r="F8131">
        <v>25.79</v>
      </c>
      <c r="G8131">
        <v>26</v>
      </c>
      <c r="H8131" t="s">
        <v>17</v>
      </c>
      <c r="I8131" t="str">
        <f>"061437001647"</f>
        <v>061437001647</v>
      </c>
    </row>
    <row r="8132" spans="1:9" x14ac:dyDescent="0.25">
      <c r="A8132" t="s">
        <v>7090</v>
      </c>
      <c r="B8132" t="s">
        <v>13</v>
      </c>
      <c r="C8132">
        <v>44.84</v>
      </c>
      <c r="D8132">
        <v>42.92</v>
      </c>
      <c r="E8132" t="s">
        <v>17</v>
      </c>
      <c r="F8132">
        <v>24.55</v>
      </c>
      <c r="G8132">
        <v>25.61</v>
      </c>
      <c r="H8132" t="s">
        <v>17</v>
      </c>
      <c r="I8132" t="str">
        <f>"061086012157"</f>
        <v>061086012157</v>
      </c>
    </row>
    <row r="8133" spans="1:9" x14ac:dyDescent="0.25">
      <c r="A8133" t="s">
        <v>7091</v>
      </c>
      <c r="B8133" t="s">
        <v>13</v>
      </c>
      <c r="C8133">
        <v>51.83</v>
      </c>
      <c r="D8133">
        <v>55.01</v>
      </c>
      <c r="E8133" t="s">
        <v>17</v>
      </c>
      <c r="F8133">
        <v>29.77</v>
      </c>
      <c r="G8133">
        <v>29.16</v>
      </c>
      <c r="H8133" t="s">
        <v>17</v>
      </c>
      <c r="I8133" t="str">
        <f>"062271003027"</f>
        <v>062271003027</v>
      </c>
    </row>
    <row r="8134" spans="1:9" x14ac:dyDescent="0.25">
      <c r="A8134" t="s">
        <v>7092</v>
      </c>
      <c r="B8134" t="s">
        <v>13</v>
      </c>
      <c r="C8134">
        <v>74.25</v>
      </c>
      <c r="D8134">
        <v>83.52</v>
      </c>
      <c r="E8134" t="s">
        <v>17</v>
      </c>
      <c r="F8134">
        <v>26.25</v>
      </c>
      <c r="G8134">
        <v>26.52</v>
      </c>
      <c r="H8134" t="s">
        <v>17</v>
      </c>
      <c r="I8134" t="str">
        <f>"062271003029"</f>
        <v>062271003029</v>
      </c>
    </row>
    <row r="8135" spans="1:9" x14ac:dyDescent="0.25">
      <c r="A8135" t="s">
        <v>7093</v>
      </c>
      <c r="B8135" t="s">
        <v>13</v>
      </c>
      <c r="C8135">
        <v>4</v>
      </c>
      <c r="D8135">
        <v>4.01</v>
      </c>
      <c r="E8135" t="s">
        <v>17</v>
      </c>
      <c r="F8135">
        <v>29.75</v>
      </c>
      <c r="G8135">
        <v>27.43</v>
      </c>
      <c r="H8135" t="s">
        <v>17</v>
      </c>
      <c r="I8135" t="str">
        <f>"062271003134"</f>
        <v>062271003134</v>
      </c>
    </row>
    <row r="8136" spans="1:9" x14ac:dyDescent="0.25">
      <c r="A8136" t="s">
        <v>7094</v>
      </c>
      <c r="B8136" t="s">
        <v>13</v>
      </c>
      <c r="C8136">
        <v>18.600000000000001</v>
      </c>
      <c r="D8136">
        <v>16</v>
      </c>
      <c r="E8136" t="s">
        <v>17</v>
      </c>
      <c r="F8136">
        <v>31.02</v>
      </c>
      <c r="G8136">
        <v>31.5</v>
      </c>
      <c r="H8136" t="s">
        <v>17</v>
      </c>
      <c r="I8136" t="str">
        <f>"064015006639"</f>
        <v>064015006639</v>
      </c>
    </row>
    <row r="8137" spans="1:9" x14ac:dyDescent="0.25">
      <c r="A8137" t="s">
        <v>7095</v>
      </c>
      <c r="B8137" t="s">
        <v>13</v>
      </c>
      <c r="C8137">
        <v>18</v>
      </c>
      <c r="D8137">
        <v>18</v>
      </c>
      <c r="E8137" t="s">
        <v>17</v>
      </c>
      <c r="F8137">
        <v>21.94</v>
      </c>
      <c r="G8137">
        <v>22.39</v>
      </c>
      <c r="H8137" t="s">
        <v>17</v>
      </c>
      <c r="I8137" t="str">
        <f>"062271003122"</f>
        <v>062271003122</v>
      </c>
    </row>
    <row r="8138" spans="1:9" x14ac:dyDescent="0.25">
      <c r="A8138" t="s">
        <v>7096</v>
      </c>
      <c r="B8138" t="s">
        <v>13</v>
      </c>
      <c r="C8138">
        <v>27</v>
      </c>
      <c r="D8138">
        <v>23</v>
      </c>
      <c r="E8138" t="s">
        <v>17</v>
      </c>
      <c r="F8138">
        <v>25.41</v>
      </c>
      <c r="G8138">
        <v>25.09</v>
      </c>
      <c r="H8138" t="s">
        <v>17</v>
      </c>
      <c r="I8138" t="str">
        <f>"061233010596"</f>
        <v>061233010596</v>
      </c>
    </row>
    <row r="8139" spans="1:9" x14ac:dyDescent="0.25">
      <c r="A8139" t="s">
        <v>7097</v>
      </c>
      <c r="B8139" t="s">
        <v>13</v>
      </c>
      <c r="C8139">
        <v>70.34</v>
      </c>
      <c r="D8139">
        <v>62.7</v>
      </c>
      <c r="E8139" t="s">
        <v>17</v>
      </c>
      <c r="F8139">
        <v>17.84</v>
      </c>
      <c r="G8139">
        <v>19.52</v>
      </c>
      <c r="H8139" t="s">
        <v>17</v>
      </c>
      <c r="I8139" t="str">
        <f>"062922004240"</f>
        <v>062922004240</v>
      </c>
    </row>
    <row r="8140" spans="1:9" x14ac:dyDescent="0.25">
      <c r="A8140" t="s">
        <v>7098</v>
      </c>
      <c r="B8140" t="s">
        <v>13</v>
      </c>
      <c r="C8140">
        <v>26.19</v>
      </c>
      <c r="D8140">
        <v>27.13</v>
      </c>
      <c r="E8140" t="s">
        <v>17</v>
      </c>
      <c r="F8140">
        <v>20.81</v>
      </c>
      <c r="G8140">
        <v>19.39</v>
      </c>
      <c r="H8140" t="s">
        <v>17</v>
      </c>
      <c r="I8140" t="str">
        <f>"064320004118"</f>
        <v>064320004118</v>
      </c>
    </row>
    <row r="8141" spans="1:9" x14ac:dyDescent="0.25">
      <c r="A8141" t="s">
        <v>7099</v>
      </c>
      <c r="B8141" t="s">
        <v>13</v>
      </c>
      <c r="C8141">
        <v>21.45</v>
      </c>
      <c r="D8141">
        <v>21.5</v>
      </c>
      <c r="E8141" t="s">
        <v>17</v>
      </c>
      <c r="F8141">
        <v>13.85</v>
      </c>
      <c r="G8141">
        <v>14.65</v>
      </c>
      <c r="H8141" t="s">
        <v>17</v>
      </c>
      <c r="I8141" t="str">
        <f>"063783006388"</f>
        <v>063783006388</v>
      </c>
    </row>
    <row r="8142" spans="1:9" x14ac:dyDescent="0.25">
      <c r="A8142" t="s">
        <v>7100</v>
      </c>
      <c r="B8142" t="s">
        <v>13</v>
      </c>
      <c r="C8142">
        <v>72.83</v>
      </c>
      <c r="D8142">
        <v>96.5</v>
      </c>
      <c r="E8142" t="s">
        <v>17</v>
      </c>
      <c r="F8142">
        <v>25.43</v>
      </c>
      <c r="G8142">
        <v>20.12</v>
      </c>
      <c r="H8142" t="s">
        <v>17</v>
      </c>
      <c r="I8142" t="str">
        <f>"062271003372"</f>
        <v>062271003372</v>
      </c>
    </row>
    <row r="8143" spans="1:9" x14ac:dyDescent="0.25">
      <c r="A8143" t="s">
        <v>7101</v>
      </c>
      <c r="B8143" t="s">
        <v>13</v>
      </c>
      <c r="C8143">
        <v>30.05</v>
      </c>
      <c r="D8143">
        <v>30.05</v>
      </c>
      <c r="E8143" t="s">
        <v>17</v>
      </c>
      <c r="F8143">
        <v>25.66</v>
      </c>
      <c r="G8143">
        <v>24.76</v>
      </c>
      <c r="H8143" t="s">
        <v>17</v>
      </c>
      <c r="I8143" t="str">
        <f>"062343003562"</f>
        <v>062343003562</v>
      </c>
    </row>
    <row r="8144" spans="1:9" x14ac:dyDescent="0.25">
      <c r="A8144" t="s">
        <v>7102</v>
      </c>
      <c r="B8144" t="s">
        <v>13</v>
      </c>
      <c r="C8144">
        <v>41.05</v>
      </c>
      <c r="D8144">
        <v>42</v>
      </c>
      <c r="E8144" t="s">
        <v>17</v>
      </c>
      <c r="F8144">
        <v>28.16</v>
      </c>
      <c r="G8144">
        <v>27.79</v>
      </c>
      <c r="H8144" t="s">
        <v>17</v>
      </c>
      <c r="I8144" t="str">
        <f>"060846008808"</f>
        <v>060846008808</v>
      </c>
    </row>
    <row r="8145" spans="1:9" x14ac:dyDescent="0.25">
      <c r="A8145" t="s">
        <v>7103</v>
      </c>
      <c r="B8145" t="s">
        <v>13</v>
      </c>
      <c r="C8145">
        <v>22</v>
      </c>
      <c r="D8145">
        <v>21</v>
      </c>
      <c r="E8145" t="s">
        <v>17</v>
      </c>
      <c r="F8145">
        <v>28.82</v>
      </c>
      <c r="G8145">
        <v>30.14</v>
      </c>
      <c r="H8145" t="s">
        <v>17</v>
      </c>
      <c r="I8145" t="str">
        <f>"062523003773"</f>
        <v>062523003773</v>
      </c>
    </row>
    <row r="8146" spans="1:9" x14ac:dyDescent="0.25">
      <c r="A8146" t="s">
        <v>7104</v>
      </c>
      <c r="B8146" t="s">
        <v>13</v>
      </c>
      <c r="C8146">
        <v>17</v>
      </c>
      <c r="D8146">
        <v>19</v>
      </c>
      <c r="E8146" t="s">
        <v>17</v>
      </c>
      <c r="F8146">
        <v>25.76</v>
      </c>
      <c r="G8146">
        <v>24.47</v>
      </c>
      <c r="H8146" t="s">
        <v>17</v>
      </c>
      <c r="I8146" t="str">
        <f>"062450003671"</f>
        <v>062450003671</v>
      </c>
    </row>
    <row r="8147" spans="1:9" x14ac:dyDescent="0.25">
      <c r="A8147" t="s">
        <v>7105</v>
      </c>
      <c r="B8147" t="s">
        <v>13</v>
      </c>
      <c r="C8147">
        <v>19.25</v>
      </c>
      <c r="D8147">
        <v>19.75</v>
      </c>
      <c r="E8147" t="s">
        <v>17</v>
      </c>
      <c r="F8147">
        <v>23.27</v>
      </c>
      <c r="G8147">
        <v>24.91</v>
      </c>
      <c r="H8147" t="s">
        <v>17</v>
      </c>
      <c r="I8147" t="str">
        <f>"062640003990"</f>
        <v>062640003990</v>
      </c>
    </row>
    <row r="8148" spans="1:9" x14ac:dyDescent="0.25">
      <c r="A8148" t="s">
        <v>7106</v>
      </c>
      <c r="B8148" t="s">
        <v>13</v>
      </c>
      <c r="C8148">
        <v>17.5</v>
      </c>
      <c r="D8148">
        <v>17</v>
      </c>
      <c r="E8148" t="s">
        <v>17</v>
      </c>
      <c r="F8148">
        <v>26.57</v>
      </c>
      <c r="G8148">
        <v>25.65</v>
      </c>
      <c r="H8148" t="s">
        <v>17</v>
      </c>
      <c r="I8148" t="str">
        <f>"060462000427"</f>
        <v>060462000427</v>
      </c>
    </row>
    <row r="8149" spans="1:9" x14ac:dyDescent="0.25">
      <c r="A8149" t="s">
        <v>7107</v>
      </c>
      <c r="B8149" t="s">
        <v>13</v>
      </c>
      <c r="C8149">
        <v>1.4</v>
      </c>
      <c r="D8149">
        <v>1.4</v>
      </c>
      <c r="E8149" t="s">
        <v>17</v>
      </c>
      <c r="F8149">
        <v>20</v>
      </c>
      <c r="G8149">
        <v>24.29</v>
      </c>
      <c r="H8149" t="s">
        <v>17</v>
      </c>
      <c r="I8149" t="str">
        <f>"063321012712"</f>
        <v>063321012712</v>
      </c>
    </row>
    <row r="8150" spans="1:9" x14ac:dyDescent="0.25">
      <c r="A8150" t="s">
        <v>7108</v>
      </c>
      <c r="B8150" t="s">
        <v>13</v>
      </c>
      <c r="C8150">
        <v>1</v>
      </c>
      <c r="D8150">
        <v>1</v>
      </c>
      <c r="E8150" t="s">
        <v>17</v>
      </c>
      <c r="F8150">
        <v>5</v>
      </c>
      <c r="G8150">
        <v>9</v>
      </c>
      <c r="H8150" t="s">
        <v>17</v>
      </c>
      <c r="I8150" t="str">
        <f>"063321007458"</f>
        <v>063321007458</v>
      </c>
    </row>
    <row r="8151" spans="1:9" x14ac:dyDescent="0.25">
      <c r="A8151" t="s">
        <v>7109</v>
      </c>
      <c r="B8151" t="s">
        <v>13</v>
      </c>
      <c r="C8151">
        <v>3.3</v>
      </c>
      <c r="D8151">
        <v>3.3</v>
      </c>
      <c r="E8151" t="s">
        <v>17</v>
      </c>
      <c r="F8151">
        <v>25.76</v>
      </c>
      <c r="G8151">
        <v>24.55</v>
      </c>
      <c r="H8151" t="s">
        <v>17</v>
      </c>
      <c r="I8151" t="str">
        <f>"063321005164"</f>
        <v>063321005164</v>
      </c>
    </row>
    <row r="8152" spans="1:9" x14ac:dyDescent="0.25">
      <c r="A8152" t="s">
        <v>7110</v>
      </c>
      <c r="B8152" t="s">
        <v>13</v>
      </c>
      <c r="C8152">
        <v>17.14</v>
      </c>
      <c r="D8152">
        <v>20.63</v>
      </c>
      <c r="E8152" t="s">
        <v>17</v>
      </c>
      <c r="F8152">
        <v>11.44</v>
      </c>
      <c r="G8152">
        <v>12.85</v>
      </c>
      <c r="H8152" t="s">
        <v>17</v>
      </c>
      <c r="I8152" t="str">
        <f>"061440001686"</f>
        <v>061440001686</v>
      </c>
    </row>
    <row r="8153" spans="1:9" x14ac:dyDescent="0.25">
      <c r="A8153" t="s">
        <v>7111</v>
      </c>
      <c r="B8153" t="s">
        <v>13</v>
      </c>
      <c r="C8153">
        <v>16.55</v>
      </c>
      <c r="D8153">
        <v>21</v>
      </c>
      <c r="E8153" t="s">
        <v>17</v>
      </c>
      <c r="F8153">
        <v>25.44</v>
      </c>
      <c r="G8153">
        <v>21</v>
      </c>
      <c r="H8153" t="s">
        <v>17</v>
      </c>
      <c r="I8153" t="str">
        <f>"062513003747"</f>
        <v>062513003747</v>
      </c>
    </row>
    <row r="8154" spans="1:9" x14ac:dyDescent="0.25">
      <c r="A8154" t="s">
        <v>7112</v>
      </c>
      <c r="B8154" t="s">
        <v>13</v>
      </c>
      <c r="C8154">
        <v>34.159999999999997</v>
      </c>
      <c r="D8154">
        <v>33.9</v>
      </c>
      <c r="E8154" t="s">
        <v>17</v>
      </c>
      <c r="F8154">
        <v>29.01</v>
      </c>
      <c r="G8154">
        <v>28.35</v>
      </c>
      <c r="H8154" t="s">
        <v>17</v>
      </c>
      <c r="I8154" t="str">
        <f>"062250003226"</f>
        <v>062250003226</v>
      </c>
    </row>
    <row r="8155" spans="1:9" x14ac:dyDescent="0.25">
      <c r="A8155" t="s">
        <v>7113</v>
      </c>
      <c r="B8155" t="s">
        <v>13</v>
      </c>
      <c r="C8155">
        <v>18</v>
      </c>
      <c r="D8155">
        <v>17</v>
      </c>
      <c r="E8155" t="s">
        <v>17</v>
      </c>
      <c r="F8155">
        <v>23.67</v>
      </c>
      <c r="G8155">
        <v>25.24</v>
      </c>
      <c r="H8155" t="s">
        <v>17</v>
      </c>
      <c r="I8155" t="str">
        <f>"061455001760"</f>
        <v>061455001760</v>
      </c>
    </row>
    <row r="8156" spans="1:9" x14ac:dyDescent="0.25">
      <c r="A8156" t="s">
        <v>7113</v>
      </c>
      <c r="B8156" t="s">
        <v>13</v>
      </c>
      <c r="C8156">
        <v>25.1</v>
      </c>
      <c r="D8156">
        <v>24.6</v>
      </c>
      <c r="E8156" t="s">
        <v>17</v>
      </c>
      <c r="F8156">
        <v>26.45</v>
      </c>
      <c r="G8156">
        <v>29.15</v>
      </c>
      <c r="H8156" t="s">
        <v>17</v>
      </c>
      <c r="I8156" t="str">
        <f>"063386003453"</f>
        <v>063386003453</v>
      </c>
    </row>
    <row r="8157" spans="1:9" x14ac:dyDescent="0.25">
      <c r="A8157" t="s">
        <v>7114</v>
      </c>
      <c r="B8157" t="s">
        <v>13</v>
      </c>
      <c r="C8157">
        <v>20</v>
      </c>
      <c r="D8157">
        <v>21</v>
      </c>
      <c r="E8157" t="s">
        <v>17</v>
      </c>
      <c r="F8157">
        <v>25.05</v>
      </c>
      <c r="G8157">
        <v>22.76</v>
      </c>
      <c r="H8157" t="s">
        <v>17</v>
      </c>
      <c r="I8157" t="str">
        <f>"063324005166"</f>
        <v>063324005166</v>
      </c>
    </row>
    <row r="8158" spans="1:9" x14ac:dyDescent="0.25">
      <c r="A8158" t="s">
        <v>7115</v>
      </c>
      <c r="B8158" t="s">
        <v>13</v>
      </c>
      <c r="C8158" t="s">
        <v>17</v>
      </c>
      <c r="D8158" t="s">
        <v>14</v>
      </c>
      <c r="E8158" t="s">
        <v>14</v>
      </c>
      <c r="F8158" t="s">
        <v>17</v>
      </c>
      <c r="G8158" t="s">
        <v>14</v>
      </c>
      <c r="H8158" t="s">
        <v>14</v>
      </c>
      <c r="I8158" t="str">
        <f>"063324013464"</f>
        <v>063324013464</v>
      </c>
    </row>
    <row r="8159" spans="1:9" x14ac:dyDescent="0.25">
      <c r="A8159" t="s">
        <v>7116</v>
      </c>
      <c r="B8159" t="s">
        <v>13</v>
      </c>
      <c r="C8159">
        <v>13</v>
      </c>
      <c r="D8159">
        <v>15</v>
      </c>
      <c r="E8159" t="s">
        <v>17</v>
      </c>
      <c r="F8159">
        <v>29</v>
      </c>
      <c r="G8159">
        <v>24.13</v>
      </c>
      <c r="H8159" t="s">
        <v>17</v>
      </c>
      <c r="I8159" t="str">
        <f>"060006404874"</f>
        <v>060006404874</v>
      </c>
    </row>
    <row r="8160" spans="1:9" x14ac:dyDescent="0.25">
      <c r="A8160" t="s">
        <v>7117</v>
      </c>
      <c r="B8160" t="s">
        <v>13</v>
      </c>
      <c r="C8160">
        <v>25</v>
      </c>
      <c r="D8160">
        <v>24</v>
      </c>
      <c r="E8160" t="s">
        <v>17</v>
      </c>
      <c r="F8160">
        <v>23.2</v>
      </c>
      <c r="G8160">
        <v>25.13</v>
      </c>
      <c r="H8160" t="s">
        <v>17</v>
      </c>
      <c r="I8160" t="str">
        <f>"060001310575"</f>
        <v>060001310575</v>
      </c>
    </row>
    <row r="8161" spans="1:9" x14ac:dyDescent="0.25">
      <c r="A8161" t="s">
        <v>7117</v>
      </c>
      <c r="B8161" t="s">
        <v>13</v>
      </c>
      <c r="C8161">
        <v>14.5</v>
      </c>
      <c r="D8161">
        <v>16.05</v>
      </c>
      <c r="E8161" t="s">
        <v>17</v>
      </c>
      <c r="F8161">
        <v>20.97</v>
      </c>
      <c r="G8161">
        <v>19.440000000000001</v>
      </c>
      <c r="H8161" t="s">
        <v>17</v>
      </c>
      <c r="I8161" t="str">
        <f>"060348000267"</f>
        <v>060348000267</v>
      </c>
    </row>
    <row r="8162" spans="1:9" x14ac:dyDescent="0.25">
      <c r="A8162" t="s">
        <v>7118</v>
      </c>
      <c r="B8162" t="s">
        <v>13</v>
      </c>
      <c r="C8162">
        <v>26.6</v>
      </c>
      <c r="D8162">
        <v>27</v>
      </c>
      <c r="E8162" t="s">
        <v>17</v>
      </c>
      <c r="F8162">
        <v>23.65</v>
      </c>
      <c r="G8162">
        <v>24.93</v>
      </c>
      <c r="H8162" t="s">
        <v>17</v>
      </c>
      <c r="I8162" t="str">
        <f>"061288003933"</f>
        <v>061288003933</v>
      </c>
    </row>
    <row r="8163" spans="1:9" x14ac:dyDescent="0.25">
      <c r="A8163" t="s">
        <v>7119</v>
      </c>
      <c r="B8163" t="s">
        <v>13</v>
      </c>
      <c r="C8163">
        <v>13</v>
      </c>
      <c r="D8163">
        <v>11</v>
      </c>
      <c r="E8163" t="s">
        <v>17</v>
      </c>
      <c r="F8163">
        <v>21.38</v>
      </c>
      <c r="G8163">
        <v>24.55</v>
      </c>
      <c r="H8163" t="s">
        <v>17</v>
      </c>
      <c r="I8163" t="str">
        <f>"062271003312"</f>
        <v>062271003312</v>
      </c>
    </row>
    <row r="8164" spans="1:9" x14ac:dyDescent="0.25">
      <c r="A8164" t="s">
        <v>7120</v>
      </c>
      <c r="B8164" t="s">
        <v>13</v>
      </c>
      <c r="C8164">
        <v>6</v>
      </c>
      <c r="D8164" t="s">
        <v>14</v>
      </c>
      <c r="E8164" t="s">
        <v>14</v>
      </c>
      <c r="F8164">
        <v>30</v>
      </c>
      <c r="G8164" t="s">
        <v>14</v>
      </c>
      <c r="H8164" t="s">
        <v>14</v>
      </c>
      <c r="I8164" t="str">
        <f>"069103513073"</f>
        <v>069103513073</v>
      </c>
    </row>
    <row r="8165" spans="1:9" x14ac:dyDescent="0.25">
      <c r="A8165" t="s">
        <v>7121</v>
      </c>
      <c r="B8165" t="s">
        <v>13</v>
      </c>
      <c r="C8165">
        <v>12</v>
      </c>
      <c r="D8165" t="s">
        <v>14</v>
      </c>
      <c r="E8165" t="s">
        <v>14</v>
      </c>
      <c r="F8165">
        <v>40.83</v>
      </c>
      <c r="G8165" t="s">
        <v>14</v>
      </c>
      <c r="H8165" t="s">
        <v>14</v>
      </c>
      <c r="I8165" t="str">
        <f>"069103513048"</f>
        <v>069103513048</v>
      </c>
    </row>
    <row r="8166" spans="1:9" x14ac:dyDescent="0.25">
      <c r="A8166" t="s">
        <v>7122</v>
      </c>
      <c r="B8166" t="s">
        <v>13</v>
      </c>
      <c r="C8166">
        <v>16</v>
      </c>
      <c r="D8166">
        <v>12</v>
      </c>
      <c r="E8166" t="s">
        <v>14</v>
      </c>
      <c r="F8166">
        <v>39.880000000000003</v>
      </c>
      <c r="G8166">
        <v>35.67</v>
      </c>
      <c r="H8166" t="s">
        <v>14</v>
      </c>
      <c r="I8166" t="str">
        <f>"069103512668"</f>
        <v>069103512668</v>
      </c>
    </row>
    <row r="8167" spans="1:9" x14ac:dyDescent="0.25">
      <c r="A8167" t="s">
        <v>7123</v>
      </c>
      <c r="B8167" t="s">
        <v>13</v>
      </c>
      <c r="C8167" t="s">
        <v>17</v>
      </c>
      <c r="D8167" t="s">
        <v>14</v>
      </c>
      <c r="E8167" t="s">
        <v>14</v>
      </c>
      <c r="F8167" t="s">
        <v>17</v>
      </c>
      <c r="G8167" t="s">
        <v>14</v>
      </c>
      <c r="H8167" t="s">
        <v>14</v>
      </c>
      <c r="I8167" t="str">
        <f>"069103513200"</f>
        <v>069103513200</v>
      </c>
    </row>
    <row r="8168" spans="1:9" x14ac:dyDescent="0.25">
      <c r="A8168" t="s">
        <v>7124</v>
      </c>
      <c r="B8168" t="s">
        <v>13</v>
      </c>
      <c r="C8168">
        <v>15</v>
      </c>
      <c r="D8168">
        <v>15</v>
      </c>
      <c r="E8168" t="s">
        <v>17</v>
      </c>
      <c r="F8168">
        <v>41.73</v>
      </c>
      <c r="G8168">
        <v>33.799999999999997</v>
      </c>
      <c r="H8168" t="s">
        <v>17</v>
      </c>
      <c r="I8168" t="str">
        <f>"069103512478"</f>
        <v>069103512478</v>
      </c>
    </row>
    <row r="8169" spans="1:9" x14ac:dyDescent="0.25">
      <c r="A8169" t="s">
        <v>7125</v>
      </c>
      <c r="B8169" t="s">
        <v>13</v>
      </c>
      <c r="C8169">
        <v>16</v>
      </c>
      <c r="D8169">
        <v>16</v>
      </c>
      <c r="E8169" t="s">
        <v>17</v>
      </c>
      <c r="F8169">
        <v>36.81</v>
      </c>
      <c r="G8169">
        <v>32.130000000000003</v>
      </c>
      <c r="H8169" t="s">
        <v>17</v>
      </c>
      <c r="I8169" t="str">
        <f>"069103511864"</f>
        <v>069103511864</v>
      </c>
    </row>
    <row r="8170" spans="1:9" x14ac:dyDescent="0.25">
      <c r="A8170" t="s">
        <v>7126</v>
      </c>
      <c r="B8170" t="s">
        <v>13</v>
      </c>
      <c r="C8170">
        <v>16</v>
      </c>
      <c r="D8170">
        <v>12</v>
      </c>
      <c r="E8170" t="s">
        <v>14</v>
      </c>
      <c r="F8170">
        <v>39.69</v>
      </c>
      <c r="G8170">
        <v>35.33</v>
      </c>
      <c r="H8170" t="s">
        <v>14</v>
      </c>
      <c r="I8170" t="str">
        <f>"061437012645"</f>
        <v>061437012645</v>
      </c>
    </row>
    <row r="8171" spans="1:9" x14ac:dyDescent="0.25">
      <c r="A8171" t="s">
        <v>7127</v>
      </c>
      <c r="B8171" t="s">
        <v>13</v>
      </c>
      <c r="C8171">
        <v>16.2</v>
      </c>
      <c r="D8171">
        <v>16</v>
      </c>
      <c r="E8171" t="s">
        <v>17</v>
      </c>
      <c r="F8171">
        <v>40.619999999999997</v>
      </c>
      <c r="G8171">
        <v>34.880000000000003</v>
      </c>
      <c r="H8171" t="s">
        <v>17</v>
      </c>
      <c r="I8171" t="str">
        <f>"069103512225"</f>
        <v>069103512225</v>
      </c>
    </row>
    <row r="8172" spans="1:9" x14ac:dyDescent="0.25">
      <c r="A8172" t="s">
        <v>7128</v>
      </c>
      <c r="B8172" t="s">
        <v>13</v>
      </c>
      <c r="C8172" t="s">
        <v>17</v>
      </c>
      <c r="D8172" t="s">
        <v>14</v>
      </c>
      <c r="E8172" t="s">
        <v>14</v>
      </c>
      <c r="F8172" t="s">
        <v>17</v>
      </c>
      <c r="G8172" t="s">
        <v>14</v>
      </c>
      <c r="H8172" t="s">
        <v>14</v>
      </c>
      <c r="I8172" t="str">
        <f>"061437013582"</f>
        <v>061437013582</v>
      </c>
    </row>
    <row r="8173" spans="1:9" x14ac:dyDescent="0.25">
      <c r="A8173" t="s">
        <v>7129</v>
      </c>
      <c r="B8173" t="s">
        <v>13</v>
      </c>
      <c r="C8173">
        <v>7</v>
      </c>
      <c r="D8173">
        <v>7</v>
      </c>
      <c r="E8173" t="s">
        <v>17</v>
      </c>
      <c r="F8173">
        <v>7.29</v>
      </c>
      <c r="G8173">
        <v>7.14</v>
      </c>
      <c r="H8173" t="s">
        <v>17</v>
      </c>
      <c r="I8173" t="str">
        <f>"069107812637"</f>
        <v>069107812637</v>
      </c>
    </row>
    <row r="8174" spans="1:9" x14ac:dyDescent="0.25">
      <c r="A8174" t="s">
        <v>7130</v>
      </c>
      <c r="B8174" t="s">
        <v>13</v>
      </c>
      <c r="C8174">
        <v>16.600000000000001</v>
      </c>
      <c r="D8174">
        <v>16.600000000000001</v>
      </c>
      <c r="E8174" t="s">
        <v>17</v>
      </c>
      <c r="F8174">
        <v>24.46</v>
      </c>
      <c r="G8174">
        <v>20.3</v>
      </c>
      <c r="H8174" t="s">
        <v>17</v>
      </c>
      <c r="I8174" t="str">
        <f>"063327005168"</f>
        <v>063327005168</v>
      </c>
    </row>
    <row r="8175" spans="1:9" x14ac:dyDescent="0.25">
      <c r="A8175" t="s">
        <v>7131</v>
      </c>
      <c r="B8175" t="s">
        <v>13</v>
      </c>
      <c r="C8175">
        <v>14.1</v>
      </c>
      <c r="D8175">
        <v>14.53</v>
      </c>
      <c r="E8175" t="s">
        <v>17</v>
      </c>
      <c r="F8175">
        <v>26.38</v>
      </c>
      <c r="G8175">
        <v>25.6</v>
      </c>
      <c r="H8175" t="s">
        <v>17</v>
      </c>
      <c r="I8175" t="str">
        <f>"060001308762"</f>
        <v>060001308762</v>
      </c>
    </row>
    <row r="8176" spans="1:9" x14ac:dyDescent="0.25">
      <c r="A8176" t="s">
        <v>7132</v>
      </c>
      <c r="B8176" t="s">
        <v>13</v>
      </c>
      <c r="C8176">
        <v>7.4</v>
      </c>
      <c r="D8176">
        <v>7.33</v>
      </c>
      <c r="E8176" t="s">
        <v>17</v>
      </c>
      <c r="F8176">
        <v>25.14</v>
      </c>
      <c r="G8176">
        <v>25.38</v>
      </c>
      <c r="H8176" t="s">
        <v>17</v>
      </c>
      <c r="I8176" t="str">
        <f>"060001312012"</f>
        <v>060001312012</v>
      </c>
    </row>
    <row r="8177" spans="1:9" x14ac:dyDescent="0.25">
      <c r="A8177" t="s">
        <v>7133</v>
      </c>
      <c r="B8177" t="s">
        <v>13</v>
      </c>
      <c r="C8177" t="s">
        <v>17</v>
      </c>
      <c r="D8177" t="s">
        <v>14</v>
      </c>
      <c r="E8177" t="s">
        <v>14</v>
      </c>
      <c r="F8177" t="s">
        <v>17</v>
      </c>
      <c r="G8177" t="s">
        <v>14</v>
      </c>
      <c r="H8177" t="s">
        <v>14</v>
      </c>
      <c r="I8177" t="str">
        <f>"062712013641"</f>
        <v>062712013641</v>
      </c>
    </row>
    <row r="8178" spans="1:9" x14ac:dyDescent="0.25">
      <c r="A8178" t="s">
        <v>7134</v>
      </c>
      <c r="B8178" t="s">
        <v>13</v>
      </c>
      <c r="C8178">
        <v>6.05</v>
      </c>
      <c r="D8178">
        <v>8</v>
      </c>
      <c r="E8178" t="s">
        <v>17</v>
      </c>
      <c r="F8178">
        <v>11.57</v>
      </c>
      <c r="G8178">
        <v>8</v>
      </c>
      <c r="H8178" t="s">
        <v>17</v>
      </c>
      <c r="I8178" t="str">
        <f>"060001306197"</f>
        <v>060001306197</v>
      </c>
    </row>
    <row r="8179" spans="1:9" x14ac:dyDescent="0.25">
      <c r="A8179" t="s">
        <v>7135</v>
      </c>
      <c r="B8179" t="s">
        <v>13</v>
      </c>
      <c r="C8179">
        <v>19.989999999999998</v>
      </c>
      <c r="D8179">
        <v>19.04</v>
      </c>
      <c r="E8179" t="s">
        <v>17</v>
      </c>
      <c r="F8179">
        <v>27.56</v>
      </c>
      <c r="G8179">
        <v>27.89</v>
      </c>
      <c r="H8179" t="s">
        <v>17</v>
      </c>
      <c r="I8179" t="str">
        <f>"060001309070"</f>
        <v>060001309070</v>
      </c>
    </row>
    <row r="8180" spans="1:9" x14ac:dyDescent="0.25">
      <c r="A8180" t="s">
        <v>7136</v>
      </c>
      <c r="B8180" t="s">
        <v>13</v>
      </c>
      <c r="C8180">
        <v>77.040000000000006</v>
      </c>
      <c r="D8180">
        <v>75.040000000000006</v>
      </c>
      <c r="E8180" t="s">
        <v>17</v>
      </c>
      <c r="F8180">
        <v>24.36</v>
      </c>
      <c r="G8180">
        <v>24.56</v>
      </c>
      <c r="H8180" t="s">
        <v>17</v>
      </c>
      <c r="I8180" t="str">
        <f>"060001302405"</f>
        <v>060001302405</v>
      </c>
    </row>
    <row r="8181" spans="1:9" x14ac:dyDescent="0.25">
      <c r="A8181" t="s">
        <v>7137</v>
      </c>
      <c r="B8181" t="s">
        <v>13</v>
      </c>
      <c r="C8181">
        <v>22</v>
      </c>
      <c r="D8181">
        <v>26.7</v>
      </c>
      <c r="E8181" t="s">
        <v>17</v>
      </c>
      <c r="F8181">
        <v>27.45</v>
      </c>
      <c r="G8181">
        <v>20.67</v>
      </c>
      <c r="H8181" t="s">
        <v>17</v>
      </c>
      <c r="I8181" t="str">
        <f>"060690000640"</f>
        <v>060690000640</v>
      </c>
    </row>
    <row r="8182" spans="1:9" x14ac:dyDescent="0.25">
      <c r="A8182" t="s">
        <v>7138</v>
      </c>
      <c r="B8182" t="s">
        <v>13</v>
      </c>
      <c r="C8182" t="s">
        <v>17</v>
      </c>
      <c r="D8182" t="s">
        <v>17</v>
      </c>
      <c r="E8182" t="s">
        <v>17</v>
      </c>
      <c r="F8182" t="s">
        <v>17</v>
      </c>
      <c r="G8182" t="s">
        <v>17</v>
      </c>
      <c r="H8182" t="s">
        <v>17</v>
      </c>
      <c r="I8182" t="str">
        <f>"061320001502"</f>
        <v>061320001502</v>
      </c>
    </row>
    <row r="8183" spans="1:9" x14ac:dyDescent="0.25">
      <c r="A8183" t="s">
        <v>7139</v>
      </c>
      <c r="B8183" t="s">
        <v>13</v>
      </c>
      <c r="C8183">
        <v>7</v>
      </c>
      <c r="D8183">
        <v>7</v>
      </c>
      <c r="E8183" t="s">
        <v>17</v>
      </c>
      <c r="F8183">
        <v>22.14</v>
      </c>
      <c r="G8183">
        <v>21.86</v>
      </c>
      <c r="H8183" t="s">
        <v>17</v>
      </c>
      <c r="I8183" t="str">
        <f>"061495011927"</f>
        <v>061495011927</v>
      </c>
    </row>
    <row r="8184" spans="1:9" x14ac:dyDescent="0.25">
      <c r="A8184" t="s">
        <v>7140</v>
      </c>
      <c r="B8184" t="s">
        <v>13</v>
      </c>
      <c r="C8184" t="s">
        <v>17</v>
      </c>
      <c r="D8184" t="s">
        <v>17</v>
      </c>
      <c r="E8184" t="s">
        <v>17</v>
      </c>
      <c r="F8184" t="s">
        <v>17</v>
      </c>
      <c r="G8184" t="s">
        <v>17</v>
      </c>
      <c r="H8184" t="s">
        <v>17</v>
      </c>
      <c r="I8184" t="str">
        <f>"069101510512"</f>
        <v>069101510512</v>
      </c>
    </row>
    <row r="8185" spans="1:9" x14ac:dyDescent="0.25">
      <c r="A8185" t="s">
        <v>7141</v>
      </c>
      <c r="B8185" t="s">
        <v>13</v>
      </c>
      <c r="C8185">
        <v>26</v>
      </c>
      <c r="D8185">
        <v>29</v>
      </c>
      <c r="E8185" t="s">
        <v>17</v>
      </c>
      <c r="F8185">
        <v>29.73</v>
      </c>
      <c r="G8185">
        <v>26.17</v>
      </c>
      <c r="H8185" t="s">
        <v>17</v>
      </c>
      <c r="I8185" t="str">
        <f>"061518009140"</f>
        <v>061518009140</v>
      </c>
    </row>
    <row r="8186" spans="1:9" x14ac:dyDescent="0.25">
      <c r="A8186" t="s">
        <v>7142</v>
      </c>
      <c r="B8186" t="s">
        <v>13</v>
      </c>
      <c r="C8186">
        <v>29</v>
      </c>
      <c r="D8186">
        <v>31</v>
      </c>
      <c r="E8186" t="s">
        <v>17</v>
      </c>
      <c r="F8186">
        <v>24.03</v>
      </c>
      <c r="G8186">
        <v>23.58</v>
      </c>
      <c r="H8186" t="s">
        <v>17</v>
      </c>
      <c r="I8186" t="str">
        <f>"061899002301"</f>
        <v>061899002301</v>
      </c>
    </row>
    <row r="8187" spans="1:9" x14ac:dyDescent="0.25">
      <c r="A8187" t="s">
        <v>7143</v>
      </c>
      <c r="B8187" t="s">
        <v>13</v>
      </c>
      <c r="C8187">
        <v>34</v>
      </c>
      <c r="D8187">
        <v>34</v>
      </c>
      <c r="E8187" t="s">
        <v>17</v>
      </c>
      <c r="F8187">
        <v>17.71</v>
      </c>
      <c r="G8187">
        <v>17.32</v>
      </c>
      <c r="H8187" t="s">
        <v>17</v>
      </c>
      <c r="I8187" t="str">
        <f>"063432011973"</f>
        <v>063432011973</v>
      </c>
    </row>
    <row r="8188" spans="1:9" x14ac:dyDescent="0.25">
      <c r="A8188" t="s">
        <v>7144</v>
      </c>
      <c r="B8188" t="s">
        <v>13</v>
      </c>
      <c r="C8188">
        <v>27</v>
      </c>
      <c r="D8188">
        <v>25</v>
      </c>
      <c r="E8188" t="s">
        <v>17</v>
      </c>
      <c r="F8188">
        <v>26.48</v>
      </c>
      <c r="G8188">
        <v>27.92</v>
      </c>
      <c r="H8188" t="s">
        <v>17</v>
      </c>
      <c r="I8188" t="str">
        <f>"061455001761"</f>
        <v>061455001761</v>
      </c>
    </row>
    <row r="8189" spans="1:9" x14ac:dyDescent="0.25">
      <c r="A8189" t="s">
        <v>7145</v>
      </c>
      <c r="B8189" t="s">
        <v>13</v>
      </c>
      <c r="C8189">
        <v>23</v>
      </c>
      <c r="D8189">
        <v>24</v>
      </c>
      <c r="E8189" t="s">
        <v>17</v>
      </c>
      <c r="F8189">
        <v>28.3</v>
      </c>
      <c r="G8189">
        <v>27.42</v>
      </c>
      <c r="H8189" t="s">
        <v>17</v>
      </c>
      <c r="I8189" t="str">
        <f>"063417011107"</f>
        <v>063417011107</v>
      </c>
    </row>
    <row r="8190" spans="1:9" x14ac:dyDescent="0.25">
      <c r="A8190" t="s">
        <v>7146</v>
      </c>
      <c r="B8190" t="s">
        <v>13</v>
      </c>
      <c r="C8190">
        <v>23</v>
      </c>
      <c r="D8190">
        <v>20</v>
      </c>
      <c r="E8190" t="s">
        <v>14</v>
      </c>
      <c r="F8190">
        <v>28.13</v>
      </c>
      <c r="G8190">
        <v>26.2</v>
      </c>
      <c r="H8190" t="s">
        <v>14</v>
      </c>
      <c r="I8190" t="str">
        <f>"060903012798"</f>
        <v>060903012798</v>
      </c>
    </row>
    <row r="8191" spans="1:9" x14ac:dyDescent="0.25">
      <c r="A8191" t="s">
        <v>7147</v>
      </c>
      <c r="B8191" t="s">
        <v>13</v>
      </c>
      <c r="C8191">
        <v>31</v>
      </c>
      <c r="D8191">
        <v>29.5</v>
      </c>
      <c r="E8191" t="s">
        <v>17</v>
      </c>
      <c r="F8191">
        <v>15.55</v>
      </c>
      <c r="G8191">
        <v>16.809999999999999</v>
      </c>
      <c r="H8191" t="s">
        <v>17</v>
      </c>
      <c r="I8191" t="str">
        <f>"060861000874"</f>
        <v>060861000874</v>
      </c>
    </row>
    <row r="8192" spans="1:9" x14ac:dyDescent="0.25">
      <c r="A8192" t="s">
        <v>7148</v>
      </c>
      <c r="B8192" t="s">
        <v>13</v>
      </c>
      <c r="C8192">
        <v>29.52</v>
      </c>
      <c r="D8192">
        <v>29.77</v>
      </c>
      <c r="E8192" t="s">
        <v>17</v>
      </c>
      <c r="F8192">
        <v>29.98</v>
      </c>
      <c r="G8192">
        <v>30.4</v>
      </c>
      <c r="H8192" t="s">
        <v>17</v>
      </c>
      <c r="I8192" t="str">
        <f>"062250002755"</f>
        <v>062250002755</v>
      </c>
    </row>
    <row r="8193" spans="1:9" x14ac:dyDescent="0.25">
      <c r="A8193" t="s">
        <v>7149</v>
      </c>
      <c r="B8193" t="s">
        <v>13</v>
      </c>
      <c r="C8193">
        <v>19</v>
      </c>
      <c r="D8193">
        <v>19</v>
      </c>
      <c r="E8193" t="s">
        <v>17</v>
      </c>
      <c r="F8193">
        <v>18.37</v>
      </c>
      <c r="G8193">
        <v>19.63</v>
      </c>
      <c r="H8193" t="s">
        <v>17</v>
      </c>
      <c r="I8193" t="str">
        <f>"060861000875"</f>
        <v>060861000875</v>
      </c>
    </row>
    <row r="8194" spans="1:9" x14ac:dyDescent="0.25">
      <c r="A8194" t="s">
        <v>7150</v>
      </c>
      <c r="B8194" t="s">
        <v>13</v>
      </c>
      <c r="C8194">
        <v>20.2</v>
      </c>
      <c r="D8194">
        <v>21.25</v>
      </c>
      <c r="E8194" t="s">
        <v>17</v>
      </c>
      <c r="F8194">
        <v>30.59</v>
      </c>
      <c r="G8194">
        <v>30.49</v>
      </c>
      <c r="H8194" t="s">
        <v>17</v>
      </c>
      <c r="I8194" t="str">
        <f>"062025002443"</f>
        <v>062025002443</v>
      </c>
    </row>
    <row r="8195" spans="1:9" x14ac:dyDescent="0.25">
      <c r="A8195" t="s">
        <v>7151</v>
      </c>
      <c r="B8195" t="s">
        <v>13</v>
      </c>
      <c r="C8195">
        <v>14.4</v>
      </c>
      <c r="D8195">
        <v>14.4</v>
      </c>
      <c r="E8195" t="s">
        <v>17</v>
      </c>
      <c r="F8195">
        <v>15.63</v>
      </c>
      <c r="G8195">
        <v>16.53</v>
      </c>
      <c r="H8195" t="s">
        <v>17</v>
      </c>
      <c r="I8195" t="str">
        <f>"063432005540"</f>
        <v>063432005540</v>
      </c>
    </row>
    <row r="8196" spans="1:9" x14ac:dyDescent="0.25">
      <c r="A8196" t="s">
        <v>7152</v>
      </c>
      <c r="B8196" t="s">
        <v>13</v>
      </c>
      <c r="C8196">
        <v>14</v>
      </c>
      <c r="D8196">
        <v>14</v>
      </c>
      <c r="E8196" t="s">
        <v>17</v>
      </c>
      <c r="F8196">
        <v>28.21</v>
      </c>
      <c r="G8196">
        <v>27</v>
      </c>
      <c r="H8196" t="s">
        <v>17</v>
      </c>
      <c r="I8196" t="str">
        <f>"063153004894"</f>
        <v>063153004894</v>
      </c>
    </row>
    <row r="8197" spans="1:9" x14ac:dyDescent="0.25">
      <c r="A8197" t="s">
        <v>7152</v>
      </c>
      <c r="B8197" t="s">
        <v>13</v>
      </c>
      <c r="C8197">
        <v>23</v>
      </c>
      <c r="D8197">
        <v>23</v>
      </c>
      <c r="E8197" t="s">
        <v>17</v>
      </c>
      <c r="F8197">
        <v>31.04</v>
      </c>
      <c r="G8197">
        <v>31.17</v>
      </c>
      <c r="H8197" t="s">
        <v>17</v>
      </c>
      <c r="I8197" t="str">
        <f>"061336011995"</f>
        <v>061336011995</v>
      </c>
    </row>
    <row r="8198" spans="1:9" x14ac:dyDescent="0.25">
      <c r="A8198" t="s">
        <v>7152</v>
      </c>
      <c r="B8198" t="s">
        <v>13</v>
      </c>
      <c r="C8198">
        <v>26.65</v>
      </c>
      <c r="D8198">
        <v>25.5</v>
      </c>
      <c r="E8198" t="s">
        <v>17</v>
      </c>
      <c r="F8198">
        <v>27.2</v>
      </c>
      <c r="G8198">
        <v>27.29</v>
      </c>
      <c r="H8198" t="s">
        <v>17</v>
      </c>
      <c r="I8198" t="str">
        <f>"061473001804"</f>
        <v>061473001804</v>
      </c>
    </row>
    <row r="8199" spans="1:9" x14ac:dyDescent="0.25">
      <c r="A8199" t="s">
        <v>7153</v>
      </c>
      <c r="B8199" t="s">
        <v>13</v>
      </c>
      <c r="C8199">
        <v>40.200000000000003</v>
      </c>
      <c r="D8199">
        <v>40.1</v>
      </c>
      <c r="E8199" t="s">
        <v>17</v>
      </c>
      <c r="F8199">
        <v>25.02</v>
      </c>
      <c r="G8199">
        <v>23.82</v>
      </c>
      <c r="H8199" t="s">
        <v>17</v>
      </c>
      <c r="I8199" t="str">
        <f>"060627002958"</f>
        <v>060627002958</v>
      </c>
    </row>
    <row r="8200" spans="1:9" x14ac:dyDescent="0.25">
      <c r="A8200" t="s">
        <v>7153</v>
      </c>
      <c r="B8200" t="s">
        <v>13</v>
      </c>
      <c r="C8200">
        <v>27</v>
      </c>
      <c r="D8200">
        <v>29</v>
      </c>
      <c r="E8200" t="s">
        <v>17</v>
      </c>
      <c r="F8200">
        <v>21.63</v>
      </c>
      <c r="G8200">
        <v>19.66</v>
      </c>
      <c r="H8200" t="s">
        <v>17</v>
      </c>
      <c r="I8200" t="str">
        <f>"062949004550"</f>
        <v>062949004550</v>
      </c>
    </row>
    <row r="8201" spans="1:9" x14ac:dyDescent="0.25">
      <c r="A8201" t="s">
        <v>7153</v>
      </c>
      <c r="B8201" t="s">
        <v>13</v>
      </c>
      <c r="C8201">
        <v>43.17</v>
      </c>
      <c r="D8201">
        <v>40.81</v>
      </c>
      <c r="E8201" t="s">
        <v>17</v>
      </c>
      <c r="F8201">
        <v>22.59</v>
      </c>
      <c r="G8201">
        <v>21.86</v>
      </c>
      <c r="H8201" t="s">
        <v>17</v>
      </c>
      <c r="I8201" t="str">
        <f>"060720000674"</f>
        <v>060720000674</v>
      </c>
    </row>
    <row r="8202" spans="1:9" x14ac:dyDescent="0.25">
      <c r="A8202" t="s">
        <v>7154</v>
      </c>
      <c r="B8202" t="s">
        <v>13</v>
      </c>
      <c r="C8202">
        <v>19.350000000000001</v>
      </c>
      <c r="D8202">
        <v>20.55</v>
      </c>
      <c r="E8202" t="s">
        <v>17</v>
      </c>
      <c r="F8202">
        <v>27.7</v>
      </c>
      <c r="G8202">
        <v>26.42</v>
      </c>
      <c r="H8202" t="s">
        <v>17</v>
      </c>
      <c r="I8202" t="str">
        <f>"060846009527"</f>
        <v>060846009527</v>
      </c>
    </row>
    <row r="8203" spans="1:9" x14ac:dyDescent="0.25">
      <c r="A8203" t="s">
        <v>7155</v>
      </c>
      <c r="B8203" t="s">
        <v>13</v>
      </c>
      <c r="C8203">
        <v>8</v>
      </c>
      <c r="D8203">
        <v>11</v>
      </c>
      <c r="E8203" t="s">
        <v>17</v>
      </c>
      <c r="F8203">
        <v>27</v>
      </c>
      <c r="G8203">
        <v>22.64</v>
      </c>
      <c r="H8203" t="s">
        <v>17</v>
      </c>
      <c r="I8203" t="str">
        <f>"063423005399"</f>
        <v>063423005399</v>
      </c>
    </row>
    <row r="8204" spans="1:9" x14ac:dyDescent="0.25">
      <c r="A8204" t="s">
        <v>7156</v>
      </c>
      <c r="B8204" t="s">
        <v>13</v>
      </c>
      <c r="C8204">
        <v>11</v>
      </c>
      <c r="D8204">
        <v>13</v>
      </c>
      <c r="E8204" t="s">
        <v>17</v>
      </c>
      <c r="F8204">
        <v>25.36</v>
      </c>
      <c r="G8204">
        <v>21.08</v>
      </c>
      <c r="H8204" t="s">
        <v>17</v>
      </c>
      <c r="I8204" t="str">
        <f>"061632309552"</f>
        <v>061632309552</v>
      </c>
    </row>
    <row r="8205" spans="1:9" x14ac:dyDescent="0.25">
      <c r="A8205" t="s">
        <v>7157</v>
      </c>
      <c r="B8205" t="s">
        <v>13</v>
      </c>
      <c r="C8205">
        <v>22</v>
      </c>
      <c r="D8205">
        <v>22</v>
      </c>
      <c r="E8205" t="s">
        <v>17</v>
      </c>
      <c r="F8205">
        <v>22.59</v>
      </c>
      <c r="G8205">
        <v>20.45</v>
      </c>
      <c r="H8205" t="s">
        <v>17</v>
      </c>
      <c r="I8205" t="str">
        <f>"063339005173"</f>
        <v>063339005173</v>
      </c>
    </row>
    <row r="8206" spans="1:9" x14ac:dyDescent="0.25">
      <c r="A8206" t="s">
        <v>7158</v>
      </c>
      <c r="B8206" t="s">
        <v>13</v>
      </c>
      <c r="C8206">
        <v>2</v>
      </c>
      <c r="D8206">
        <v>3.4</v>
      </c>
      <c r="E8206" t="s">
        <v>17</v>
      </c>
      <c r="F8206">
        <v>2.5</v>
      </c>
      <c r="G8206">
        <v>14.41</v>
      </c>
      <c r="H8206" t="s">
        <v>17</v>
      </c>
      <c r="I8206" t="str">
        <f>"064128006837"</f>
        <v>064128006837</v>
      </c>
    </row>
    <row r="8207" spans="1:9" x14ac:dyDescent="0.25">
      <c r="A8207" t="s">
        <v>7159</v>
      </c>
      <c r="B8207" t="s">
        <v>13</v>
      </c>
      <c r="C8207">
        <v>26.3</v>
      </c>
      <c r="D8207">
        <v>24.5</v>
      </c>
      <c r="E8207" t="s">
        <v>17</v>
      </c>
      <c r="F8207">
        <v>23.73</v>
      </c>
      <c r="G8207">
        <v>25.76</v>
      </c>
      <c r="H8207" t="s">
        <v>17</v>
      </c>
      <c r="I8207" t="str">
        <f>"060591010194"</f>
        <v>060591010194</v>
      </c>
    </row>
    <row r="8208" spans="1:9" x14ac:dyDescent="0.25">
      <c r="A8208" t="s">
        <v>7160</v>
      </c>
      <c r="B8208" t="s">
        <v>13</v>
      </c>
      <c r="C8208">
        <v>20</v>
      </c>
      <c r="D8208">
        <v>18</v>
      </c>
      <c r="E8208" t="s">
        <v>17</v>
      </c>
      <c r="F8208">
        <v>28.65</v>
      </c>
      <c r="G8208">
        <v>29.61</v>
      </c>
      <c r="H8208" t="s">
        <v>17</v>
      </c>
      <c r="I8208" t="str">
        <f>"060962000979"</f>
        <v>060962000979</v>
      </c>
    </row>
    <row r="8209" spans="1:9" x14ac:dyDescent="0.25">
      <c r="A8209" t="s">
        <v>7161</v>
      </c>
      <c r="B8209" t="s">
        <v>13</v>
      </c>
      <c r="C8209">
        <v>76.349999999999994</v>
      </c>
      <c r="D8209">
        <v>78</v>
      </c>
      <c r="E8209" t="s">
        <v>17</v>
      </c>
      <c r="F8209">
        <v>23.18</v>
      </c>
      <c r="G8209">
        <v>23.64</v>
      </c>
      <c r="H8209" t="s">
        <v>17</v>
      </c>
      <c r="I8209" t="str">
        <f>"062223011418"</f>
        <v>062223011418</v>
      </c>
    </row>
    <row r="8210" spans="1:9" x14ac:dyDescent="0.25">
      <c r="A8210" t="s">
        <v>7162</v>
      </c>
      <c r="B8210" t="s">
        <v>13</v>
      </c>
      <c r="C8210">
        <v>14</v>
      </c>
      <c r="D8210">
        <v>14</v>
      </c>
      <c r="E8210" t="s">
        <v>17</v>
      </c>
      <c r="F8210">
        <v>21.43</v>
      </c>
      <c r="G8210">
        <v>22.43</v>
      </c>
      <c r="H8210" t="s">
        <v>17</v>
      </c>
      <c r="I8210" t="str">
        <f>"063186004914"</f>
        <v>063186004914</v>
      </c>
    </row>
    <row r="8211" spans="1:9" x14ac:dyDescent="0.25">
      <c r="A8211" t="s">
        <v>7163</v>
      </c>
      <c r="B8211" t="s">
        <v>13</v>
      </c>
      <c r="C8211">
        <v>7.84</v>
      </c>
      <c r="D8211">
        <v>7.37</v>
      </c>
      <c r="E8211" t="s">
        <v>17</v>
      </c>
      <c r="F8211">
        <v>24.23</v>
      </c>
      <c r="G8211">
        <v>25.24</v>
      </c>
      <c r="H8211" t="s">
        <v>17</v>
      </c>
      <c r="I8211" t="str">
        <f>"060006511370"</f>
        <v>060006511370</v>
      </c>
    </row>
    <row r="8212" spans="1:9" x14ac:dyDescent="0.25">
      <c r="A8212" t="s">
        <v>7164</v>
      </c>
      <c r="B8212" t="s">
        <v>13</v>
      </c>
      <c r="C8212">
        <v>32.200000000000003</v>
      </c>
      <c r="D8212">
        <v>33.200000000000003</v>
      </c>
      <c r="E8212" t="s">
        <v>17</v>
      </c>
      <c r="F8212">
        <v>27.24</v>
      </c>
      <c r="G8212">
        <v>26.2</v>
      </c>
      <c r="H8212" t="s">
        <v>17</v>
      </c>
      <c r="I8212" t="str">
        <f>"061111011713"</f>
        <v>061111011713</v>
      </c>
    </row>
    <row r="8213" spans="1:9" x14ac:dyDescent="0.25">
      <c r="A8213" t="s">
        <v>7164</v>
      </c>
      <c r="B8213" t="s">
        <v>13</v>
      </c>
      <c r="C8213">
        <v>20</v>
      </c>
      <c r="D8213">
        <v>21</v>
      </c>
      <c r="E8213" t="s">
        <v>17</v>
      </c>
      <c r="F8213">
        <v>24.25</v>
      </c>
      <c r="G8213">
        <v>22.38</v>
      </c>
      <c r="H8213" t="s">
        <v>17</v>
      </c>
      <c r="I8213" t="str">
        <f>"060852011852"</f>
        <v>060852011852</v>
      </c>
    </row>
    <row r="8214" spans="1:9" x14ac:dyDescent="0.25">
      <c r="A8214" t="s">
        <v>7164</v>
      </c>
      <c r="B8214" t="s">
        <v>13</v>
      </c>
      <c r="C8214">
        <v>34.549999999999997</v>
      </c>
      <c r="D8214">
        <v>29.04</v>
      </c>
      <c r="E8214" t="s">
        <v>17</v>
      </c>
      <c r="F8214">
        <v>27.73</v>
      </c>
      <c r="G8214">
        <v>30.68</v>
      </c>
      <c r="H8214" t="s">
        <v>17</v>
      </c>
      <c r="I8214" t="str">
        <f>"060639007503"</f>
        <v>060639007503</v>
      </c>
    </row>
    <row r="8215" spans="1:9" x14ac:dyDescent="0.25">
      <c r="A8215" t="s">
        <v>7164</v>
      </c>
      <c r="B8215" t="s">
        <v>13</v>
      </c>
      <c r="C8215">
        <v>30</v>
      </c>
      <c r="D8215">
        <v>31</v>
      </c>
      <c r="E8215" t="s">
        <v>17</v>
      </c>
      <c r="F8215">
        <v>24</v>
      </c>
      <c r="G8215">
        <v>24.29</v>
      </c>
      <c r="H8215" t="s">
        <v>17</v>
      </c>
      <c r="I8215" t="str">
        <f>"060002711037"</f>
        <v>060002711037</v>
      </c>
    </row>
    <row r="8216" spans="1:9" x14ac:dyDescent="0.25">
      <c r="A8216" t="s">
        <v>7165</v>
      </c>
      <c r="B8216" t="s">
        <v>13</v>
      </c>
      <c r="C8216">
        <v>24.5</v>
      </c>
      <c r="D8216">
        <v>24</v>
      </c>
      <c r="E8216" t="s">
        <v>17</v>
      </c>
      <c r="F8216">
        <v>28.37</v>
      </c>
      <c r="G8216">
        <v>29.96</v>
      </c>
      <c r="H8216" t="s">
        <v>17</v>
      </c>
      <c r="I8216" t="str">
        <f>"061980011915"</f>
        <v>061980011915</v>
      </c>
    </row>
    <row r="8217" spans="1:9" x14ac:dyDescent="0.25">
      <c r="A8217" t="s">
        <v>7165</v>
      </c>
      <c r="B8217" t="s">
        <v>13</v>
      </c>
      <c r="C8217">
        <v>17</v>
      </c>
      <c r="D8217">
        <v>17.600000000000001</v>
      </c>
      <c r="E8217" t="s">
        <v>17</v>
      </c>
      <c r="F8217">
        <v>24.59</v>
      </c>
      <c r="G8217">
        <v>22.27</v>
      </c>
      <c r="H8217" t="s">
        <v>17</v>
      </c>
      <c r="I8217" t="str">
        <f>"063525011999"</f>
        <v>063525011999</v>
      </c>
    </row>
    <row r="8218" spans="1:9" x14ac:dyDescent="0.25">
      <c r="A8218" t="s">
        <v>7166</v>
      </c>
      <c r="B8218" t="s">
        <v>13</v>
      </c>
      <c r="C8218">
        <v>28.2</v>
      </c>
      <c r="D8218">
        <v>29.25</v>
      </c>
      <c r="E8218" t="s">
        <v>17</v>
      </c>
      <c r="F8218">
        <v>20.82</v>
      </c>
      <c r="G8218">
        <v>20.21</v>
      </c>
      <c r="H8218" t="s">
        <v>17</v>
      </c>
      <c r="I8218" t="str">
        <f>"063441005661"</f>
        <v>063441005661</v>
      </c>
    </row>
    <row r="8219" spans="1:9" x14ac:dyDescent="0.25">
      <c r="A8219" t="s">
        <v>7167</v>
      </c>
      <c r="B8219" t="s">
        <v>13</v>
      </c>
      <c r="C8219">
        <v>17.5</v>
      </c>
      <c r="D8219">
        <v>17.100000000000001</v>
      </c>
      <c r="E8219" t="s">
        <v>17</v>
      </c>
      <c r="F8219">
        <v>14.8</v>
      </c>
      <c r="G8219">
        <v>17.54</v>
      </c>
      <c r="H8219" t="s">
        <v>17</v>
      </c>
      <c r="I8219" t="str">
        <f>"062994007816"</f>
        <v>062994007816</v>
      </c>
    </row>
    <row r="8220" spans="1:9" x14ac:dyDescent="0.25">
      <c r="A8220" t="s">
        <v>7168</v>
      </c>
      <c r="B8220" t="s">
        <v>13</v>
      </c>
      <c r="C8220">
        <v>24.4</v>
      </c>
      <c r="D8220">
        <v>24</v>
      </c>
      <c r="E8220" t="s">
        <v>17</v>
      </c>
      <c r="F8220">
        <v>24.88</v>
      </c>
      <c r="G8220">
        <v>25.83</v>
      </c>
      <c r="H8220" t="s">
        <v>17</v>
      </c>
      <c r="I8220" t="str">
        <f>"060261000165"</f>
        <v>060261000165</v>
      </c>
    </row>
    <row r="8221" spans="1:9" x14ac:dyDescent="0.25">
      <c r="A8221" t="s">
        <v>7169</v>
      </c>
      <c r="B8221" t="s">
        <v>13</v>
      </c>
      <c r="C8221">
        <v>29.5</v>
      </c>
      <c r="D8221">
        <v>30.5</v>
      </c>
      <c r="E8221" t="s">
        <v>17</v>
      </c>
      <c r="F8221">
        <v>25.32</v>
      </c>
      <c r="G8221">
        <v>24.79</v>
      </c>
      <c r="H8221" t="s">
        <v>17</v>
      </c>
      <c r="I8221" t="str">
        <f>"063132004859"</f>
        <v>063132004859</v>
      </c>
    </row>
    <row r="8222" spans="1:9" x14ac:dyDescent="0.25">
      <c r="A8222" t="s">
        <v>7169</v>
      </c>
      <c r="B8222" t="s">
        <v>13</v>
      </c>
      <c r="C8222">
        <v>14</v>
      </c>
      <c r="D8222">
        <v>14.4</v>
      </c>
      <c r="E8222" t="s">
        <v>17</v>
      </c>
      <c r="F8222">
        <v>29.07</v>
      </c>
      <c r="G8222">
        <v>26.88</v>
      </c>
      <c r="H8222" t="s">
        <v>17</v>
      </c>
      <c r="I8222" t="str">
        <f>"063442500575"</f>
        <v>063442500575</v>
      </c>
    </row>
    <row r="8223" spans="1:9" x14ac:dyDescent="0.25">
      <c r="A8223" t="s">
        <v>7169</v>
      </c>
      <c r="B8223" t="s">
        <v>13</v>
      </c>
      <c r="C8223">
        <v>33.4</v>
      </c>
      <c r="D8223">
        <v>33</v>
      </c>
      <c r="E8223" t="s">
        <v>17</v>
      </c>
      <c r="F8223">
        <v>23.92</v>
      </c>
      <c r="G8223">
        <v>24.06</v>
      </c>
      <c r="H8223" t="s">
        <v>17</v>
      </c>
      <c r="I8223" t="str">
        <f>"063570006101"</f>
        <v>063570006101</v>
      </c>
    </row>
    <row r="8224" spans="1:9" x14ac:dyDescent="0.25">
      <c r="A8224" t="s">
        <v>7169</v>
      </c>
      <c r="B8224" t="s">
        <v>13</v>
      </c>
      <c r="C8224">
        <v>23</v>
      </c>
      <c r="D8224">
        <v>18</v>
      </c>
      <c r="E8224" t="s">
        <v>17</v>
      </c>
      <c r="F8224">
        <v>25.91</v>
      </c>
      <c r="G8224">
        <v>29.39</v>
      </c>
      <c r="H8224" t="s">
        <v>17</v>
      </c>
      <c r="I8224" t="str">
        <f>"062316003538"</f>
        <v>062316003538</v>
      </c>
    </row>
    <row r="8225" spans="1:9" x14ac:dyDescent="0.25">
      <c r="A8225" t="s">
        <v>7169</v>
      </c>
      <c r="B8225" t="s">
        <v>13</v>
      </c>
      <c r="C8225">
        <v>21.2</v>
      </c>
      <c r="D8225">
        <v>18.68</v>
      </c>
      <c r="E8225" t="s">
        <v>17</v>
      </c>
      <c r="F8225">
        <v>20.38</v>
      </c>
      <c r="G8225">
        <v>21.47</v>
      </c>
      <c r="H8225" t="s">
        <v>17</v>
      </c>
      <c r="I8225" t="str">
        <f>"060363000317"</f>
        <v>060363000317</v>
      </c>
    </row>
    <row r="8226" spans="1:9" x14ac:dyDescent="0.25">
      <c r="A8226" t="s">
        <v>7169</v>
      </c>
      <c r="B8226" t="s">
        <v>13</v>
      </c>
      <c r="C8226">
        <v>16.63</v>
      </c>
      <c r="D8226">
        <v>17.13</v>
      </c>
      <c r="E8226" t="s">
        <v>17</v>
      </c>
      <c r="F8226">
        <v>25.62</v>
      </c>
      <c r="G8226">
        <v>25.04</v>
      </c>
      <c r="H8226" t="s">
        <v>17</v>
      </c>
      <c r="I8226" t="str">
        <f>"063870006508"</f>
        <v>063870006508</v>
      </c>
    </row>
    <row r="8227" spans="1:9" x14ac:dyDescent="0.25">
      <c r="A8227" t="s">
        <v>7169</v>
      </c>
      <c r="B8227" t="s">
        <v>13</v>
      </c>
      <c r="C8227">
        <v>28</v>
      </c>
      <c r="D8227">
        <v>28</v>
      </c>
      <c r="E8227" t="s">
        <v>17</v>
      </c>
      <c r="F8227">
        <v>25.36</v>
      </c>
      <c r="G8227">
        <v>29.86</v>
      </c>
      <c r="H8227" t="s">
        <v>17</v>
      </c>
      <c r="I8227" t="str">
        <f>"060962000993"</f>
        <v>060962000993</v>
      </c>
    </row>
    <row r="8228" spans="1:9" x14ac:dyDescent="0.25">
      <c r="A8228" t="s">
        <v>7169</v>
      </c>
      <c r="B8228" t="s">
        <v>13</v>
      </c>
      <c r="C8228">
        <v>35</v>
      </c>
      <c r="D8228">
        <v>37</v>
      </c>
      <c r="E8228" t="s">
        <v>17</v>
      </c>
      <c r="F8228">
        <v>29.31</v>
      </c>
      <c r="G8228">
        <v>29.65</v>
      </c>
      <c r="H8228" t="s">
        <v>17</v>
      </c>
      <c r="I8228" t="str">
        <f>"062250002756"</f>
        <v>062250002756</v>
      </c>
    </row>
    <row r="8229" spans="1:9" x14ac:dyDescent="0.25">
      <c r="A8229" t="s">
        <v>7169</v>
      </c>
      <c r="B8229" t="s">
        <v>13</v>
      </c>
      <c r="C8229">
        <v>21.5</v>
      </c>
      <c r="D8229">
        <v>21.5</v>
      </c>
      <c r="E8229" t="s">
        <v>17</v>
      </c>
      <c r="F8229">
        <v>25.12</v>
      </c>
      <c r="G8229">
        <v>23.72</v>
      </c>
      <c r="H8229" t="s">
        <v>17</v>
      </c>
      <c r="I8229" t="str">
        <f>"060797007673"</f>
        <v>060797007673</v>
      </c>
    </row>
    <row r="8230" spans="1:9" x14ac:dyDescent="0.25">
      <c r="A8230" t="s">
        <v>7169</v>
      </c>
      <c r="B8230" t="s">
        <v>13</v>
      </c>
      <c r="C8230">
        <v>10</v>
      </c>
      <c r="D8230">
        <v>11</v>
      </c>
      <c r="E8230" t="s">
        <v>17</v>
      </c>
      <c r="F8230">
        <v>23.2</v>
      </c>
      <c r="G8230">
        <v>21.09</v>
      </c>
      <c r="H8230" t="s">
        <v>17</v>
      </c>
      <c r="I8230" t="str">
        <f>"061980002381"</f>
        <v>061980002381</v>
      </c>
    </row>
    <row r="8231" spans="1:9" x14ac:dyDescent="0.25">
      <c r="A8231" t="s">
        <v>7169</v>
      </c>
      <c r="B8231" t="s">
        <v>13</v>
      </c>
      <c r="C8231">
        <v>22</v>
      </c>
      <c r="D8231">
        <v>24</v>
      </c>
      <c r="E8231" t="s">
        <v>17</v>
      </c>
      <c r="F8231">
        <v>24.05</v>
      </c>
      <c r="G8231">
        <v>21.54</v>
      </c>
      <c r="H8231" t="s">
        <v>17</v>
      </c>
      <c r="I8231" t="str">
        <f>"061647002083"</f>
        <v>061647002083</v>
      </c>
    </row>
    <row r="8232" spans="1:9" x14ac:dyDescent="0.25">
      <c r="A8232" t="s">
        <v>7169</v>
      </c>
      <c r="B8232" t="s">
        <v>13</v>
      </c>
      <c r="C8232">
        <v>27.8</v>
      </c>
      <c r="D8232">
        <v>20</v>
      </c>
      <c r="E8232" t="s">
        <v>17</v>
      </c>
      <c r="F8232">
        <v>19.89</v>
      </c>
      <c r="G8232">
        <v>24.25</v>
      </c>
      <c r="H8232" t="s">
        <v>17</v>
      </c>
      <c r="I8232" t="str">
        <f>"063213004972"</f>
        <v>063213004972</v>
      </c>
    </row>
    <row r="8233" spans="1:9" x14ac:dyDescent="0.25">
      <c r="A8233" t="s">
        <v>7169</v>
      </c>
      <c r="B8233" t="s">
        <v>13</v>
      </c>
      <c r="C8233">
        <v>16.7</v>
      </c>
      <c r="D8233">
        <v>18.600000000000001</v>
      </c>
      <c r="E8233" t="s">
        <v>17</v>
      </c>
      <c r="F8233">
        <v>20.78</v>
      </c>
      <c r="G8233">
        <v>18.55</v>
      </c>
      <c r="H8233" t="s">
        <v>17</v>
      </c>
      <c r="I8233" t="str">
        <f>"060648007418"</f>
        <v>060648007418</v>
      </c>
    </row>
    <row r="8234" spans="1:9" x14ac:dyDescent="0.25">
      <c r="A8234" t="s">
        <v>7169</v>
      </c>
      <c r="B8234" t="s">
        <v>13</v>
      </c>
      <c r="C8234" t="s">
        <v>14</v>
      </c>
      <c r="D8234" t="s">
        <v>14</v>
      </c>
      <c r="E8234" t="s">
        <v>17</v>
      </c>
      <c r="F8234" t="s">
        <v>14</v>
      </c>
      <c r="G8234" t="s">
        <v>14</v>
      </c>
      <c r="H8234" t="s">
        <v>17</v>
      </c>
      <c r="I8234" t="str">
        <f>"063536006028"</f>
        <v>063536006028</v>
      </c>
    </row>
    <row r="8235" spans="1:9" x14ac:dyDescent="0.25">
      <c r="A8235" t="s">
        <v>7169</v>
      </c>
      <c r="B8235" t="s">
        <v>13</v>
      </c>
      <c r="C8235">
        <v>27</v>
      </c>
      <c r="D8235">
        <v>27</v>
      </c>
      <c r="E8235" t="s">
        <v>17</v>
      </c>
      <c r="F8235">
        <v>24.96</v>
      </c>
      <c r="G8235">
        <v>24.11</v>
      </c>
      <c r="H8235" t="s">
        <v>17</v>
      </c>
      <c r="I8235" t="str">
        <f>"060006509359"</f>
        <v>060006509359</v>
      </c>
    </row>
    <row r="8236" spans="1:9" x14ac:dyDescent="0.25">
      <c r="A8236" t="s">
        <v>7169</v>
      </c>
      <c r="B8236" t="s">
        <v>13</v>
      </c>
      <c r="C8236">
        <v>15.42</v>
      </c>
      <c r="D8236">
        <v>22.83</v>
      </c>
      <c r="E8236" t="s">
        <v>17</v>
      </c>
      <c r="F8236">
        <v>33.01</v>
      </c>
      <c r="G8236">
        <v>19.489999999999998</v>
      </c>
      <c r="H8236" t="s">
        <v>17</v>
      </c>
      <c r="I8236" t="str">
        <f>"063801006431"</f>
        <v>063801006431</v>
      </c>
    </row>
    <row r="8237" spans="1:9" x14ac:dyDescent="0.25">
      <c r="A8237" t="s">
        <v>7169</v>
      </c>
      <c r="B8237" t="s">
        <v>13</v>
      </c>
      <c r="C8237">
        <v>30.5</v>
      </c>
      <c r="D8237">
        <v>29.5</v>
      </c>
      <c r="E8237" t="s">
        <v>17</v>
      </c>
      <c r="F8237">
        <v>20.98</v>
      </c>
      <c r="G8237">
        <v>21.02</v>
      </c>
      <c r="H8237" t="s">
        <v>17</v>
      </c>
      <c r="I8237" t="str">
        <f>"063987006617"</f>
        <v>063987006617</v>
      </c>
    </row>
    <row r="8238" spans="1:9" x14ac:dyDescent="0.25">
      <c r="A8238" t="s">
        <v>7169</v>
      </c>
      <c r="B8238" t="s">
        <v>13</v>
      </c>
      <c r="C8238">
        <v>21.37</v>
      </c>
      <c r="D8238">
        <v>23.47</v>
      </c>
      <c r="E8238" t="s">
        <v>17</v>
      </c>
      <c r="F8238">
        <v>24.01</v>
      </c>
      <c r="G8238">
        <v>23.48</v>
      </c>
      <c r="H8238" t="s">
        <v>17</v>
      </c>
      <c r="I8238" t="str">
        <f>"063468005841"</f>
        <v>063468005841</v>
      </c>
    </row>
    <row r="8239" spans="1:9" x14ac:dyDescent="0.25">
      <c r="A8239" t="s">
        <v>7169</v>
      </c>
      <c r="B8239" t="s">
        <v>13</v>
      </c>
      <c r="C8239">
        <v>22</v>
      </c>
      <c r="D8239">
        <v>23</v>
      </c>
      <c r="E8239" t="s">
        <v>17</v>
      </c>
      <c r="F8239">
        <v>28.5</v>
      </c>
      <c r="G8239">
        <v>27.87</v>
      </c>
      <c r="H8239" t="s">
        <v>17</v>
      </c>
      <c r="I8239" t="str">
        <f>"063393005328"</f>
        <v>063393005328</v>
      </c>
    </row>
    <row r="8240" spans="1:9" x14ac:dyDescent="0.25">
      <c r="A8240" t="s">
        <v>7169</v>
      </c>
      <c r="B8240" t="s">
        <v>13</v>
      </c>
      <c r="C8240">
        <v>26</v>
      </c>
      <c r="D8240">
        <v>26</v>
      </c>
      <c r="E8240" t="s">
        <v>17</v>
      </c>
      <c r="F8240">
        <v>28.04</v>
      </c>
      <c r="G8240">
        <v>27.38</v>
      </c>
      <c r="H8240" t="s">
        <v>17</v>
      </c>
      <c r="I8240" t="str">
        <f>"063417005383"</f>
        <v>063417005383</v>
      </c>
    </row>
    <row r="8241" spans="1:9" x14ac:dyDescent="0.25">
      <c r="A8241" t="s">
        <v>7169</v>
      </c>
      <c r="B8241" t="s">
        <v>13</v>
      </c>
      <c r="C8241">
        <v>18.5</v>
      </c>
      <c r="D8241">
        <v>20</v>
      </c>
      <c r="E8241" t="s">
        <v>14</v>
      </c>
      <c r="F8241">
        <v>27.73</v>
      </c>
      <c r="G8241">
        <v>23.85</v>
      </c>
      <c r="H8241" t="s">
        <v>14</v>
      </c>
      <c r="I8241" t="str">
        <f>"062187012765"</f>
        <v>062187012765</v>
      </c>
    </row>
    <row r="8242" spans="1:9" x14ac:dyDescent="0.25">
      <c r="A8242" t="s">
        <v>7169</v>
      </c>
      <c r="B8242" t="s">
        <v>13</v>
      </c>
      <c r="C8242">
        <v>23</v>
      </c>
      <c r="D8242">
        <v>22</v>
      </c>
      <c r="E8242" t="s">
        <v>14</v>
      </c>
      <c r="F8242">
        <v>25.3</v>
      </c>
      <c r="G8242">
        <v>25.55</v>
      </c>
      <c r="H8242" t="s">
        <v>14</v>
      </c>
      <c r="I8242" t="str">
        <f>"060141406028"</f>
        <v>060141406028</v>
      </c>
    </row>
    <row r="8243" spans="1:9" x14ac:dyDescent="0.25">
      <c r="A8243" t="s">
        <v>7170</v>
      </c>
      <c r="B8243" t="s">
        <v>13</v>
      </c>
      <c r="C8243">
        <v>93.81</v>
      </c>
      <c r="D8243">
        <v>105.35</v>
      </c>
      <c r="E8243" t="s">
        <v>17</v>
      </c>
      <c r="F8243">
        <v>22.51</v>
      </c>
      <c r="G8243">
        <v>20.73</v>
      </c>
      <c r="H8243" t="s">
        <v>17</v>
      </c>
      <c r="I8243" t="str">
        <f>"061455001762"</f>
        <v>061455001762</v>
      </c>
    </row>
    <row r="8244" spans="1:9" x14ac:dyDescent="0.25">
      <c r="A8244" t="s">
        <v>7171</v>
      </c>
      <c r="B8244" t="s">
        <v>13</v>
      </c>
      <c r="C8244">
        <v>53.21</v>
      </c>
      <c r="D8244">
        <v>51.21</v>
      </c>
      <c r="E8244" t="s">
        <v>17</v>
      </c>
      <c r="F8244">
        <v>17.5</v>
      </c>
      <c r="G8244">
        <v>16.93</v>
      </c>
      <c r="H8244" t="s">
        <v>17</v>
      </c>
      <c r="I8244" t="str">
        <f>"063432005541"</f>
        <v>063432005541</v>
      </c>
    </row>
    <row r="8245" spans="1:9" x14ac:dyDescent="0.25">
      <c r="A8245" t="s">
        <v>7172</v>
      </c>
      <c r="B8245" t="s">
        <v>13</v>
      </c>
      <c r="C8245">
        <v>32.799999999999997</v>
      </c>
      <c r="D8245">
        <v>32.909999999999997</v>
      </c>
      <c r="E8245" t="s">
        <v>17</v>
      </c>
      <c r="F8245">
        <v>24.3</v>
      </c>
      <c r="G8245">
        <v>24.52</v>
      </c>
      <c r="H8245" t="s">
        <v>17</v>
      </c>
      <c r="I8245" t="str">
        <f>"062513003748"</f>
        <v>062513003748</v>
      </c>
    </row>
    <row r="8246" spans="1:9" x14ac:dyDescent="0.25">
      <c r="A8246" t="s">
        <v>7173</v>
      </c>
      <c r="B8246" t="s">
        <v>13</v>
      </c>
      <c r="C8246">
        <v>41.51</v>
      </c>
      <c r="D8246">
        <v>41</v>
      </c>
      <c r="E8246" t="s">
        <v>17</v>
      </c>
      <c r="F8246">
        <v>25.3</v>
      </c>
      <c r="G8246">
        <v>26.24</v>
      </c>
      <c r="H8246" t="s">
        <v>17</v>
      </c>
      <c r="I8246" t="str">
        <f>"060962000994"</f>
        <v>060962000994</v>
      </c>
    </row>
    <row r="8247" spans="1:9" x14ac:dyDescent="0.25">
      <c r="A8247" t="s">
        <v>7173</v>
      </c>
      <c r="B8247" t="s">
        <v>13</v>
      </c>
      <c r="C8247">
        <v>29.01</v>
      </c>
      <c r="D8247">
        <v>31.02</v>
      </c>
      <c r="E8247" t="s">
        <v>17</v>
      </c>
      <c r="F8247">
        <v>21.72</v>
      </c>
      <c r="G8247">
        <v>22.34</v>
      </c>
      <c r="H8247" t="s">
        <v>17</v>
      </c>
      <c r="I8247" t="str">
        <f>"062805004312"</f>
        <v>062805004312</v>
      </c>
    </row>
    <row r="8248" spans="1:9" x14ac:dyDescent="0.25">
      <c r="A8248" t="s">
        <v>7173</v>
      </c>
      <c r="B8248" t="s">
        <v>13</v>
      </c>
      <c r="C8248">
        <v>44.84</v>
      </c>
      <c r="D8248">
        <v>46.67</v>
      </c>
      <c r="E8248" t="s">
        <v>17</v>
      </c>
      <c r="F8248">
        <v>24.58</v>
      </c>
      <c r="G8248">
        <v>23.7</v>
      </c>
      <c r="H8248" t="s">
        <v>17</v>
      </c>
      <c r="I8248" t="str">
        <f>"064119009459"</f>
        <v>064119009459</v>
      </c>
    </row>
    <row r="8249" spans="1:9" x14ac:dyDescent="0.25">
      <c r="A8249" t="s">
        <v>7173</v>
      </c>
      <c r="B8249" t="s">
        <v>13</v>
      </c>
      <c r="C8249">
        <v>29.6</v>
      </c>
      <c r="D8249">
        <v>29.95</v>
      </c>
      <c r="E8249" t="s">
        <v>17</v>
      </c>
      <c r="F8249">
        <v>23.99</v>
      </c>
      <c r="G8249">
        <v>23.74</v>
      </c>
      <c r="H8249" t="s">
        <v>17</v>
      </c>
      <c r="I8249" t="str">
        <f>"063441005662"</f>
        <v>063441005662</v>
      </c>
    </row>
    <row r="8250" spans="1:9" x14ac:dyDescent="0.25">
      <c r="A8250" t="s">
        <v>7174</v>
      </c>
      <c r="B8250" t="s">
        <v>13</v>
      </c>
      <c r="C8250">
        <v>15.1</v>
      </c>
      <c r="D8250">
        <v>16.510000000000002</v>
      </c>
      <c r="E8250" t="s">
        <v>17</v>
      </c>
      <c r="F8250">
        <v>23.18</v>
      </c>
      <c r="G8250">
        <v>22.11</v>
      </c>
      <c r="H8250" t="s">
        <v>17</v>
      </c>
      <c r="I8250" t="str">
        <f>"062805011907"</f>
        <v>062805011907</v>
      </c>
    </row>
    <row r="8251" spans="1:9" x14ac:dyDescent="0.25">
      <c r="A8251" t="s">
        <v>7175</v>
      </c>
      <c r="B8251" t="s">
        <v>13</v>
      </c>
      <c r="C8251" t="s">
        <v>17</v>
      </c>
      <c r="D8251" t="s">
        <v>17</v>
      </c>
      <c r="E8251" t="s">
        <v>17</v>
      </c>
      <c r="F8251" t="s">
        <v>17</v>
      </c>
      <c r="G8251" t="s">
        <v>17</v>
      </c>
      <c r="H8251" t="s">
        <v>17</v>
      </c>
      <c r="I8251" t="str">
        <f>"062271012158"</f>
        <v>062271012158</v>
      </c>
    </row>
    <row r="8252" spans="1:9" x14ac:dyDescent="0.25">
      <c r="A8252" t="s">
        <v>7176</v>
      </c>
      <c r="B8252" t="s">
        <v>13</v>
      </c>
      <c r="C8252">
        <v>26</v>
      </c>
      <c r="D8252">
        <v>27</v>
      </c>
      <c r="E8252" t="s">
        <v>17</v>
      </c>
      <c r="F8252">
        <v>22.85</v>
      </c>
      <c r="G8252">
        <v>23.74</v>
      </c>
      <c r="H8252" t="s">
        <v>17</v>
      </c>
      <c r="I8252" t="str">
        <f>"063375005210"</f>
        <v>063375005210</v>
      </c>
    </row>
    <row r="8253" spans="1:9" x14ac:dyDescent="0.25">
      <c r="A8253" t="s">
        <v>7177</v>
      </c>
      <c r="B8253" t="s">
        <v>13</v>
      </c>
      <c r="C8253">
        <v>21</v>
      </c>
      <c r="D8253">
        <v>22</v>
      </c>
      <c r="E8253" t="s">
        <v>17</v>
      </c>
      <c r="F8253">
        <v>30.05</v>
      </c>
      <c r="G8253">
        <v>29.05</v>
      </c>
      <c r="H8253" t="s">
        <v>17</v>
      </c>
      <c r="I8253" t="str">
        <f>"062316008031"</f>
        <v>062316008031</v>
      </c>
    </row>
    <row r="8254" spans="1:9" x14ac:dyDescent="0.25">
      <c r="A8254" t="s">
        <v>7177</v>
      </c>
      <c r="B8254" t="s">
        <v>13</v>
      </c>
      <c r="C8254">
        <v>49</v>
      </c>
      <c r="D8254">
        <v>50</v>
      </c>
      <c r="E8254" t="s">
        <v>17</v>
      </c>
      <c r="F8254">
        <v>29.2</v>
      </c>
      <c r="G8254">
        <v>27.66</v>
      </c>
      <c r="H8254" t="s">
        <v>17</v>
      </c>
      <c r="I8254" t="str">
        <f>"060985011994"</f>
        <v>060985011994</v>
      </c>
    </row>
    <row r="8255" spans="1:9" x14ac:dyDescent="0.25">
      <c r="A8255" t="s">
        <v>7177</v>
      </c>
      <c r="B8255" t="s">
        <v>13</v>
      </c>
      <c r="C8255">
        <v>51.8</v>
      </c>
      <c r="D8255">
        <v>52.8</v>
      </c>
      <c r="E8255" t="s">
        <v>17</v>
      </c>
      <c r="F8255">
        <v>17.93</v>
      </c>
      <c r="G8255">
        <v>16.7</v>
      </c>
      <c r="H8255" t="s">
        <v>17</v>
      </c>
      <c r="I8255" t="str">
        <f>"063432007328"</f>
        <v>063432007328</v>
      </c>
    </row>
    <row r="8256" spans="1:9" x14ac:dyDescent="0.25">
      <c r="A8256" t="s">
        <v>7177</v>
      </c>
      <c r="B8256" t="s">
        <v>13</v>
      </c>
      <c r="C8256">
        <v>18.100000000000001</v>
      </c>
      <c r="D8256">
        <v>15.18</v>
      </c>
      <c r="E8256" t="s">
        <v>17</v>
      </c>
      <c r="F8256">
        <v>25.97</v>
      </c>
      <c r="G8256">
        <v>30.63</v>
      </c>
      <c r="H8256" t="s">
        <v>17</v>
      </c>
      <c r="I8256" t="str">
        <f>"063384005231"</f>
        <v>063384005231</v>
      </c>
    </row>
    <row r="8257" spans="1:9" x14ac:dyDescent="0.25">
      <c r="A8257" t="s">
        <v>7178</v>
      </c>
      <c r="B8257" t="s">
        <v>13</v>
      </c>
      <c r="C8257">
        <v>21.8</v>
      </c>
      <c r="D8257">
        <v>19.760000000000002</v>
      </c>
      <c r="E8257" t="s">
        <v>17</v>
      </c>
      <c r="F8257">
        <v>20.78</v>
      </c>
      <c r="G8257">
        <v>22.27</v>
      </c>
      <c r="H8257" t="s">
        <v>17</v>
      </c>
      <c r="I8257" t="str">
        <f>"060474006865"</f>
        <v>060474006865</v>
      </c>
    </row>
    <row r="8258" spans="1:9" x14ac:dyDescent="0.25">
      <c r="A8258" t="s">
        <v>7179</v>
      </c>
      <c r="B8258" t="s">
        <v>13</v>
      </c>
      <c r="C8258">
        <v>28</v>
      </c>
      <c r="D8258">
        <v>30</v>
      </c>
      <c r="E8258" t="s">
        <v>17</v>
      </c>
      <c r="F8258">
        <v>25.93</v>
      </c>
      <c r="G8258">
        <v>23.97</v>
      </c>
      <c r="H8258" t="s">
        <v>17</v>
      </c>
      <c r="I8258" t="str">
        <f>"062271011623"</f>
        <v>062271011623</v>
      </c>
    </row>
    <row r="8259" spans="1:9" x14ac:dyDescent="0.25">
      <c r="A8259" t="s">
        <v>7180</v>
      </c>
      <c r="B8259" t="s">
        <v>13</v>
      </c>
      <c r="C8259">
        <v>27.98</v>
      </c>
      <c r="D8259">
        <v>28</v>
      </c>
      <c r="E8259" t="s">
        <v>17</v>
      </c>
      <c r="F8259">
        <v>26.48</v>
      </c>
      <c r="G8259">
        <v>26.61</v>
      </c>
      <c r="H8259" t="s">
        <v>17</v>
      </c>
      <c r="I8259" t="str">
        <f>"063762006373"</f>
        <v>063762006373</v>
      </c>
    </row>
    <row r="8260" spans="1:9" x14ac:dyDescent="0.25">
      <c r="A8260" t="s">
        <v>7181</v>
      </c>
      <c r="B8260" t="s">
        <v>13</v>
      </c>
      <c r="C8260">
        <v>34.090000000000003</v>
      </c>
      <c r="D8260">
        <v>34.15</v>
      </c>
      <c r="E8260" t="s">
        <v>17</v>
      </c>
      <c r="F8260">
        <v>22.15</v>
      </c>
      <c r="G8260">
        <v>22.61</v>
      </c>
      <c r="H8260" t="s">
        <v>17</v>
      </c>
      <c r="I8260" t="str">
        <f>"063762006374"</f>
        <v>063762006374</v>
      </c>
    </row>
    <row r="8261" spans="1:9" x14ac:dyDescent="0.25">
      <c r="A8261" t="s">
        <v>7182</v>
      </c>
      <c r="B8261" t="s">
        <v>13</v>
      </c>
      <c r="C8261">
        <v>31.5</v>
      </c>
      <c r="D8261">
        <v>30</v>
      </c>
      <c r="E8261" t="s">
        <v>17</v>
      </c>
      <c r="F8261">
        <v>23.97</v>
      </c>
      <c r="G8261">
        <v>24.07</v>
      </c>
      <c r="H8261" t="s">
        <v>17</v>
      </c>
      <c r="I8261" t="str">
        <f>"062271003316"</f>
        <v>062271003316</v>
      </c>
    </row>
    <row r="8262" spans="1:9" x14ac:dyDescent="0.25">
      <c r="A8262" t="s">
        <v>7183</v>
      </c>
      <c r="B8262" t="s">
        <v>13</v>
      </c>
      <c r="C8262">
        <v>20</v>
      </c>
      <c r="D8262">
        <v>19</v>
      </c>
      <c r="E8262" t="s">
        <v>17</v>
      </c>
      <c r="F8262">
        <v>23.85</v>
      </c>
      <c r="G8262">
        <v>24.53</v>
      </c>
      <c r="H8262" t="s">
        <v>17</v>
      </c>
      <c r="I8262" t="str">
        <f>"062271003317"</f>
        <v>062271003317</v>
      </c>
    </row>
    <row r="8263" spans="1:9" x14ac:dyDescent="0.25">
      <c r="A8263" t="s">
        <v>7184</v>
      </c>
      <c r="B8263" t="s">
        <v>13</v>
      </c>
      <c r="C8263">
        <v>24</v>
      </c>
      <c r="D8263">
        <v>23</v>
      </c>
      <c r="E8263" t="s">
        <v>17</v>
      </c>
      <c r="F8263">
        <v>23.42</v>
      </c>
      <c r="G8263">
        <v>23.13</v>
      </c>
      <c r="H8263" t="s">
        <v>17</v>
      </c>
      <c r="I8263" t="str">
        <f>"062513003749"</f>
        <v>062513003749</v>
      </c>
    </row>
    <row r="8264" spans="1:9" x14ac:dyDescent="0.25">
      <c r="A8264" t="s">
        <v>7184</v>
      </c>
      <c r="B8264" t="s">
        <v>13</v>
      </c>
      <c r="C8264">
        <v>28</v>
      </c>
      <c r="D8264">
        <v>27</v>
      </c>
      <c r="E8264" t="s">
        <v>17</v>
      </c>
      <c r="F8264">
        <v>27.75</v>
      </c>
      <c r="G8264">
        <v>29.48</v>
      </c>
      <c r="H8264" t="s">
        <v>17</v>
      </c>
      <c r="I8264" t="str">
        <f>"062922004513"</f>
        <v>062922004513</v>
      </c>
    </row>
    <row r="8265" spans="1:9" x14ac:dyDescent="0.25">
      <c r="A8265" t="s">
        <v>7185</v>
      </c>
      <c r="B8265" t="s">
        <v>13</v>
      </c>
      <c r="C8265">
        <v>13.5</v>
      </c>
      <c r="D8265">
        <v>23.5</v>
      </c>
      <c r="E8265" t="s">
        <v>17</v>
      </c>
      <c r="F8265">
        <v>16.59</v>
      </c>
      <c r="G8265">
        <v>12.72</v>
      </c>
      <c r="H8265" t="s">
        <v>17</v>
      </c>
      <c r="I8265" t="str">
        <f>"062994004669"</f>
        <v>062994004669</v>
      </c>
    </row>
    <row r="8266" spans="1:9" x14ac:dyDescent="0.25">
      <c r="A8266" t="s">
        <v>7186</v>
      </c>
      <c r="B8266" t="s">
        <v>13</v>
      </c>
      <c r="C8266">
        <v>17</v>
      </c>
      <c r="D8266">
        <v>15.5</v>
      </c>
      <c r="E8266" t="s">
        <v>17</v>
      </c>
      <c r="F8266">
        <v>26.06</v>
      </c>
      <c r="G8266">
        <v>27.87</v>
      </c>
      <c r="H8266" t="s">
        <v>17</v>
      </c>
      <c r="I8266" t="str">
        <f>"063066009614"</f>
        <v>063066009614</v>
      </c>
    </row>
    <row r="8267" spans="1:9" x14ac:dyDescent="0.25">
      <c r="A8267" t="s">
        <v>7187</v>
      </c>
      <c r="B8267" t="s">
        <v>13</v>
      </c>
      <c r="C8267">
        <v>23</v>
      </c>
      <c r="D8267">
        <v>23</v>
      </c>
      <c r="E8267" t="s">
        <v>17</v>
      </c>
      <c r="F8267">
        <v>26.74</v>
      </c>
      <c r="G8267">
        <v>25.35</v>
      </c>
      <c r="H8267" t="s">
        <v>17</v>
      </c>
      <c r="I8267" t="str">
        <f>"061288001464"</f>
        <v>061288001464</v>
      </c>
    </row>
    <row r="8268" spans="1:9" x14ac:dyDescent="0.25">
      <c r="A8268" t="s">
        <v>7188</v>
      </c>
      <c r="B8268" t="s">
        <v>13</v>
      </c>
      <c r="C8268">
        <v>21</v>
      </c>
      <c r="D8268">
        <v>23</v>
      </c>
      <c r="E8268" t="s">
        <v>17</v>
      </c>
      <c r="F8268">
        <v>24.29</v>
      </c>
      <c r="G8268">
        <v>22.13</v>
      </c>
      <c r="H8268" t="s">
        <v>17</v>
      </c>
      <c r="I8268" t="str">
        <f>"063705008746"</f>
        <v>063705008746</v>
      </c>
    </row>
    <row r="8269" spans="1:9" x14ac:dyDescent="0.25">
      <c r="A8269" t="s">
        <v>7189</v>
      </c>
      <c r="B8269" t="s">
        <v>13</v>
      </c>
      <c r="C8269">
        <v>29</v>
      </c>
      <c r="D8269">
        <v>29.5</v>
      </c>
      <c r="E8269" t="s">
        <v>17</v>
      </c>
      <c r="F8269">
        <v>22.69</v>
      </c>
      <c r="G8269">
        <v>22.34</v>
      </c>
      <c r="H8269" t="s">
        <v>17</v>
      </c>
      <c r="I8269" t="str">
        <f>"060861000876"</f>
        <v>060861000876</v>
      </c>
    </row>
    <row r="8270" spans="1:9" x14ac:dyDescent="0.25">
      <c r="A8270" t="s">
        <v>7190</v>
      </c>
      <c r="B8270" t="s">
        <v>13</v>
      </c>
      <c r="C8270">
        <v>20.5</v>
      </c>
      <c r="D8270">
        <v>19</v>
      </c>
      <c r="E8270" t="s">
        <v>17</v>
      </c>
      <c r="F8270">
        <v>24.73</v>
      </c>
      <c r="G8270">
        <v>30</v>
      </c>
      <c r="H8270" t="s">
        <v>17</v>
      </c>
      <c r="I8270" t="str">
        <f>"060962000995"</f>
        <v>060962000995</v>
      </c>
    </row>
    <row r="8271" spans="1:9" x14ac:dyDescent="0.25">
      <c r="A8271" t="s">
        <v>7191</v>
      </c>
      <c r="B8271" t="s">
        <v>13</v>
      </c>
      <c r="C8271">
        <v>24.49</v>
      </c>
      <c r="D8271">
        <v>23.45</v>
      </c>
      <c r="E8271" t="s">
        <v>17</v>
      </c>
      <c r="F8271">
        <v>22.91</v>
      </c>
      <c r="G8271">
        <v>24.14</v>
      </c>
      <c r="H8271" t="s">
        <v>17</v>
      </c>
      <c r="I8271" t="str">
        <f>"060837000828"</f>
        <v>060837000828</v>
      </c>
    </row>
    <row r="8272" spans="1:9" x14ac:dyDescent="0.25">
      <c r="A8272" t="s">
        <v>7192</v>
      </c>
      <c r="B8272" t="s">
        <v>13</v>
      </c>
      <c r="C8272">
        <v>25.67</v>
      </c>
      <c r="D8272">
        <v>25.5</v>
      </c>
      <c r="E8272" t="s">
        <v>17</v>
      </c>
      <c r="F8272">
        <v>27.81</v>
      </c>
      <c r="G8272">
        <v>27.53</v>
      </c>
      <c r="H8272" t="s">
        <v>17</v>
      </c>
      <c r="I8272" t="str">
        <f>"063348005174"</f>
        <v>063348005174</v>
      </c>
    </row>
    <row r="8273" spans="1:9" x14ac:dyDescent="0.25">
      <c r="A8273" t="s">
        <v>7193</v>
      </c>
      <c r="B8273" t="s">
        <v>13</v>
      </c>
      <c r="C8273">
        <v>24</v>
      </c>
      <c r="D8273">
        <v>25</v>
      </c>
      <c r="E8273" t="s">
        <v>17</v>
      </c>
      <c r="F8273">
        <v>20.54</v>
      </c>
      <c r="G8273">
        <v>20.96</v>
      </c>
      <c r="H8273" t="s">
        <v>17</v>
      </c>
      <c r="I8273" t="str">
        <f>"063348005175"</f>
        <v>063348005175</v>
      </c>
    </row>
    <row r="8274" spans="1:9" x14ac:dyDescent="0.25">
      <c r="A8274" t="s">
        <v>7194</v>
      </c>
      <c r="B8274" t="s">
        <v>13</v>
      </c>
      <c r="C8274">
        <v>29.5</v>
      </c>
      <c r="D8274">
        <v>34.5</v>
      </c>
      <c r="E8274" t="s">
        <v>17</v>
      </c>
      <c r="F8274">
        <v>27.83</v>
      </c>
      <c r="G8274">
        <v>24.93</v>
      </c>
      <c r="H8274" t="s">
        <v>17</v>
      </c>
      <c r="I8274" t="str">
        <f>"063597006158"</f>
        <v>063597006158</v>
      </c>
    </row>
    <row r="8275" spans="1:9" x14ac:dyDescent="0.25">
      <c r="A8275" t="s">
        <v>7195</v>
      </c>
      <c r="B8275" t="s">
        <v>13</v>
      </c>
      <c r="C8275">
        <v>39.520000000000003</v>
      </c>
      <c r="D8275">
        <v>33.64</v>
      </c>
      <c r="E8275" t="s">
        <v>17</v>
      </c>
      <c r="F8275">
        <v>22.01</v>
      </c>
      <c r="G8275">
        <v>22.21</v>
      </c>
      <c r="H8275" t="s">
        <v>17</v>
      </c>
      <c r="I8275" t="str">
        <f>"063351011178"</f>
        <v>063351011178</v>
      </c>
    </row>
    <row r="8276" spans="1:9" x14ac:dyDescent="0.25">
      <c r="A8276" t="s">
        <v>7196</v>
      </c>
      <c r="B8276" t="s">
        <v>13</v>
      </c>
      <c r="C8276">
        <v>16</v>
      </c>
      <c r="D8276" t="s">
        <v>14</v>
      </c>
      <c r="E8276" t="s">
        <v>14</v>
      </c>
      <c r="F8276">
        <v>23.13</v>
      </c>
      <c r="G8276" t="s">
        <v>14</v>
      </c>
      <c r="H8276" t="s">
        <v>14</v>
      </c>
      <c r="I8276" t="str">
        <f>"063351013038"</f>
        <v>063351013038</v>
      </c>
    </row>
    <row r="8277" spans="1:9" x14ac:dyDescent="0.25">
      <c r="A8277" t="s">
        <v>7197</v>
      </c>
      <c r="B8277" t="s">
        <v>13</v>
      </c>
      <c r="C8277">
        <v>26.7</v>
      </c>
      <c r="D8277">
        <v>34.15</v>
      </c>
      <c r="E8277" t="s">
        <v>17</v>
      </c>
      <c r="F8277">
        <v>24.27</v>
      </c>
      <c r="G8277">
        <v>22.96</v>
      </c>
      <c r="H8277" t="s">
        <v>17</v>
      </c>
      <c r="I8277" t="str">
        <f>"063351005176"</f>
        <v>063351005176</v>
      </c>
    </row>
    <row r="8278" spans="1:9" x14ac:dyDescent="0.25">
      <c r="A8278" t="s">
        <v>7198</v>
      </c>
      <c r="B8278" t="s">
        <v>13</v>
      </c>
      <c r="C8278">
        <v>10.54</v>
      </c>
      <c r="D8278">
        <v>10.34</v>
      </c>
      <c r="E8278" t="s">
        <v>17</v>
      </c>
      <c r="F8278">
        <v>19.260000000000002</v>
      </c>
      <c r="G8278">
        <v>18.96</v>
      </c>
      <c r="H8278" t="s">
        <v>17</v>
      </c>
      <c r="I8278" t="str">
        <f>"060015811504"</f>
        <v>060015811504</v>
      </c>
    </row>
    <row r="8279" spans="1:9" x14ac:dyDescent="0.25">
      <c r="A8279" t="s">
        <v>7199</v>
      </c>
      <c r="B8279" t="s">
        <v>13</v>
      </c>
      <c r="C8279">
        <v>21.9</v>
      </c>
      <c r="D8279">
        <v>22.2</v>
      </c>
      <c r="E8279" t="s">
        <v>17</v>
      </c>
      <c r="F8279">
        <v>23.33</v>
      </c>
      <c r="G8279">
        <v>23.24</v>
      </c>
      <c r="H8279" t="s">
        <v>17</v>
      </c>
      <c r="I8279" t="str">
        <f>"060720000675"</f>
        <v>060720000675</v>
      </c>
    </row>
    <row r="8280" spans="1:9" x14ac:dyDescent="0.25">
      <c r="A8280" t="s">
        <v>7200</v>
      </c>
      <c r="B8280" t="s">
        <v>13</v>
      </c>
      <c r="C8280">
        <v>20</v>
      </c>
      <c r="D8280">
        <v>21.2</v>
      </c>
      <c r="E8280" t="s">
        <v>17</v>
      </c>
      <c r="F8280">
        <v>28.55</v>
      </c>
      <c r="G8280">
        <v>27.78</v>
      </c>
      <c r="H8280" t="s">
        <v>17</v>
      </c>
      <c r="I8280" t="str">
        <f>"060243008260"</f>
        <v>060243008260</v>
      </c>
    </row>
    <row r="8281" spans="1:9" x14ac:dyDescent="0.25">
      <c r="A8281" t="s">
        <v>7201</v>
      </c>
      <c r="B8281" t="s">
        <v>13</v>
      </c>
      <c r="C8281">
        <v>85.02</v>
      </c>
      <c r="D8281">
        <v>85.48</v>
      </c>
      <c r="E8281" t="s">
        <v>17</v>
      </c>
      <c r="F8281">
        <v>22.08</v>
      </c>
      <c r="G8281">
        <v>23.33</v>
      </c>
      <c r="H8281" t="s">
        <v>17</v>
      </c>
      <c r="I8281" t="str">
        <f>"061212001366"</f>
        <v>061212001366</v>
      </c>
    </row>
    <row r="8282" spans="1:9" x14ac:dyDescent="0.25">
      <c r="A8282" t="s">
        <v>7202</v>
      </c>
      <c r="B8282" t="s">
        <v>13</v>
      </c>
      <c r="C8282">
        <v>24</v>
      </c>
      <c r="D8282">
        <v>25.5</v>
      </c>
      <c r="E8282" t="s">
        <v>17</v>
      </c>
      <c r="F8282">
        <v>22.33</v>
      </c>
      <c r="G8282">
        <v>22.63</v>
      </c>
      <c r="H8282" t="s">
        <v>17</v>
      </c>
      <c r="I8282" t="str">
        <f>"062271003318"</f>
        <v>062271003318</v>
      </c>
    </row>
    <row r="8283" spans="1:9" x14ac:dyDescent="0.25">
      <c r="A8283" t="s">
        <v>7203</v>
      </c>
      <c r="B8283" t="s">
        <v>13</v>
      </c>
      <c r="C8283">
        <v>56.99</v>
      </c>
      <c r="D8283">
        <v>45.21</v>
      </c>
      <c r="E8283" t="s">
        <v>17</v>
      </c>
      <c r="F8283">
        <v>25.29</v>
      </c>
      <c r="G8283">
        <v>31.96</v>
      </c>
      <c r="H8283" t="s">
        <v>17</v>
      </c>
      <c r="I8283" t="str">
        <f>"063384011191"</f>
        <v>063384011191</v>
      </c>
    </row>
    <row r="8284" spans="1:9" x14ac:dyDescent="0.25">
      <c r="A8284" t="s">
        <v>7204</v>
      </c>
      <c r="B8284" t="s">
        <v>13</v>
      </c>
      <c r="C8284">
        <v>47.4</v>
      </c>
      <c r="D8284">
        <v>50</v>
      </c>
      <c r="E8284" t="s">
        <v>17</v>
      </c>
      <c r="F8284">
        <v>26.18</v>
      </c>
      <c r="G8284">
        <v>26.56</v>
      </c>
      <c r="H8284" t="s">
        <v>17</v>
      </c>
      <c r="I8284" t="str">
        <f>"061524001944"</f>
        <v>061524001944</v>
      </c>
    </row>
    <row r="8285" spans="1:9" x14ac:dyDescent="0.25">
      <c r="A8285" t="s">
        <v>7205</v>
      </c>
      <c r="B8285" t="s">
        <v>13</v>
      </c>
      <c r="C8285">
        <v>82.14</v>
      </c>
      <c r="D8285">
        <v>81.93</v>
      </c>
      <c r="E8285" t="s">
        <v>17</v>
      </c>
      <c r="F8285">
        <v>24.21</v>
      </c>
      <c r="G8285">
        <v>24.33</v>
      </c>
      <c r="H8285" t="s">
        <v>17</v>
      </c>
      <c r="I8285" t="str">
        <f>"063363005191"</f>
        <v>063363005191</v>
      </c>
    </row>
    <row r="8286" spans="1:9" x14ac:dyDescent="0.25">
      <c r="A8286" t="s">
        <v>7206</v>
      </c>
      <c r="B8286" t="s">
        <v>13</v>
      </c>
      <c r="C8286">
        <v>13</v>
      </c>
      <c r="D8286">
        <v>15.01</v>
      </c>
      <c r="E8286" t="s">
        <v>17</v>
      </c>
      <c r="F8286">
        <v>23.46</v>
      </c>
      <c r="G8286">
        <v>25.38</v>
      </c>
      <c r="H8286" t="s">
        <v>17</v>
      </c>
      <c r="I8286" t="str">
        <f>"062271003319"</f>
        <v>062271003319</v>
      </c>
    </row>
    <row r="8287" spans="1:9" x14ac:dyDescent="0.25">
      <c r="A8287" t="s">
        <v>7207</v>
      </c>
      <c r="B8287" t="s">
        <v>13</v>
      </c>
      <c r="C8287">
        <v>37.76</v>
      </c>
      <c r="D8287">
        <v>39.67</v>
      </c>
      <c r="E8287" t="s">
        <v>17</v>
      </c>
      <c r="F8287">
        <v>26.99</v>
      </c>
      <c r="G8287">
        <v>25.56</v>
      </c>
      <c r="H8287" t="s">
        <v>17</v>
      </c>
      <c r="I8287" t="str">
        <f>"062547003807"</f>
        <v>062547003807</v>
      </c>
    </row>
    <row r="8288" spans="1:9" x14ac:dyDescent="0.25">
      <c r="A8288" t="s">
        <v>7208</v>
      </c>
      <c r="B8288" t="s">
        <v>13</v>
      </c>
      <c r="C8288" t="s">
        <v>14</v>
      </c>
      <c r="D8288">
        <v>3.92</v>
      </c>
      <c r="E8288" t="s">
        <v>17</v>
      </c>
      <c r="F8288" t="s">
        <v>17</v>
      </c>
      <c r="G8288">
        <v>8.16</v>
      </c>
      <c r="H8288" t="s">
        <v>17</v>
      </c>
      <c r="I8288" t="str">
        <f>"062250012163"</f>
        <v>062250012163</v>
      </c>
    </row>
    <row r="8289" spans="1:9" x14ac:dyDescent="0.25">
      <c r="A8289" t="s">
        <v>7209</v>
      </c>
      <c r="B8289" t="s">
        <v>13</v>
      </c>
      <c r="C8289">
        <v>23</v>
      </c>
      <c r="D8289">
        <v>25</v>
      </c>
      <c r="E8289" t="s">
        <v>17</v>
      </c>
      <c r="F8289">
        <v>27.52</v>
      </c>
      <c r="G8289">
        <v>25.4</v>
      </c>
      <c r="H8289" t="s">
        <v>17</v>
      </c>
      <c r="I8289" t="str">
        <f>"061488001876"</f>
        <v>061488001876</v>
      </c>
    </row>
    <row r="8290" spans="1:9" x14ac:dyDescent="0.25">
      <c r="A8290" t="s">
        <v>7210</v>
      </c>
      <c r="B8290" t="s">
        <v>13</v>
      </c>
      <c r="C8290">
        <v>42.18</v>
      </c>
      <c r="D8290">
        <v>45.46</v>
      </c>
      <c r="E8290" t="s">
        <v>17</v>
      </c>
      <c r="F8290">
        <v>25.3</v>
      </c>
      <c r="G8290">
        <v>24.26</v>
      </c>
      <c r="H8290" t="s">
        <v>17</v>
      </c>
      <c r="I8290" t="str">
        <f>"060261000166"</f>
        <v>060261000166</v>
      </c>
    </row>
    <row r="8291" spans="1:9" x14ac:dyDescent="0.25">
      <c r="A8291" t="s">
        <v>7211</v>
      </c>
      <c r="B8291" t="s">
        <v>13</v>
      </c>
      <c r="C8291">
        <v>28</v>
      </c>
      <c r="D8291">
        <v>27.4</v>
      </c>
      <c r="E8291" t="s">
        <v>17</v>
      </c>
      <c r="F8291">
        <v>24.14</v>
      </c>
      <c r="G8291">
        <v>24.2</v>
      </c>
      <c r="H8291" t="s">
        <v>17</v>
      </c>
      <c r="I8291" t="str">
        <f>"060162000012"</f>
        <v>060162000012</v>
      </c>
    </row>
    <row r="8292" spans="1:9" x14ac:dyDescent="0.25">
      <c r="A8292" t="s">
        <v>7212</v>
      </c>
      <c r="B8292" t="s">
        <v>13</v>
      </c>
      <c r="C8292">
        <v>23.86</v>
      </c>
      <c r="D8292">
        <v>23</v>
      </c>
      <c r="E8292" t="s">
        <v>17</v>
      </c>
      <c r="F8292">
        <v>14.67</v>
      </c>
      <c r="G8292">
        <v>15.04</v>
      </c>
      <c r="H8292" t="s">
        <v>17</v>
      </c>
      <c r="I8292" t="str">
        <f>"063366005192"</f>
        <v>063366005192</v>
      </c>
    </row>
    <row r="8293" spans="1:9" x14ac:dyDescent="0.25">
      <c r="A8293" t="s">
        <v>7212</v>
      </c>
      <c r="B8293" t="s">
        <v>13</v>
      </c>
      <c r="C8293">
        <v>19</v>
      </c>
      <c r="D8293">
        <v>19</v>
      </c>
      <c r="E8293" t="s">
        <v>17</v>
      </c>
      <c r="F8293">
        <v>17.32</v>
      </c>
      <c r="G8293">
        <v>18.37</v>
      </c>
      <c r="H8293" t="s">
        <v>17</v>
      </c>
      <c r="I8293" t="str">
        <f>"063432005542"</f>
        <v>063432005542</v>
      </c>
    </row>
    <row r="8294" spans="1:9" x14ac:dyDescent="0.25">
      <c r="A8294" t="s">
        <v>7213</v>
      </c>
      <c r="B8294" t="s">
        <v>13</v>
      </c>
      <c r="C8294">
        <v>27.6</v>
      </c>
      <c r="D8294">
        <v>26</v>
      </c>
      <c r="E8294" t="s">
        <v>17</v>
      </c>
      <c r="F8294">
        <v>25</v>
      </c>
      <c r="G8294">
        <v>24.54</v>
      </c>
      <c r="H8294" t="s">
        <v>17</v>
      </c>
      <c r="I8294" t="str">
        <f>"062259007307"</f>
        <v>062259007307</v>
      </c>
    </row>
    <row r="8295" spans="1:9" x14ac:dyDescent="0.25">
      <c r="A8295" t="s">
        <v>7214</v>
      </c>
      <c r="B8295" t="s">
        <v>13</v>
      </c>
      <c r="C8295">
        <v>14.2</v>
      </c>
      <c r="D8295">
        <v>16.7</v>
      </c>
      <c r="E8295" t="s">
        <v>17</v>
      </c>
      <c r="F8295">
        <v>28.38</v>
      </c>
      <c r="G8295">
        <v>24.37</v>
      </c>
      <c r="H8295" t="s">
        <v>17</v>
      </c>
      <c r="I8295" t="str">
        <f>"061281001443"</f>
        <v>061281001443</v>
      </c>
    </row>
    <row r="8296" spans="1:9" x14ac:dyDescent="0.25">
      <c r="A8296" t="s">
        <v>7215</v>
      </c>
      <c r="B8296" t="s">
        <v>13</v>
      </c>
      <c r="C8296">
        <v>24.15</v>
      </c>
      <c r="D8296">
        <v>24.15</v>
      </c>
      <c r="E8296" t="s">
        <v>17</v>
      </c>
      <c r="F8296">
        <v>22.57</v>
      </c>
      <c r="G8296">
        <v>23.15</v>
      </c>
      <c r="H8296" t="s">
        <v>17</v>
      </c>
      <c r="I8296" t="str">
        <f>"062100002524"</f>
        <v>062100002524</v>
      </c>
    </row>
    <row r="8297" spans="1:9" x14ac:dyDescent="0.25">
      <c r="A8297" t="s">
        <v>7216</v>
      </c>
      <c r="B8297" t="s">
        <v>13</v>
      </c>
      <c r="C8297" t="s">
        <v>17</v>
      </c>
      <c r="D8297" t="s">
        <v>17</v>
      </c>
      <c r="E8297" t="s">
        <v>17</v>
      </c>
      <c r="F8297" t="s">
        <v>17</v>
      </c>
      <c r="G8297" t="s">
        <v>17</v>
      </c>
      <c r="H8297" t="s">
        <v>17</v>
      </c>
      <c r="I8297" t="str">
        <f>"063372008212"</f>
        <v>063372008212</v>
      </c>
    </row>
    <row r="8298" spans="1:9" x14ac:dyDescent="0.25">
      <c r="A8298" t="s">
        <v>7217</v>
      </c>
      <c r="B8298" t="s">
        <v>13</v>
      </c>
      <c r="C8298">
        <v>2.2999999999999998</v>
      </c>
      <c r="D8298">
        <v>1</v>
      </c>
      <c r="E8298" t="s">
        <v>17</v>
      </c>
      <c r="F8298">
        <v>5.22</v>
      </c>
      <c r="G8298">
        <v>7</v>
      </c>
      <c r="H8298" t="s">
        <v>17</v>
      </c>
      <c r="I8298" t="str">
        <f>"063372010257"</f>
        <v>063372010257</v>
      </c>
    </row>
    <row r="8299" spans="1:9" x14ac:dyDescent="0.25">
      <c r="A8299" t="s">
        <v>7218</v>
      </c>
      <c r="B8299" t="s">
        <v>13</v>
      </c>
      <c r="C8299">
        <v>13</v>
      </c>
      <c r="D8299">
        <v>14</v>
      </c>
      <c r="E8299" t="s">
        <v>17</v>
      </c>
      <c r="F8299">
        <v>18.46</v>
      </c>
      <c r="G8299">
        <v>15.86</v>
      </c>
      <c r="H8299" t="s">
        <v>17</v>
      </c>
      <c r="I8299" t="str">
        <f>"063372005194"</f>
        <v>063372005194</v>
      </c>
    </row>
    <row r="8300" spans="1:9" x14ac:dyDescent="0.25">
      <c r="A8300" t="s">
        <v>7218</v>
      </c>
      <c r="B8300" t="s">
        <v>13</v>
      </c>
      <c r="C8300">
        <v>8.5</v>
      </c>
      <c r="D8300">
        <v>8</v>
      </c>
      <c r="E8300" t="s">
        <v>17</v>
      </c>
      <c r="F8300">
        <v>17.059999999999999</v>
      </c>
      <c r="G8300">
        <v>17.63</v>
      </c>
      <c r="H8300" t="s">
        <v>17</v>
      </c>
      <c r="I8300" t="str">
        <f>"063369005193"</f>
        <v>063369005193</v>
      </c>
    </row>
    <row r="8301" spans="1:9" x14ac:dyDescent="0.25">
      <c r="A8301" t="s">
        <v>7219</v>
      </c>
      <c r="B8301" t="s">
        <v>13</v>
      </c>
      <c r="C8301" t="s">
        <v>17</v>
      </c>
      <c r="D8301" t="s">
        <v>17</v>
      </c>
      <c r="E8301" t="s">
        <v>17</v>
      </c>
      <c r="F8301" t="s">
        <v>17</v>
      </c>
      <c r="G8301" t="s">
        <v>17</v>
      </c>
      <c r="H8301" t="s">
        <v>17</v>
      </c>
      <c r="I8301" t="str">
        <f>"063372011165"</f>
        <v>063372011165</v>
      </c>
    </row>
    <row r="8302" spans="1:9" x14ac:dyDescent="0.25">
      <c r="A8302" t="s">
        <v>7220</v>
      </c>
      <c r="B8302" t="s">
        <v>13</v>
      </c>
      <c r="C8302">
        <v>5.92</v>
      </c>
      <c r="D8302">
        <v>7.84</v>
      </c>
      <c r="E8302" t="s">
        <v>17</v>
      </c>
      <c r="F8302">
        <v>20.95</v>
      </c>
      <c r="G8302">
        <v>15.05</v>
      </c>
      <c r="H8302" t="s">
        <v>17</v>
      </c>
      <c r="I8302" t="str">
        <f>"063372005195"</f>
        <v>063372005195</v>
      </c>
    </row>
    <row r="8303" spans="1:9" x14ac:dyDescent="0.25">
      <c r="A8303" t="s">
        <v>7221</v>
      </c>
      <c r="B8303" t="s">
        <v>13</v>
      </c>
      <c r="C8303">
        <v>43</v>
      </c>
      <c r="D8303">
        <v>42</v>
      </c>
      <c r="E8303" t="s">
        <v>17</v>
      </c>
      <c r="F8303">
        <v>23.35</v>
      </c>
      <c r="G8303">
        <v>23.24</v>
      </c>
      <c r="H8303" t="s">
        <v>17</v>
      </c>
      <c r="I8303" t="str">
        <f>"062271003320"</f>
        <v>062271003320</v>
      </c>
    </row>
    <row r="8304" spans="1:9" x14ac:dyDescent="0.25">
      <c r="A8304" t="s">
        <v>7222</v>
      </c>
      <c r="B8304" t="s">
        <v>13</v>
      </c>
      <c r="C8304">
        <v>15</v>
      </c>
      <c r="D8304">
        <v>16</v>
      </c>
      <c r="E8304" t="s">
        <v>17</v>
      </c>
      <c r="F8304">
        <v>17</v>
      </c>
      <c r="G8304">
        <v>15.56</v>
      </c>
      <c r="H8304" t="s">
        <v>17</v>
      </c>
      <c r="I8304" t="str">
        <f>"063432005543"</f>
        <v>063432005543</v>
      </c>
    </row>
    <row r="8305" spans="1:9" x14ac:dyDescent="0.25">
      <c r="A8305" t="s">
        <v>7223</v>
      </c>
      <c r="B8305" t="s">
        <v>13</v>
      </c>
      <c r="C8305">
        <v>35</v>
      </c>
      <c r="D8305">
        <v>37</v>
      </c>
      <c r="E8305" t="s">
        <v>17</v>
      </c>
      <c r="F8305">
        <v>20.14</v>
      </c>
      <c r="G8305">
        <v>19.54</v>
      </c>
      <c r="H8305" t="s">
        <v>17</v>
      </c>
      <c r="I8305" t="str">
        <f>"061455001763"</f>
        <v>061455001763</v>
      </c>
    </row>
    <row r="8306" spans="1:9" x14ac:dyDescent="0.25">
      <c r="A8306" t="s">
        <v>7224</v>
      </c>
      <c r="B8306" t="s">
        <v>13</v>
      </c>
      <c r="C8306">
        <v>3.17</v>
      </c>
      <c r="D8306">
        <v>3</v>
      </c>
      <c r="E8306" t="s">
        <v>17</v>
      </c>
      <c r="F8306">
        <v>7.89</v>
      </c>
      <c r="G8306">
        <v>7</v>
      </c>
      <c r="H8306" t="s">
        <v>17</v>
      </c>
      <c r="I8306" t="str">
        <f>"063375011676"</f>
        <v>063375011676</v>
      </c>
    </row>
    <row r="8307" spans="1:9" x14ac:dyDescent="0.25">
      <c r="A8307" t="s">
        <v>7225</v>
      </c>
      <c r="B8307" t="s">
        <v>13</v>
      </c>
      <c r="C8307">
        <v>19.600000000000001</v>
      </c>
      <c r="D8307">
        <v>19.100000000000001</v>
      </c>
      <c r="E8307" t="s">
        <v>17</v>
      </c>
      <c r="F8307">
        <v>24.08</v>
      </c>
      <c r="G8307">
        <v>23.82</v>
      </c>
      <c r="H8307" t="s">
        <v>17</v>
      </c>
      <c r="I8307" t="str">
        <f>"061005001103"</f>
        <v>061005001103</v>
      </c>
    </row>
    <row r="8308" spans="1:9" x14ac:dyDescent="0.25">
      <c r="A8308" t="s">
        <v>7226</v>
      </c>
      <c r="B8308" t="s">
        <v>13</v>
      </c>
      <c r="C8308">
        <v>22.4</v>
      </c>
      <c r="D8308">
        <v>22.8</v>
      </c>
      <c r="E8308" t="s">
        <v>17</v>
      </c>
      <c r="F8308">
        <v>24.02</v>
      </c>
      <c r="G8308">
        <v>24.82</v>
      </c>
      <c r="H8308" t="s">
        <v>17</v>
      </c>
      <c r="I8308" t="str">
        <f>"063375005211"</f>
        <v>063375005211</v>
      </c>
    </row>
    <row r="8309" spans="1:9" x14ac:dyDescent="0.25">
      <c r="A8309" t="s">
        <v>7227</v>
      </c>
      <c r="B8309" t="s">
        <v>13</v>
      </c>
      <c r="C8309">
        <v>2.25</v>
      </c>
      <c r="D8309">
        <v>4.5</v>
      </c>
      <c r="E8309" t="s">
        <v>17</v>
      </c>
      <c r="F8309">
        <v>4.4400000000000004</v>
      </c>
      <c r="G8309">
        <v>4.22</v>
      </c>
      <c r="H8309" t="s">
        <v>17</v>
      </c>
      <c r="I8309" t="str">
        <f>"063375005918"</f>
        <v>063375005918</v>
      </c>
    </row>
    <row r="8310" spans="1:9" x14ac:dyDescent="0.25">
      <c r="A8310" t="s">
        <v>7228</v>
      </c>
      <c r="B8310" t="s">
        <v>13</v>
      </c>
      <c r="C8310">
        <v>1</v>
      </c>
      <c r="D8310">
        <v>1</v>
      </c>
      <c r="E8310" t="s">
        <v>17</v>
      </c>
      <c r="F8310">
        <v>12</v>
      </c>
      <c r="G8310">
        <v>12</v>
      </c>
      <c r="H8310" t="s">
        <v>17</v>
      </c>
      <c r="I8310" t="str">
        <f>"060780000750"</f>
        <v>060780000750</v>
      </c>
    </row>
    <row r="8311" spans="1:9" x14ac:dyDescent="0.25">
      <c r="A8311" t="s">
        <v>7229</v>
      </c>
      <c r="B8311" t="s">
        <v>13</v>
      </c>
      <c r="C8311">
        <v>32.659999999999997</v>
      </c>
      <c r="D8311">
        <v>32.96</v>
      </c>
      <c r="E8311" t="s">
        <v>17</v>
      </c>
      <c r="F8311">
        <v>24.77</v>
      </c>
      <c r="G8311">
        <v>24.61</v>
      </c>
      <c r="H8311" t="s">
        <v>17</v>
      </c>
      <c r="I8311" t="str">
        <f>"063213004963"</f>
        <v>063213004963</v>
      </c>
    </row>
    <row r="8312" spans="1:9" x14ac:dyDescent="0.25">
      <c r="A8312" t="s">
        <v>7230</v>
      </c>
      <c r="B8312" t="s">
        <v>13</v>
      </c>
      <c r="C8312">
        <v>38</v>
      </c>
      <c r="D8312">
        <v>37</v>
      </c>
      <c r="E8312" t="s">
        <v>17</v>
      </c>
      <c r="F8312">
        <v>24.97</v>
      </c>
      <c r="G8312">
        <v>25.84</v>
      </c>
      <c r="H8312" t="s">
        <v>17</v>
      </c>
      <c r="I8312" t="str">
        <f>"061233011063"</f>
        <v>061233011063</v>
      </c>
    </row>
    <row r="8313" spans="1:9" x14ac:dyDescent="0.25">
      <c r="A8313" t="s">
        <v>7231</v>
      </c>
      <c r="B8313" t="s">
        <v>13</v>
      </c>
      <c r="C8313">
        <v>18.47</v>
      </c>
      <c r="D8313">
        <v>20.45</v>
      </c>
      <c r="E8313" t="s">
        <v>17</v>
      </c>
      <c r="F8313">
        <v>21.33</v>
      </c>
      <c r="G8313">
        <v>20.68</v>
      </c>
      <c r="H8313" t="s">
        <v>17</v>
      </c>
      <c r="I8313" t="str">
        <f>"062724004104"</f>
        <v>062724004104</v>
      </c>
    </row>
    <row r="8314" spans="1:9" x14ac:dyDescent="0.25">
      <c r="A8314" t="s">
        <v>7232</v>
      </c>
      <c r="B8314" t="s">
        <v>13</v>
      </c>
      <c r="C8314">
        <v>43.25</v>
      </c>
      <c r="D8314">
        <v>50.01</v>
      </c>
      <c r="E8314" t="s">
        <v>17</v>
      </c>
      <c r="F8314">
        <v>28.86</v>
      </c>
      <c r="G8314">
        <v>25.21</v>
      </c>
      <c r="H8314" t="s">
        <v>17</v>
      </c>
      <c r="I8314" t="str">
        <f>"062271012207"</f>
        <v>062271012207</v>
      </c>
    </row>
    <row r="8315" spans="1:9" x14ac:dyDescent="0.25">
      <c r="A8315" t="s">
        <v>7233</v>
      </c>
      <c r="B8315" t="s">
        <v>13</v>
      </c>
      <c r="C8315">
        <v>31.25</v>
      </c>
      <c r="D8315">
        <v>24.04</v>
      </c>
      <c r="E8315" t="s">
        <v>17</v>
      </c>
      <c r="F8315">
        <v>26.72</v>
      </c>
      <c r="G8315">
        <v>33.44</v>
      </c>
      <c r="H8315" t="s">
        <v>17</v>
      </c>
      <c r="I8315" t="str">
        <f>"060639009520"</f>
        <v>060639009520</v>
      </c>
    </row>
    <row r="8316" spans="1:9" x14ac:dyDescent="0.25">
      <c r="A8316" t="s">
        <v>7234</v>
      </c>
      <c r="B8316" t="s">
        <v>13</v>
      </c>
      <c r="C8316">
        <v>90.21</v>
      </c>
      <c r="D8316">
        <v>89.57</v>
      </c>
      <c r="E8316" t="s">
        <v>17</v>
      </c>
      <c r="F8316">
        <v>25.1</v>
      </c>
      <c r="G8316">
        <v>25.43</v>
      </c>
      <c r="H8316" t="s">
        <v>17</v>
      </c>
      <c r="I8316" t="str">
        <f>"063684006264"</f>
        <v>063684006264</v>
      </c>
    </row>
    <row r="8317" spans="1:9" x14ac:dyDescent="0.25">
      <c r="A8317" t="s">
        <v>7235</v>
      </c>
      <c r="B8317" t="s">
        <v>13</v>
      </c>
      <c r="C8317">
        <v>31</v>
      </c>
      <c r="D8317">
        <v>30</v>
      </c>
      <c r="E8317" t="s">
        <v>17</v>
      </c>
      <c r="F8317">
        <v>28.06</v>
      </c>
      <c r="G8317">
        <v>29.4</v>
      </c>
      <c r="H8317" t="s">
        <v>17</v>
      </c>
      <c r="I8317" t="str">
        <f>"060819000804"</f>
        <v>060819000804</v>
      </c>
    </row>
    <row r="8318" spans="1:9" x14ac:dyDescent="0.25">
      <c r="A8318" t="s">
        <v>7236</v>
      </c>
      <c r="B8318" t="s">
        <v>13</v>
      </c>
      <c r="C8318">
        <v>23</v>
      </c>
      <c r="D8318">
        <v>22.63</v>
      </c>
      <c r="E8318" t="s">
        <v>17</v>
      </c>
      <c r="F8318">
        <v>22.43</v>
      </c>
      <c r="G8318">
        <v>23.86</v>
      </c>
      <c r="H8318" t="s">
        <v>17</v>
      </c>
      <c r="I8318" t="str">
        <f>"061152001288"</f>
        <v>061152001288</v>
      </c>
    </row>
    <row r="8319" spans="1:9" x14ac:dyDescent="0.25">
      <c r="A8319" t="s">
        <v>7236</v>
      </c>
      <c r="B8319" t="s">
        <v>13</v>
      </c>
      <c r="C8319">
        <v>19</v>
      </c>
      <c r="D8319">
        <v>21</v>
      </c>
      <c r="E8319" t="s">
        <v>17</v>
      </c>
      <c r="F8319">
        <v>30.11</v>
      </c>
      <c r="G8319">
        <v>28.05</v>
      </c>
      <c r="H8319" t="s">
        <v>17</v>
      </c>
      <c r="I8319" t="str">
        <f>"064116006805"</f>
        <v>064116006805</v>
      </c>
    </row>
    <row r="8320" spans="1:9" x14ac:dyDescent="0.25">
      <c r="A8320" t="s">
        <v>7237</v>
      </c>
      <c r="B8320" t="s">
        <v>13</v>
      </c>
      <c r="C8320">
        <v>8.5</v>
      </c>
      <c r="D8320">
        <v>7.01</v>
      </c>
      <c r="E8320" t="s">
        <v>17</v>
      </c>
      <c r="F8320">
        <v>22</v>
      </c>
      <c r="G8320">
        <v>29.53</v>
      </c>
      <c r="H8320" t="s">
        <v>17</v>
      </c>
      <c r="I8320" t="str">
        <f>"063471005858"</f>
        <v>063471005858</v>
      </c>
    </row>
    <row r="8321" spans="1:9" x14ac:dyDescent="0.25">
      <c r="A8321" t="s">
        <v>7238</v>
      </c>
      <c r="B8321" t="s">
        <v>13</v>
      </c>
      <c r="C8321">
        <v>16.5</v>
      </c>
      <c r="D8321">
        <v>20.52</v>
      </c>
      <c r="E8321" t="s">
        <v>17</v>
      </c>
      <c r="F8321">
        <v>20.85</v>
      </c>
      <c r="G8321">
        <v>17.739999999999998</v>
      </c>
      <c r="H8321" t="s">
        <v>17</v>
      </c>
      <c r="I8321" t="str">
        <f>"062271012232"</f>
        <v>062271012232</v>
      </c>
    </row>
    <row r="8322" spans="1:9" x14ac:dyDescent="0.25">
      <c r="A8322" t="s">
        <v>7239</v>
      </c>
      <c r="B8322" t="s">
        <v>13</v>
      </c>
      <c r="C8322">
        <v>89.41</v>
      </c>
      <c r="D8322">
        <v>90.32</v>
      </c>
      <c r="E8322" t="s">
        <v>17</v>
      </c>
      <c r="F8322">
        <v>28.57</v>
      </c>
      <c r="G8322">
        <v>27.68</v>
      </c>
      <c r="H8322" t="s">
        <v>17</v>
      </c>
      <c r="I8322" t="str">
        <f>"060846009757"</f>
        <v>060846009757</v>
      </c>
    </row>
    <row r="8323" spans="1:9" x14ac:dyDescent="0.25">
      <c r="A8323" t="s">
        <v>7240</v>
      </c>
      <c r="B8323" t="s">
        <v>13</v>
      </c>
      <c r="C8323">
        <v>11</v>
      </c>
      <c r="D8323">
        <v>11</v>
      </c>
      <c r="E8323" t="s">
        <v>17</v>
      </c>
      <c r="F8323">
        <v>17.45</v>
      </c>
      <c r="G8323">
        <v>20.55</v>
      </c>
      <c r="H8323" t="s">
        <v>17</v>
      </c>
      <c r="I8323" t="str">
        <f>"061218001383"</f>
        <v>061218001383</v>
      </c>
    </row>
    <row r="8324" spans="1:9" x14ac:dyDescent="0.25">
      <c r="A8324" t="s">
        <v>7241</v>
      </c>
      <c r="B8324" t="s">
        <v>13</v>
      </c>
      <c r="C8324">
        <v>74.819999999999993</v>
      </c>
      <c r="D8324">
        <v>71.69</v>
      </c>
      <c r="E8324" t="s">
        <v>17</v>
      </c>
      <c r="F8324">
        <v>23.22</v>
      </c>
      <c r="G8324">
        <v>23.21</v>
      </c>
      <c r="H8324" t="s">
        <v>17</v>
      </c>
      <c r="I8324" t="str">
        <f>"061926002318"</f>
        <v>061926002318</v>
      </c>
    </row>
    <row r="8325" spans="1:9" x14ac:dyDescent="0.25">
      <c r="A8325" t="s">
        <v>7242</v>
      </c>
      <c r="B8325" t="s">
        <v>13</v>
      </c>
      <c r="C8325">
        <v>31.8</v>
      </c>
      <c r="D8325">
        <v>28.45</v>
      </c>
      <c r="E8325" t="s">
        <v>17</v>
      </c>
      <c r="F8325">
        <v>19.37</v>
      </c>
      <c r="G8325">
        <v>21.12</v>
      </c>
      <c r="H8325" t="s">
        <v>17</v>
      </c>
      <c r="I8325" t="str">
        <f>"060177011549"</f>
        <v>060177011549</v>
      </c>
    </row>
    <row r="8326" spans="1:9" x14ac:dyDescent="0.25">
      <c r="A8326" t="s">
        <v>7243</v>
      </c>
      <c r="B8326" t="s">
        <v>13</v>
      </c>
      <c r="C8326">
        <v>15.5</v>
      </c>
      <c r="D8326">
        <v>16.5</v>
      </c>
      <c r="E8326" t="s">
        <v>17</v>
      </c>
      <c r="F8326">
        <v>28</v>
      </c>
      <c r="G8326">
        <v>27.03</v>
      </c>
      <c r="H8326" t="s">
        <v>17</v>
      </c>
      <c r="I8326" t="str">
        <f>"063066004769"</f>
        <v>063066004769</v>
      </c>
    </row>
    <row r="8327" spans="1:9" x14ac:dyDescent="0.25">
      <c r="A8327" t="s">
        <v>7244</v>
      </c>
      <c r="B8327" t="s">
        <v>13</v>
      </c>
      <c r="C8327">
        <v>18</v>
      </c>
      <c r="D8327">
        <v>19</v>
      </c>
      <c r="E8327" t="s">
        <v>17</v>
      </c>
      <c r="F8327">
        <v>27.89</v>
      </c>
      <c r="G8327">
        <v>26.26</v>
      </c>
      <c r="H8327" t="s">
        <v>17</v>
      </c>
      <c r="I8327" t="str">
        <f>"061518001916"</f>
        <v>061518001916</v>
      </c>
    </row>
    <row r="8328" spans="1:9" x14ac:dyDescent="0.25">
      <c r="A8328" t="s">
        <v>7245</v>
      </c>
      <c r="B8328" t="s">
        <v>13</v>
      </c>
      <c r="C8328">
        <v>68.33</v>
      </c>
      <c r="D8328">
        <v>72.03</v>
      </c>
      <c r="E8328" t="s">
        <v>17</v>
      </c>
      <c r="F8328">
        <v>27.15</v>
      </c>
      <c r="G8328">
        <v>24.99</v>
      </c>
      <c r="H8328" t="s">
        <v>17</v>
      </c>
      <c r="I8328" t="str">
        <f>"062271002960"</f>
        <v>062271002960</v>
      </c>
    </row>
    <row r="8329" spans="1:9" x14ac:dyDescent="0.25">
      <c r="A8329" t="s">
        <v>7246</v>
      </c>
      <c r="B8329" t="s">
        <v>13</v>
      </c>
      <c r="C8329">
        <v>32.24</v>
      </c>
      <c r="D8329">
        <v>32.229999999999997</v>
      </c>
      <c r="E8329" t="s">
        <v>17</v>
      </c>
      <c r="F8329">
        <v>27.11</v>
      </c>
      <c r="G8329">
        <v>25.16</v>
      </c>
      <c r="H8329" t="s">
        <v>17</v>
      </c>
      <c r="I8329" t="str">
        <f>"062460003695"</f>
        <v>062460003695</v>
      </c>
    </row>
    <row r="8330" spans="1:9" x14ac:dyDescent="0.25">
      <c r="A8330" t="s">
        <v>7247</v>
      </c>
      <c r="B8330" t="s">
        <v>13</v>
      </c>
      <c r="C8330">
        <v>4.01</v>
      </c>
      <c r="D8330">
        <v>5.01</v>
      </c>
      <c r="E8330" t="s">
        <v>17</v>
      </c>
      <c r="F8330">
        <v>36.909999999999997</v>
      </c>
      <c r="G8330">
        <v>25.95</v>
      </c>
      <c r="H8330" t="s">
        <v>17</v>
      </c>
      <c r="I8330" t="str">
        <f>"062805007326"</f>
        <v>062805007326</v>
      </c>
    </row>
    <row r="8331" spans="1:9" x14ac:dyDescent="0.25">
      <c r="A8331" t="s">
        <v>7248</v>
      </c>
      <c r="B8331" t="s">
        <v>13</v>
      </c>
      <c r="C8331">
        <v>17.100000000000001</v>
      </c>
      <c r="D8331">
        <v>16.100000000000001</v>
      </c>
      <c r="E8331" t="s">
        <v>17</v>
      </c>
      <c r="F8331">
        <v>28.36</v>
      </c>
      <c r="G8331">
        <v>29.44</v>
      </c>
      <c r="H8331" t="s">
        <v>17</v>
      </c>
      <c r="I8331" t="str">
        <f>"060001311009"</f>
        <v>060001311009</v>
      </c>
    </row>
    <row r="8332" spans="1:9" x14ac:dyDescent="0.25">
      <c r="A8332" t="s">
        <v>7249</v>
      </c>
      <c r="B8332" t="s">
        <v>13</v>
      </c>
      <c r="C8332">
        <v>27.33</v>
      </c>
      <c r="D8332">
        <v>26.93</v>
      </c>
      <c r="E8332" t="s">
        <v>17</v>
      </c>
      <c r="F8332">
        <v>26.86</v>
      </c>
      <c r="G8332">
        <v>29.15</v>
      </c>
      <c r="H8332" t="s">
        <v>17</v>
      </c>
      <c r="I8332" t="str">
        <f>"062865008246"</f>
        <v>062865008246</v>
      </c>
    </row>
    <row r="8333" spans="1:9" x14ac:dyDescent="0.25">
      <c r="A8333" t="s">
        <v>7250</v>
      </c>
      <c r="B8333" t="s">
        <v>13</v>
      </c>
      <c r="C8333">
        <v>27</v>
      </c>
      <c r="D8333">
        <v>26.8</v>
      </c>
      <c r="E8333" t="s">
        <v>17</v>
      </c>
      <c r="F8333">
        <v>24.63</v>
      </c>
      <c r="G8333">
        <v>25.04</v>
      </c>
      <c r="H8333" t="s">
        <v>17</v>
      </c>
      <c r="I8333" t="str">
        <f>"060480000465"</f>
        <v>060480000465</v>
      </c>
    </row>
    <row r="8334" spans="1:9" x14ac:dyDescent="0.25">
      <c r="A8334" t="s">
        <v>7251</v>
      </c>
      <c r="B8334" t="s">
        <v>13</v>
      </c>
      <c r="C8334">
        <v>40</v>
      </c>
      <c r="D8334">
        <v>40</v>
      </c>
      <c r="E8334" t="s">
        <v>17</v>
      </c>
      <c r="F8334">
        <v>23.63</v>
      </c>
      <c r="G8334">
        <v>23.93</v>
      </c>
      <c r="H8334" t="s">
        <v>17</v>
      </c>
      <c r="I8334" t="str">
        <f>"062271003321"</f>
        <v>062271003321</v>
      </c>
    </row>
    <row r="8335" spans="1:9" x14ac:dyDescent="0.25">
      <c r="A8335" t="s">
        <v>7252</v>
      </c>
      <c r="B8335" t="s">
        <v>13</v>
      </c>
      <c r="C8335">
        <v>25.1</v>
      </c>
      <c r="D8335">
        <v>22.5</v>
      </c>
      <c r="E8335" t="s">
        <v>17</v>
      </c>
      <c r="F8335">
        <v>25.22</v>
      </c>
      <c r="G8335">
        <v>27.11</v>
      </c>
      <c r="H8335" t="s">
        <v>17</v>
      </c>
      <c r="I8335" t="str">
        <f>"061389011989"</f>
        <v>061389011989</v>
      </c>
    </row>
    <row r="8336" spans="1:9" x14ac:dyDescent="0.25">
      <c r="A8336" t="s">
        <v>7253</v>
      </c>
      <c r="B8336" t="s">
        <v>13</v>
      </c>
      <c r="C8336">
        <v>31</v>
      </c>
      <c r="D8336">
        <v>29.5</v>
      </c>
      <c r="E8336" t="s">
        <v>17</v>
      </c>
      <c r="F8336">
        <v>20.260000000000002</v>
      </c>
      <c r="G8336">
        <v>21.22</v>
      </c>
      <c r="H8336" t="s">
        <v>17</v>
      </c>
      <c r="I8336" t="str">
        <f>"061926002319"</f>
        <v>061926002319</v>
      </c>
    </row>
    <row r="8337" spans="1:9" x14ac:dyDescent="0.25">
      <c r="A8337" t="s">
        <v>7254</v>
      </c>
      <c r="B8337" t="s">
        <v>13</v>
      </c>
      <c r="C8337">
        <v>22</v>
      </c>
      <c r="D8337">
        <v>25</v>
      </c>
      <c r="E8337" t="s">
        <v>17</v>
      </c>
      <c r="F8337">
        <v>28.77</v>
      </c>
      <c r="G8337">
        <v>28.52</v>
      </c>
      <c r="H8337" t="s">
        <v>17</v>
      </c>
      <c r="I8337" t="str">
        <f>"062964004601"</f>
        <v>062964004601</v>
      </c>
    </row>
    <row r="8338" spans="1:9" x14ac:dyDescent="0.25">
      <c r="A8338" t="s">
        <v>7255</v>
      </c>
      <c r="B8338" t="s">
        <v>13</v>
      </c>
      <c r="C8338">
        <v>28</v>
      </c>
      <c r="D8338">
        <v>29</v>
      </c>
      <c r="E8338" t="s">
        <v>17</v>
      </c>
      <c r="F8338">
        <v>21.75</v>
      </c>
      <c r="G8338">
        <v>20.79</v>
      </c>
      <c r="H8338" t="s">
        <v>17</v>
      </c>
      <c r="I8338" t="str">
        <f>"060939000955"</f>
        <v>060939000955</v>
      </c>
    </row>
    <row r="8339" spans="1:9" x14ac:dyDescent="0.25">
      <c r="A8339" t="s">
        <v>7256</v>
      </c>
      <c r="B8339" t="s">
        <v>13</v>
      </c>
      <c r="C8339">
        <v>37.17</v>
      </c>
      <c r="D8339">
        <v>40.17</v>
      </c>
      <c r="E8339" t="s">
        <v>17</v>
      </c>
      <c r="F8339">
        <v>25.56</v>
      </c>
      <c r="G8339">
        <v>24.94</v>
      </c>
      <c r="H8339" t="s">
        <v>17</v>
      </c>
      <c r="I8339" t="str">
        <f>"060795001117"</f>
        <v>060795001117</v>
      </c>
    </row>
    <row r="8340" spans="1:9" x14ac:dyDescent="0.25">
      <c r="A8340" t="s">
        <v>7257</v>
      </c>
      <c r="B8340" t="s">
        <v>13</v>
      </c>
      <c r="C8340">
        <v>36.21</v>
      </c>
      <c r="D8340">
        <v>36.200000000000003</v>
      </c>
      <c r="E8340" t="s">
        <v>17</v>
      </c>
      <c r="F8340">
        <v>24.88</v>
      </c>
      <c r="G8340">
        <v>24.67</v>
      </c>
      <c r="H8340" t="s">
        <v>17</v>
      </c>
      <c r="I8340" t="str">
        <f>"060939002599"</f>
        <v>060939002599</v>
      </c>
    </row>
    <row r="8341" spans="1:9" x14ac:dyDescent="0.25">
      <c r="A8341" t="s">
        <v>7258</v>
      </c>
      <c r="B8341" t="s">
        <v>13</v>
      </c>
      <c r="C8341">
        <v>18.260000000000002</v>
      </c>
      <c r="D8341">
        <v>23.73</v>
      </c>
      <c r="E8341" t="s">
        <v>17</v>
      </c>
      <c r="F8341">
        <v>34.61</v>
      </c>
      <c r="G8341">
        <v>27.22</v>
      </c>
      <c r="H8341" t="s">
        <v>17</v>
      </c>
      <c r="I8341" t="str">
        <f>"061674002129"</f>
        <v>061674002129</v>
      </c>
    </row>
    <row r="8342" spans="1:9" x14ac:dyDescent="0.25">
      <c r="A8342" t="s">
        <v>7259</v>
      </c>
      <c r="B8342" t="s">
        <v>13</v>
      </c>
      <c r="C8342">
        <v>18</v>
      </c>
      <c r="D8342">
        <v>18</v>
      </c>
      <c r="E8342" t="s">
        <v>17</v>
      </c>
      <c r="F8342">
        <v>29.22</v>
      </c>
      <c r="G8342">
        <v>27.72</v>
      </c>
      <c r="H8342" t="s">
        <v>17</v>
      </c>
      <c r="I8342" t="str">
        <f>"062991010783"</f>
        <v>062991010783</v>
      </c>
    </row>
    <row r="8343" spans="1:9" x14ac:dyDescent="0.25">
      <c r="A8343" t="s">
        <v>7260</v>
      </c>
      <c r="B8343" t="s">
        <v>13</v>
      </c>
      <c r="C8343">
        <v>20</v>
      </c>
      <c r="D8343">
        <v>19</v>
      </c>
      <c r="E8343" t="s">
        <v>17</v>
      </c>
      <c r="F8343">
        <v>26.95</v>
      </c>
      <c r="G8343">
        <v>28.95</v>
      </c>
      <c r="H8343" t="s">
        <v>17</v>
      </c>
      <c r="I8343" t="str">
        <f>"061803002221"</f>
        <v>061803002221</v>
      </c>
    </row>
    <row r="8344" spans="1:9" x14ac:dyDescent="0.25">
      <c r="A8344" t="s">
        <v>7261</v>
      </c>
      <c r="B8344" t="s">
        <v>13</v>
      </c>
      <c r="C8344">
        <v>24.33</v>
      </c>
      <c r="D8344">
        <v>24</v>
      </c>
      <c r="E8344" t="s">
        <v>17</v>
      </c>
      <c r="F8344">
        <v>29.1</v>
      </c>
      <c r="G8344">
        <v>30.88</v>
      </c>
      <c r="H8344" t="s">
        <v>17</v>
      </c>
      <c r="I8344" t="str">
        <f>"060243008784"</f>
        <v>060243008784</v>
      </c>
    </row>
    <row r="8345" spans="1:9" x14ac:dyDescent="0.25">
      <c r="A8345" t="s">
        <v>7262</v>
      </c>
      <c r="B8345" t="s">
        <v>13</v>
      </c>
      <c r="C8345">
        <v>12.5</v>
      </c>
      <c r="D8345">
        <v>13.9</v>
      </c>
      <c r="E8345" t="s">
        <v>17</v>
      </c>
      <c r="F8345">
        <v>20.56</v>
      </c>
      <c r="G8345">
        <v>10</v>
      </c>
      <c r="H8345" t="s">
        <v>17</v>
      </c>
      <c r="I8345" t="str">
        <f>"069111110647"</f>
        <v>069111110647</v>
      </c>
    </row>
    <row r="8346" spans="1:9" x14ac:dyDescent="0.25">
      <c r="A8346" t="s">
        <v>7263</v>
      </c>
      <c r="B8346" t="s">
        <v>13</v>
      </c>
      <c r="C8346">
        <v>14.5</v>
      </c>
      <c r="D8346">
        <v>17.25</v>
      </c>
      <c r="E8346" t="s">
        <v>17</v>
      </c>
      <c r="F8346">
        <v>10</v>
      </c>
      <c r="G8346">
        <v>7.59</v>
      </c>
      <c r="H8346" t="s">
        <v>17</v>
      </c>
      <c r="I8346" t="str">
        <f>"069111109270"</f>
        <v>069111109270</v>
      </c>
    </row>
    <row r="8347" spans="1:9" x14ac:dyDescent="0.25">
      <c r="A8347" t="s">
        <v>7264</v>
      </c>
      <c r="B8347" t="s">
        <v>13</v>
      </c>
      <c r="C8347">
        <v>4.3</v>
      </c>
      <c r="D8347">
        <v>4.5</v>
      </c>
      <c r="E8347" t="s">
        <v>17</v>
      </c>
      <c r="F8347">
        <v>14.19</v>
      </c>
      <c r="G8347">
        <v>14.44</v>
      </c>
      <c r="H8347" t="s">
        <v>17</v>
      </c>
      <c r="I8347" t="str">
        <f>"069111109472"</f>
        <v>069111109472</v>
      </c>
    </row>
    <row r="8348" spans="1:9" x14ac:dyDescent="0.25">
      <c r="A8348" t="s">
        <v>7265</v>
      </c>
      <c r="B8348" t="s">
        <v>13</v>
      </c>
      <c r="C8348">
        <v>4.9000000000000004</v>
      </c>
      <c r="D8348">
        <v>3.95</v>
      </c>
      <c r="E8348" t="s">
        <v>17</v>
      </c>
      <c r="F8348">
        <v>4.29</v>
      </c>
      <c r="G8348">
        <v>6.58</v>
      </c>
      <c r="H8348" t="s">
        <v>17</v>
      </c>
      <c r="I8348" t="str">
        <f>"069111109473"</f>
        <v>069111109473</v>
      </c>
    </row>
    <row r="8349" spans="1:9" x14ac:dyDescent="0.25">
      <c r="A8349" t="s">
        <v>7266</v>
      </c>
      <c r="B8349" t="s">
        <v>13</v>
      </c>
      <c r="C8349">
        <v>17.399999999999999</v>
      </c>
      <c r="D8349">
        <v>14.7</v>
      </c>
      <c r="E8349" t="s">
        <v>17</v>
      </c>
      <c r="F8349">
        <v>18.739999999999998</v>
      </c>
      <c r="G8349">
        <v>12.86</v>
      </c>
      <c r="H8349" t="s">
        <v>17</v>
      </c>
      <c r="I8349" t="str">
        <f>"063441012494"</f>
        <v>063441012494</v>
      </c>
    </row>
    <row r="8350" spans="1:9" x14ac:dyDescent="0.25">
      <c r="A8350" t="s">
        <v>7267</v>
      </c>
      <c r="B8350" t="s">
        <v>13</v>
      </c>
      <c r="C8350">
        <v>38.630000000000003</v>
      </c>
      <c r="D8350">
        <v>39.43</v>
      </c>
      <c r="E8350" t="s">
        <v>17</v>
      </c>
      <c r="F8350">
        <v>22.55</v>
      </c>
      <c r="G8350">
        <v>21.23</v>
      </c>
      <c r="H8350" t="s">
        <v>17</v>
      </c>
      <c r="I8350" t="str">
        <f>"063384011190"</f>
        <v>063384011190</v>
      </c>
    </row>
    <row r="8351" spans="1:9" x14ac:dyDescent="0.25">
      <c r="A8351" t="s">
        <v>7268</v>
      </c>
      <c r="B8351" t="s">
        <v>13</v>
      </c>
      <c r="C8351">
        <v>6</v>
      </c>
      <c r="D8351">
        <v>6</v>
      </c>
      <c r="E8351" t="s">
        <v>17</v>
      </c>
      <c r="F8351">
        <v>8</v>
      </c>
      <c r="G8351">
        <v>9.17</v>
      </c>
      <c r="H8351" t="s">
        <v>17</v>
      </c>
      <c r="I8351" t="str">
        <f>"069102711058"</f>
        <v>069102711058</v>
      </c>
    </row>
    <row r="8352" spans="1:9" x14ac:dyDescent="0.25">
      <c r="A8352" t="s">
        <v>7269</v>
      </c>
      <c r="B8352" t="s">
        <v>13</v>
      </c>
      <c r="C8352" t="s">
        <v>17</v>
      </c>
      <c r="D8352" t="s">
        <v>17</v>
      </c>
      <c r="E8352" t="s">
        <v>17</v>
      </c>
      <c r="F8352" t="s">
        <v>17</v>
      </c>
      <c r="G8352" t="s">
        <v>17</v>
      </c>
      <c r="H8352" t="s">
        <v>17</v>
      </c>
      <c r="I8352" t="str">
        <f>"060009511083"</f>
        <v>060009511083</v>
      </c>
    </row>
    <row r="8353" spans="1:9" x14ac:dyDescent="0.25">
      <c r="A8353" t="s">
        <v>7270</v>
      </c>
      <c r="B8353" t="s">
        <v>13</v>
      </c>
      <c r="C8353">
        <v>31</v>
      </c>
      <c r="D8353">
        <v>30.5</v>
      </c>
      <c r="E8353" t="s">
        <v>17</v>
      </c>
      <c r="F8353">
        <v>7.94</v>
      </c>
      <c r="G8353">
        <v>7.74</v>
      </c>
      <c r="H8353" t="s">
        <v>17</v>
      </c>
      <c r="I8353" t="str">
        <f>"069102711057"</f>
        <v>069102711057</v>
      </c>
    </row>
    <row r="8354" spans="1:9" x14ac:dyDescent="0.25">
      <c r="A8354" t="s">
        <v>7271</v>
      </c>
      <c r="B8354" t="s">
        <v>13</v>
      </c>
      <c r="C8354">
        <v>4.5</v>
      </c>
      <c r="D8354">
        <v>5</v>
      </c>
      <c r="E8354" t="s">
        <v>17</v>
      </c>
      <c r="F8354">
        <v>13.56</v>
      </c>
      <c r="G8354">
        <v>13.6</v>
      </c>
      <c r="H8354" t="s">
        <v>17</v>
      </c>
      <c r="I8354" t="str">
        <f>"069104310443"</f>
        <v>069104310443</v>
      </c>
    </row>
    <row r="8355" spans="1:9" x14ac:dyDescent="0.25">
      <c r="A8355" t="s">
        <v>7272</v>
      </c>
      <c r="B8355" t="s">
        <v>13</v>
      </c>
      <c r="C8355">
        <v>9.5</v>
      </c>
      <c r="D8355">
        <v>6</v>
      </c>
      <c r="E8355" t="s">
        <v>14</v>
      </c>
      <c r="F8355">
        <v>21.05</v>
      </c>
      <c r="G8355">
        <v>13.17</v>
      </c>
      <c r="H8355" t="s">
        <v>14</v>
      </c>
      <c r="I8355" t="str">
        <f>"064158012962"</f>
        <v>064158012962</v>
      </c>
    </row>
    <row r="8356" spans="1:9" x14ac:dyDescent="0.25">
      <c r="A8356" t="s">
        <v>7273</v>
      </c>
      <c r="B8356" t="s">
        <v>13</v>
      </c>
      <c r="C8356">
        <v>82.17</v>
      </c>
      <c r="D8356">
        <v>87.27</v>
      </c>
      <c r="E8356" t="s">
        <v>17</v>
      </c>
      <c r="F8356">
        <v>22.67</v>
      </c>
      <c r="G8356">
        <v>22.95</v>
      </c>
      <c r="H8356" t="s">
        <v>17</v>
      </c>
      <c r="I8356" t="str">
        <f>"063531006004"</f>
        <v>063531006004</v>
      </c>
    </row>
    <row r="8357" spans="1:9" x14ac:dyDescent="0.25">
      <c r="A8357" t="s">
        <v>7274</v>
      </c>
      <c r="B8357" t="s">
        <v>13</v>
      </c>
      <c r="C8357">
        <v>41.2</v>
      </c>
      <c r="D8357">
        <v>41.93</v>
      </c>
      <c r="E8357" t="s">
        <v>17</v>
      </c>
      <c r="F8357">
        <v>17.62</v>
      </c>
      <c r="G8357">
        <v>17.72</v>
      </c>
      <c r="H8357" t="s">
        <v>17</v>
      </c>
      <c r="I8357" t="str">
        <f>"061074008591"</f>
        <v>061074008591</v>
      </c>
    </row>
    <row r="8358" spans="1:9" x14ac:dyDescent="0.25">
      <c r="A8358" t="s">
        <v>7275</v>
      </c>
      <c r="B8358" t="s">
        <v>13</v>
      </c>
      <c r="C8358" t="s">
        <v>17</v>
      </c>
      <c r="D8358" t="s">
        <v>14</v>
      </c>
      <c r="E8358" t="s">
        <v>14</v>
      </c>
      <c r="F8358" t="s">
        <v>17</v>
      </c>
      <c r="G8358" t="s">
        <v>14</v>
      </c>
      <c r="H8358" t="s">
        <v>14</v>
      </c>
      <c r="I8358" t="str">
        <f>"060750013058"</f>
        <v>060750013058</v>
      </c>
    </row>
    <row r="8359" spans="1:9" x14ac:dyDescent="0.25">
      <c r="A8359" t="s">
        <v>7276</v>
      </c>
      <c r="B8359" t="s">
        <v>13</v>
      </c>
      <c r="C8359">
        <v>16</v>
      </c>
      <c r="D8359">
        <v>16</v>
      </c>
      <c r="E8359" t="s">
        <v>17</v>
      </c>
      <c r="F8359">
        <v>15.88</v>
      </c>
      <c r="G8359">
        <v>16.75</v>
      </c>
      <c r="H8359" t="s">
        <v>17</v>
      </c>
      <c r="I8359" t="str">
        <f>"063783006386"</f>
        <v>063783006386</v>
      </c>
    </row>
    <row r="8360" spans="1:9" x14ac:dyDescent="0.25">
      <c r="A8360" t="s">
        <v>7277</v>
      </c>
      <c r="B8360" t="s">
        <v>13</v>
      </c>
      <c r="C8360">
        <v>33.450000000000003</v>
      </c>
      <c r="D8360">
        <v>32.85</v>
      </c>
      <c r="E8360" t="s">
        <v>17</v>
      </c>
      <c r="F8360">
        <v>15.34</v>
      </c>
      <c r="G8360">
        <v>15.98</v>
      </c>
      <c r="H8360" t="s">
        <v>17</v>
      </c>
      <c r="I8360" t="str">
        <f>"063783006387"</f>
        <v>063783006387</v>
      </c>
    </row>
    <row r="8361" spans="1:9" x14ac:dyDescent="0.25">
      <c r="A8361" t="s">
        <v>7278</v>
      </c>
      <c r="B8361" t="s">
        <v>13</v>
      </c>
      <c r="C8361">
        <v>12</v>
      </c>
      <c r="D8361">
        <v>15</v>
      </c>
      <c r="E8361" t="s">
        <v>17</v>
      </c>
      <c r="F8361">
        <v>19.25</v>
      </c>
      <c r="G8361">
        <v>17.27</v>
      </c>
      <c r="H8361" t="s">
        <v>17</v>
      </c>
      <c r="I8361" t="str">
        <f>"063783008533"</f>
        <v>063783008533</v>
      </c>
    </row>
    <row r="8362" spans="1:9" x14ac:dyDescent="0.25">
      <c r="A8362" t="s">
        <v>7279</v>
      </c>
      <c r="B8362" t="s">
        <v>13</v>
      </c>
      <c r="C8362">
        <v>23.5</v>
      </c>
      <c r="D8362">
        <v>25</v>
      </c>
      <c r="E8362" t="s">
        <v>17</v>
      </c>
      <c r="F8362">
        <v>25.11</v>
      </c>
      <c r="G8362">
        <v>23.88</v>
      </c>
      <c r="H8362" t="s">
        <v>17</v>
      </c>
      <c r="I8362" t="str">
        <f>"062781004220"</f>
        <v>062781004220</v>
      </c>
    </row>
    <row r="8363" spans="1:9" x14ac:dyDescent="0.25">
      <c r="A8363" t="s">
        <v>7280</v>
      </c>
      <c r="B8363" t="s">
        <v>13</v>
      </c>
      <c r="C8363">
        <v>19.329999999999998</v>
      </c>
      <c r="D8363">
        <v>21.56</v>
      </c>
      <c r="E8363" t="s">
        <v>17</v>
      </c>
      <c r="F8363">
        <v>26.44</v>
      </c>
      <c r="G8363">
        <v>23.65</v>
      </c>
      <c r="H8363" t="s">
        <v>17</v>
      </c>
      <c r="I8363" t="str">
        <f>"062271012483"</f>
        <v>062271012483</v>
      </c>
    </row>
    <row r="8364" spans="1:9" x14ac:dyDescent="0.25">
      <c r="A8364" t="s">
        <v>7281</v>
      </c>
      <c r="B8364" t="s">
        <v>13</v>
      </c>
      <c r="C8364">
        <v>20.51</v>
      </c>
      <c r="D8364">
        <v>21.64</v>
      </c>
      <c r="E8364" t="s">
        <v>17</v>
      </c>
      <c r="F8364">
        <v>26.18</v>
      </c>
      <c r="G8364">
        <v>24.17</v>
      </c>
      <c r="H8364" t="s">
        <v>17</v>
      </c>
      <c r="I8364" t="str">
        <f>"063390010694"</f>
        <v>063390010694</v>
      </c>
    </row>
    <row r="8365" spans="1:9" x14ac:dyDescent="0.25">
      <c r="A8365" t="s">
        <v>7282</v>
      </c>
      <c r="B8365" t="s">
        <v>13</v>
      </c>
      <c r="C8365">
        <v>38.67</v>
      </c>
      <c r="D8365">
        <v>38.67</v>
      </c>
      <c r="E8365" t="s">
        <v>17</v>
      </c>
      <c r="F8365">
        <v>23.77</v>
      </c>
      <c r="G8365">
        <v>25.03</v>
      </c>
      <c r="H8365" t="s">
        <v>17</v>
      </c>
      <c r="I8365" t="str">
        <f>"063390011496"</f>
        <v>063390011496</v>
      </c>
    </row>
    <row r="8366" spans="1:9" x14ac:dyDescent="0.25">
      <c r="A8366" t="s">
        <v>7283</v>
      </c>
      <c r="B8366" t="s">
        <v>13</v>
      </c>
      <c r="C8366">
        <v>15</v>
      </c>
      <c r="D8366">
        <v>13</v>
      </c>
      <c r="E8366" t="s">
        <v>17</v>
      </c>
      <c r="F8366">
        <v>20</v>
      </c>
      <c r="G8366">
        <v>24.23</v>
      </c>
      <c r="H8366" t="s">
        <v>17</v>
      </c>
      <c r="I8366" t="str">
        <f>"069102110557"</f>
        <v>069102110557</v>
      </c>
    </row>
    <row r="8367" spans="1:9" x14ac:dyDescent="0.25">
      <c r="A8367" t="s">
        <v>7284</v>
      </c>
      <c r="B8367" t="s">
        <v>13</v>
      </c>
      <c r="C8367">
        <v>109.6</v>
      </c>
      <c r="D8367">
        <v>109.55</v>
      </c>
      <c r="E8367" t="s">
        <v>17</v>
      </c>
      <c r="F8367">
        <v>23.11</v>
      </c>
      <c r="G8367">
        <v>23</v>
      </c>
      <c r="H8367" t="s">
        <v>17</v>
      </c>
      <c r="I8367" t="str">
        <f>"063398005336"</f>
        <v>063398005336</v>
      </c>
    </row>
    <row r="8368" spans="1:9" x14ac:dyDescent="0.25">
      <c r="A8368" t="s">
        <v>7285</v>
      </c>
      <c r="B8368" t="s">
        <v>13</v>
      </c>
      <c r="C8368">
        <v>5.4</v>
      </c>
      <c r="D8368">
        <v>5.4</v>
      </c>
      <c r="E8368" t="s">
        <v>17</v>
      </c>
      <c r="F8368">
        <v>19.07</v>
      </c>
      <c r="G8368">
        <v>20</v>
      </c>
      <c r="H8368" t="s">
        <v>17</v>
      </c>
      <c r="I8368" t="str">
        <f>"063201004924"</f>
        <v>063201004924</v>
      </c>
    </row>
    <row r="8369" spans="1:9" x14ac:dyDescent="0.25">
      <c r="A8369" t="s">
        <v>7286</v>
      </c>
      <c r="B8369" t="s">
        <v>13</v>
      </c>
      <c r="C8369">
        <v>17</v>
      </c>
      <c r="D8369" t="s">
        <v>14</v>
      </c>
      <c r="E8369" t="s">
        <v>14</v>
      </c>
      <c r="F8369">
        <v>24.12</v>
      </c>
      <c r="G8369" t="s">
        <v>14</v>
      </c>
      <c r="H8369" t="s">
        <v>14</v>
      </c>
      <c r="I8369" t="str">
        <f>"062271013194"</f>
        <v>062271013194</v>
      </c>
    </row>
    <row r="8370" spans="1:9" x14ac:dyDescent="0.25">
      <c r="A8370" t="s">
        <v>7287</v>
      </c>
      <c r="B8370" t="s">
        <v>13</v>
      </c>
      <c r="C8370">
        <v>8.93</v>
      </c>
      <c r="D8370">
        <v>8.93</v>
      </c>
      <c r="E8370" t="s">
        <v>17</v>
      </c>
      <c r="F8370">
        <v>17.36</v>
      </c>
      <c r="G8370">
        <v>17.13</v>
      </c>
      <c r="H8370" t="s">
        <v>17</v>
      </c>
      <c r="I8370" t="str">
        <f>"061662001736"</f>
        <v>061662001736</v>
      </c>
    </row>
    <row r="8371" spans="1:9" x14ac:dyDescent="0.25">
      <c r="A8371" t="s">
        <v>7288</v>
      </c>
      <c r="B8371" t="s">
        <v>13</v>
      </c>
      <c r="C8371">
        <v>40</v>
      </c>
      <c r="D8371">
        <v>46</v>
      </c>
      <c r="E8371" t="s">
        <v>17</v>
      </c>
      <c r="F8371">
        <v>25.85</v>
      </c>
      <c r="G8371">
        <v>21.83</v>
      </c>
      <c r="H8371" t="s">
        <v>17</v>
      </c>
      <c r="I8371" t="str">
        <f>"060861011126"</f>
        <v>060861011126</v>
      </c>
    </row>
    <row r="8372" spans="1:9" x14ac:dyDescent="0.25">
      <c r="A8372" t="s">
        <v>7289</v>
      </c>
      <c r="B8372" t="s">
        <v>13</v>
      </c>
      <c r="C8372">
        <v>9</v>
      </c>
      <c r="D8372">
        <v>8.6</v>
      </c>
      <c r="E8372" t="s">
        <v>17</v>
      </c>
      <c r="F8372">
        <v>22.89</v>
      </c>
      <c r="G8372">
        <v>21.63</v>
      </c>
      <c r="H8372" t="s">
        <v>17</v>
      </c>
      <c r="I8372" t="str">
        <f>"062664004030"</f>
        <v>062664004030</v>
      </c>
    </row>
    <row r="8373" spans="1:9" x14ac:dyDescent="0.25">
      <c r="A8373" t="s">
        <v>7290</v>
      </c>
      <c r="B8373" t="s">
        <v>13</v>
      </c>
      <c r="C8373">
        <v>25.8</v>
      </c>
      <c r="D8373">
        <v>20.98</v>
      </c>
      <c r="E8373" t="s">
        <v>17</v>
      </c>
      <c r="F8373">
        <v>25.35</v>
      </c>
      <c r="G8373">
        <v>30.55</v>
      </c>
      <c r="H8373" t="s">
        <v>17</v>
      </c>
      <c r="I8373" t="str">
        <f>"063384005280"</f>
        <v>063384005280</v>
      </c>
    </row>
    <row r="8374" spans="1:9" x14ac:dyDescent="0.25">
      <c r="A8374" t="s">
        <v>7291</v>
      </c>
      <c r="B8374" t="s">
        <v>13</v>
      </c>
      <c r="C8374">
        <v>48.2</v>
      </c>
      <c r="D8374">
        <v>45.35</v>
      </c>
      <c r="E8374" t="s">
        <v>17</v>
      </c>
      <c r="F8374">
        <v>22.53</v>
      </c>
      <c r="G8374">
        <v>22.8</v>
      </c>
      <c r="H8374" t="s">
        <v>17</v>
      </c>
      <c r="I8374" t="str">
        <f>"061029011448"</f>
        <v>061029011448</v>
      </c>
    </row>
    <row r="8375" spans="1:9" x14ac:dyDescent="0.25">
      <c r="A8375" t="s">
        <v>7292</v>
      </c>
      <c r="B8375" t="s">
        <v>13</v>
      </c>
      <c r="C8375">
        <v>22.29</v>
      </c>
      <c r="D8375">
        <v>27.78</v>
      </c>
      <c r="E8375" t="s">
        <v>17</v>
      </c>
      <c r="F8375">
        <v>28.26</v>
      </c>
      <c r="G8375">
        <v>25.41</v>
      </c>
      <c r="H8375" t="s">
        <v>17</v>
      </c>
      <c r="I8375" t="str">
        <f>"063237007622"</f>
        <v>063237007622</v>
      </c>
    </row>
    <row r="8376" spans="1:9" x14ac:dyDescent="0.25">
      <c r="A8376" t="s">
        <v>7293</v>
      </c>
      <c r="B8376" t="s">
        <v>13</v>
      </c>
      <c r="C8376">
        <v>1.8</v>
      </c>
      <c r="D8376">
        <v>1.8</v>
      </c>
      <c r="E8376" t="s">
        <v>17</v>
      </c>
      <c r="F8376">
        <v>5.56</v>
      </c>
      <c r="G8376">
        <v>9.44</v>
      </c>
      <c r="H8376" t="s">
        <v>17</v>
      </c>
      <c r="I8376" t="str">
        <f>"061743002188"</f>
        <v>061743002188</v>
      </c>
    </row>
    <row r="8377" spans="1:9" x14ac:dyDescent="0.25">
      <c r="A8377" t="s">
        <v>7294</v>
      </c>
      <c r="B8377" t="s">
        <v>13</v>
      </c>
      <c r="C8377">
        <v>44.01</v>
      </c>
      <c r="D8377">
        <v>61.01</v>
      </c>
      <c r="E8377" t="s">
        <v>17</v>
      </c>
      <c r="F8377">
        <v>19.88</v>
      </c>
      <c r="G8377">
        <v>17.440000000000001</v>
      </c>
      <c r="H8377" t="s">
        <v>17</v>
      </c>
      <c r="I8377" t="str">
        <f>"062271003047"</f>
        <v>062271003047</v>
      </c>
    </row>
    <row r="8378" spans="1:9" x14ac:dyDescent="0.25">
      <c r="A8378" t="s">
        <v>7295</v>
      </c>
      <c r="B8378" t="s">
        <v>13</v>
      </c>
      <c r="C8378">
        <v>42.27</v>
      </c>
      <c r="D8378">
        <v>41.6</v>
      </c>
      <c r="E8378" t="s">
        <v>17</v>
      </c>
      <c r="F8378">
        <v>22.66</v>
      </c>
      <c r="G8378">
        <v>22.69</v>
      </c>
      <c r="H8378" t="s">
        <v>17</v>
      </c>
      <c r="I8378" t="str">
        <f>"061233010292"</f>
        <v>061233010292</v>
      </c>
    </row>
    <row r="8379" spans="1:9" x14ac:dyDescent="0.25">
      <c r="A8379" t="s">
        <v>7296</v>
      </c>
      <c r="B8379" t="s">
        <v>13</v>
      </c>
      <c r="C8379">
        <v>38.14</v>
      </c>
      <c r="D8379">
        <v>38.31</v>
      </c>
      <c r="E8379" t="s">
        <v>17</v>
      </c>
      <c r="F8379">
        <v>24.7</v>
      </c>
      <c r="G8379">
        <v>24.01</v>
      </c>
      <c r="H8379" t="s">
        <v>17</v>
      </c>
      <c r="I8379" t="str">
        <f>"061233001401"</f>
        <v>061233001401</v>
      </c>
    </row>
    <row r="8380" spans="1:9" x14ac:dyDescent="0.25">
      <c r="A8380" t="s">
        <v>7297</v>
      </c>
      <c r="B8380" t="s">
        <v>13</v>
      </c>
      <c r="C8380">
        <v>24</v>
      </c>
      <c r="D8380">
        <v>24</v>
      </c>
      <c r="E8380" t="s">
        <v>17</v>
      </c>
      <c r="F8380">
        <v>26.13</v>
      </c>
      <c r="G8380">
        <v>25.63</v>
      </c>
      <c r="H8380" t="s">
        <v>17</v>
      </c>
      <c r="I8380" t="str">
        <f>"060813004126"</f>
        <v>060813004126</v>
      </c>
    </row>
    <row r="8381" spans="1:9" x14ac:dyDescent="0.25">
      <c r="A8381" t="s">
        <v>7298</v>
      </c>
      <c r="B8381" t="s">
        <v>13</v>
      </c>
      <c r="C8381">
        <v>26.51</v>
      </c>
      <c r="D8381">
        <v>25.78</v>
      </c>
      <c r="E8381" t="s">
        <v>17</v>
      </c>
      <c r="F8381">
        <v>27.65</v>
      </c>
      <c r="G8381">
        <v>27.62</v>
      </c>
      <c r="H8381" t="s">
        <v>17</v>
      </c>
      <c r="I8381" t="str">
        <f>"063237009183"</f>
        <v>063237009183</v>
      </c>
    </row>
    <row r="8382" spans="1:9" x14ac:dyDescent="0.25">
      <c r="A8382" t="s">
        <v>7299</v>
      </c>
      <c r="B8382" t="s">
        <v>13</v>
      </c>
      <c r="C8382">
        <v>15</v>
      </c>
      <c r="D8382">
        <v>15</v>
      </c>
      <c r="E8382" t="s">
        <v>17</v>
      </c>
      <c r="F8382">
        <v>26.47</v>
      </c>
      <c r="G8382">
        <v>25.93</v>
      </c>
      <c r="H8382" t="s">
        <v>17</v>
      </c>
      <c r="I8382" t="str">
        <f>"062133002554"</f>
        <v>062133002554</v>
      </c>
    </row>
    <row r="8383" spans="1:9" x14ac:dyDescent="0.25">
      <c r="A8383" t="s">
        <v>7300</v>
      </c>
      <c r="B8383" t="s">
        <v>13</v>
      </c>
      <c r="C8383">
        <v>8</v>
      </c>
      <c r="D8383">
        <v>9</v>
      </c>
      <c r="E8383" t="s">
        <v>17</v>
      </c>
      <c r="F8383">
        <v>19</v>
      </c>
      <c r="G8383">
        <v>20.440000000000001</v>
      </c>
      <c r="H8383" t="s">
        <v>17</v>
      </c>
      <c r="I8383" t="str">
        <f>"063414008958"</f>
        <v>063414008958</v>
      </c>
    </row>
    <row r="8384" spans="1:9" x14ac:dyDescent="0.25">
      <c r="A8384" t="s">
        <v>7301</v>
      </c>
      <c r="B8384" t="s">
        <v>13</v>
      </c>
      <c r="C8384">
        <v>12.58</v>
      </c>
      <c r="D8384">
        <v>13.6</v>
      </c>
      <c r="E8384" t="s">
        <v>17</v>
      </c>
      <c r="F8384">
        <v>21.54</v>
      </c>
      <c r="G8384">
        <v>21.54</v>
      </c>
      <c r="H8384" t="s">
        <v>17</v>
      </c>
      <c r="I8384" t="str">
        <f>"060687000630"</f>
        <v>060687000630</v>
      </c>
    </row>
    <row r="8385" spans="1:9" x14ac:dyDescent="0.25">
      <c r="A8385" t="s">
        <v>7302</v>
      </c>
      <c r="B8385" t="s">
        <v>13</v>
      </c>
      <c r="C8385">
        <v>29</v>
      </c>
      <c r="D8385">
        <v>30.92</v>
      </c>
      <c r="E8385" t="s">
        <v>17</v>
      </c>
      <c r="F8385">
        <v>20.28</v>
      </c>
      <c r="G8385">
        <v>23.71</v>
      </c>
      <c r="H8385" t="s">
        <v>17</v>
      </c>
      <c r="I8385" t="str">
        <f>"063417007344"</f>
        <v>063417007344</v>
      </c>
    </row>
    <row r="8386" spans="1:9" x14ac:dyDescent="0.25">
      <c r="A8386" t="s">
        <v>7303</v>
      </c>
      <c r="B8386" t="s">
        <v>13</v>
      </c>
      <c r="C8386">
        <v>8.02</v>
      </c>
      <c r="D8386">
        <v>7.5</v>
      </c>
      <c r="E8386" t="s">
        <v>17</v>
      </c>
      <c r="F8386">
        <v>7.23</v>
      </c>
      <c r="G8386">
        <v>9.4700000000000006</v>
      </c>
      <c r="H8386" t="s">
        <v>17</v>
      </c>
      <c r="I8386" t="str">
        <f>"063879006524"</f>
        <v>063879006524</v>
      </c>
    </row>
    <row r="8387" spans="1:9" x14ac:dyDescent="0.25">
      <c r="A8387" t="s">
        <v>7304</v>
      </c>
      <c r="B8387" t="s">
        <v>13</v>
      </c>
      <c r="C8387">
        <v>3</v>
      </c>
      <c r="D8387">
        <v>3</v>
      </c>
      <c r="E8387" t="s">
        <v>17</v>
      </c>
      <c r="F8387">
        <v>49</v>
      </c>
      <c r="G8387">
        <v>41.33</v>
      </c>
      <c r="H8387" t="s">
        <v>17</v>
      </c>
      <c r="I8387" t="str">
        <f>"062271003322"</f>
        <v>062271003322</v>
      </c>
    </row>
    <row r="8388" spans="1:9" x14ac:dyDescent="0.25">
      <c r="A8388" t="s">
        <v>7305</v>
      </c>
      <c r="B8388" t="s">
        <v>13</v>
      </c>
      <c r="C8388">
        <v>28</v>
      </c>
      <c r="D8388">
        <v>30</v>
      </c>
      <c r="E8388" t="s">
        <v>17</v>
      </c>
      <c r="F8388">
        <v>24.14</v>
      </c>
      <c r="G8388">
        <v>22.87</v>
      </c>
      <c r="H8388" t="s">
        <v>17</v>
      </c>
      <c r="I8388" t="str">
        <f>"062271003240"</f>
        <v>062271003240</v>
      </c>
    </row>
    <row r="8389" spans="1:9" x14ac:dyDescent="0.25">
      <c r="A8389" t="s">
        <v>7305</v>
      </c>
      <c r="B8389" t="s">
        <v>13</v>
      </c>
      <c r="C8389">
        <v>20</v>
      </c>
      <c r="D8389">
        <v>19</v>
      </c>
      <c r="E8389" t="s">
        <v>17</v>
      </c>
      <c r="F8389">
        <v>27.25</v>
      </c>
      <c r="G8389">
        <v>23.47</v>
      </c>
      <c r="H8389" t="s">
        <v>17</v>
      </c>
      <c r="I8389" t="str">
        <f>"063132003255"</f>
        <v>063132003255</v>
      </c>
    </row>
    <row r="8390" spans="1:9" x14ac:dyDescent="0.25">
      <c r="A8390" t="s">
        <v>7305</v>
      </c>
      <c r="B8390" t="s">
        <v>13</v>
      </c>
      <c r="C8390">
        <v>5</v>
      </c>
      <c r="D8390">
        <v>6</v>
      </c>
      <c r="E8390" t="s">
        <v>17</v>
      </c>
      <c r="F8390">
        <v>30.8</v>
      </c>
      <c r="G8390">
        <v>29.83</v>
      </c>
      <c r="H8390" t="s">
        <v>17</v>
      </c>
      <c r="I8390" t="str">
        <f>"062827004380"</f>
        <v>062827004380</v>
      </c>
    </row>
    <row r="8391" spans="1:9" x14ac:dyDescent="0.25">
      <c r="A8391" t="s">
        <v>7305</v>
      </c>
      <c r="B8391" t="s">
        <v>13</v>
      </c>
      <c r="C8391">
        <v>23.38</v>
      </c>
      <c r="D8391">
        <v>22.39</v>
      </c>
      <c r="E8391" t="s">
        <v>17</v>
      </c>
      <c r="F8391">
        <v>20.87</v>
      </c>
      <c r="G8391">
        <v>21.3</v>
      </c>
      <c r="H8391" t="s">
        <v>17</v>
      </c>
      <c r="I8391" t="str">
        <f>"060231000121"</f>
        <v>060231000121</v>
      </c>
    </row>
    <row r="8392" spans="1:9" x14ac:dyDescent="0.25">
      <c r="A8392" t="s">
        <v>7305</v>
      </c>
      <c r="B8392" t="s">
        <v>13</v>
      </c>
      <c r="C8392">
        <v>10</v>
      </c>
      <c r="D8392">
        <v>10</v>
      </c>
      <c r="E8392" t="s">
        <v>17</v>
      </c>
      <c r="F8392">
        <v>16.100000000000001</v>
      </c>
      <c r="G8392">
        <v>17.899999999999999</v>
      </c>
      <c r="H8392" t="s">
        <v>17</v>
      </c>
      <c r="I8392" t="str">
        <f>"063405005342"</f>
        <v>063405005342</v>
      </c>
    </row>
    <row r="8393" spans="1:9" x14ac:dyDescent="0.25">
      <c r="A8393" t="s">
        <v>7306</v>
      </c>
      <c r="B8393" t="s">
        <v>13</v>
      </c>
      <c r="C8393">
        <v>9.8000000000000007</v>
      </c>
      <c r="D8393">
        <v>9.6</v>
      </c>
      <c r="E8393" t="s">
        <v>17</v>
      </c>
      <c r="F8393">
        <v>8.98</v>
      </c>
      <c r="G8393">
        <v>10.42</v>
      </c>
      <c r="H8393" t="s">
        <v>17</v>
      </c>
      <c r="I8393" t="str">
        <f>"063025004725"</f>
        <v>063025004725</v>
      </c>
    </row>
    <row r="8394" spans="1:9" x14ac:dyDescent="0.25">
      <c r="A8394" t="s">
        <v>7306</v>
      </c>
      <c r="B8394" t="s">
        <v>13</v>
      </c>
      <c r="C8394">
        <v>7</v>
      </c>
      <c r="D8394">
        <v>4</v>
      </c>
      <c r="E8394" t="s">
        <v>17</v>
      </c>
      <c r="F8394">
        <v>14.14</v>
      </c>
      <c r="G8394">
        <v>28.75</v>
      </c>
      <c r="H8394" t="s">
        <v>17</v>
      </c>
      <c r="I8394" t="str">
        <f>"060876000893"</f>
        <v>060876000893</v>
      </c>
    </row>
    <row r="8395" spans="1:9" x14ac:dyDescent="0.25">
      <c r="A8395" t="s">
        <v>7307</v>
      </c>
      <c r="B8395" t="s">
        <v>13</v>
      </c>
      <c r="C8395" t="s">
        <v>17</v>
      </c>
      <c r="D8395" t="s">
        <v>17</v>
      </c>
      <c r="E8395" t="s">
        <v>17</v>
      </c>
      <c r="F8395" t="s">
        <v>17</v>
      </c>
      <c r="G8395" t="s">
        <v>17</v>
      </c>
      <c r="H8395" t="s">
        <v>17</v>
      </c>
      <c r="I8395" t="str">
        <f>"060011410927"</f>
        <v>060011410927</v>
      </c>
    </row>
    <row r="8396" spans="1:9" x14ac:dyDescent="0.25">
      <c r="A8396" t="s">
        <v>7308</v>
      </c>
      <c r="B8396" t="s">
        <v>13</v>
      </c>
      <c r="C8396">
        <v>6</v>
      </c>
      <c r="D8396">
        <v>7</v>
      </c>
      <c r="E8396" t="s">
        <v>17</v>
      </c>
      <c r="F8396">
        <v>16.670000000000002</v>
      </c>
      <c r="G8396">
        <v>14.57</v>
      </c>
      <c r="H8396" t="s">
        <v>17</v>
      </c>
      <c r="I8396" t="str">
        <f>"063408005343"</f>
        <v>063408005343</v>
      </c>
    </row>
    <row r="8397" spans="1:9" x14ac:dyDescent="0.25">
      <c r="A8397" t="s">
        <v>7309</v>
      </c>
      <c r="B8397" t="s">
        <v>13</v>
      </c>
      <c r="C8397">
        <v>15.5</v>
      </c>
      <c r="D8397">
        <v>16</v>
      </c>
      <c r="E8397" t="s">
        <v>17</v>
      </c>
      <c r="F8397">
        <v>20.260000000000002</v>
      </c>
      <c r="G8397">
        <v>20</v>
      </c>
      <c r="H8397" t="s">
        <v>17</v>
      </c>
      <c r="I8397" t="str">
        <f>"064161006861"</f>
        <v>064161006861</v>
      </c>
    </row>
    <row r="8398" spans="1:9" x14ac:dyDescent="0.25">
      <c r="A8398" t="s">
        <v>7310</v>
      </c>
      <c r="B8398" t="s">
        <v>13</v>
      </c>
      <c r="C8398">
        <v>3</v>
      </c>
      <c r="D8398">
        <v>3</v>
      </c>
      <c r="E8398" t="s">
        <v>17</v>
      </c>
      <c r="F8398">
        <v>21.33</v>
      </c>
      <c r="G8398">
        <v>15.33</v>
      </c>
      <c r="H8398" t="s">
        <v>17</v>
      </c>
      <c r="I8398" t="str">
        <f>"069102810171"</f>
        <v>069102810171</v>
      </c>
    </row>
    <row r="8399" spans="1:9" x14ac:dyDescent="0.25">
      <c r="A8399" t="s">
        <v>7311</v>
      </c>
      <c r="B8399" t="s">
        <v>13</v>
      </c>
      <c r="C8399">
        <v>6</v>
      </c>
      <c r="D8399">
        <v>6</v>
      </c>
      <c r="E8399" t="s">
        <v>17</v>
      </c>
      <c r="F8399">
        <v>8.33</v>
      </c>
      <c r="G8399">
        <v>10</v>
      </c>
      <c r="H8399" t="s">
        <v>17</v>
      </c>
      <c r="I8399" t="str">
        <f>"069102809240"</f>
        <v>069102809240</v>
      </c>
    </row>
    <row r="8400" spans="1:9" x14ac:dyDescent="0.25">
      <c r="A8400" t="s">
        <v>7312</v>
      </c>
      <c r="B8400" t="s">
        <v>13</v>
      </c>
      <c r="C8400">
        <v>18</v>
      </c>
      <c r="D8400">
        <v>19.8</v>
      </c>
      <c r="E8400" t="s">
        <v>17</v>
      </c>
      <c r="F8400">
        <v>27.33</v>
      </c>
      <c r="G8400">
        <v>24.9</v>
      </c>
      <c r="H8400" t="s">
        <v>17</v>
      </c>
      <c r="I8400" t="str">
        <f>"060330001384"</f>
        <v>060330001384</v>
      </c>
    </row>
    <row r="8401" spans="1:9" x14ac:dyDescent="0.25">
      <c r="A8401" t="s">
        <v>7313</v>
      </c>
      <c r="B8401" t="s">
        <v>13</v>
      </c>
      <c r="C8401">
        <v>107.43</v>
      </c>
      <c r="D8401">
        <v>110.7</v>
      </c>
      <c r="E8401" t="s">
        <v>17</v>
      </c>
      <c r="F8401">
        <v>27.13</v>
      </c>
      <c r="G8401">
        <v>25.87</v>
      </c>
      <c r="H8401" t="s">
        <v>17</v>
      </c>
      <c r="I8401" t="str">
        <f>"063414005344"</f>
        <v>063414005344</v>
      </c>
    </row>
    <row r="8402" spans="1:9" x14ac:dyDescent="0.25">
      <c r="A8402" t="s">
        <v>7314</v>
      </c>
      <c r="B8402" t="s">
        <v>13</v>
      </c>
      <c r="C8402">
        <v>10</v>
      </c>
      <c r="D8402">
        <v>11</v>
      </c>
      <c r="E8402" t="s">
        <v>17</v>
      </c>
      <c r="F8402">
        <v>17.100000000000001</v>
      </c>
      <c r="G8402">
        <v>14.73</v>
      </c>
      <c r="H8402" t="s">
        <v>17</v>
      </c>
      <c r="I8402" t="str">
        <f>"069102909241"</f>
        <v>069102909241</v>
      </c>
    </row>
    <row r="8403" spans="1:9" x14ac:dyDescent="0.25">
      <c r="A8403" t="s">
        <v>7315</v>
      </c>
      <c r="B8403" t="s">
        <v>13</v>
      </c>
      <c r="C8403" t="s">
        <v>17</v>
      </c>
      <c r="D8403" t="s">
        <v>17</v>
      </c>
      <c r="E8403" t="s">
        <v>17</v>
      </c>
      <c r="F8403" t="s">
        <v>17</v>
      </c>
      <c r="G8403" t="s">
        <v>17</v>
      </c>
      <c r="H8403" t="s">
        <v>17</v>
      </c>
      <c r="I8403" t="str">
        <f>"060013211117"</f>
        <v>060013211117</v>
      </c>
    </row>
    <row r="8404" spans="1:9" x14ac:dyDescent="0.25">
      <c r="A8404" t="s">
        <v>7316</v>
      </c>
      <c r="B8404" t="s">
        <v>13</v>
      </c>
      <c r="C8404">
        <v>163</v>
      </c>
      <c r="D8404">
        <v>170</v>
      </c>
      <c r="E8404" t="s">
        <v>17</v>
      </c>
      <c r="F8404">
        <v>9.76</v>
      </c>
      <c r="G8404">
        <v>9.92</v>
      </c>
      <c r="H8404" t="s">
        <v>17</v>
      </c>
      <c r="I8404" t="str">
        <f>"069102907174"</f>
        <v>069102907174</v>
      </c>
    </row>
    <row r="8405" spans="1:9" x14ac:dyDescent="0.25">
      <c r="A8405" t="s">
        <v>7317</v>
      </c>
      <c r="B8405" t="s">
        <v>13</v>
      </c>
      <c r="C8405">
        <v>86</v>
      </c>
      <c r="D8405">
        <v>101</v>
      </c>
      <c r="E8405" t="s">
        <v>17</v>
      </c>
      <c r="F8405">
        <v>22.05</v>
      </c>
      <c r="G8405">
        <v>21.99</v>
      </c>
      <c r="H8405" t="s">
        <v>17</v>
      </c>
      <c r="I8405" t="str">
        <f>"063417005384"</f>
        <v>063417005384</v>
      </c>
    </row>
    <row r="8406" spans="1:9" x14ac:dyDescent="0.25">
      <c r="A8406" t="s">
        <v>7318</v>
      </c>
      <c r="B8406" t="s">
        <v>13</v>
      </c>
      <c r="C8406">
        <v>16.28</v>
      </c>
      <c r="D8406">
        <v>15.43</v>
      </c>
      <c r="E8406" t="s">
        <v>17</v>
      </c>
      <c r="F8406">
        <v>20.329999999999998</v>
      </c>
      <c r="G8406">
        <v>20.03</v>
      </c>
      <c r="H8406" t="s">
        <v>17</v>
      </c>
      <c r="I8406" t="str">
        <f>"063429004029"</f>
        <v>063429004029</v>
      </c>
    </row>
    <row r="8407" spans="1:9" x14ac:dyDescent="0.25">
      <c r="A8407" t="s">
        <v>7319</v>
      </c>
      <c r="B8407" t="s">
        <v>13</v>
      </c>
      <c r="C8407" t="s">
        <v>17</v>
      </c>
      <c r="D8407" t="s">
        <v>14</v>
      </c>
      <c r="E8407" t="s">
        <v>14</v>
      </c>
      <c r="F8407" t="s">
        <v>17</v>
      </c>
      <c r="G8407" t="s">
        <v>14</v>
      </c>
      <c r="H8407" t="s">
        <v>14</v>
      </c>
      <c r="I8407" t="str">
        <f>"063429013091"</f>
        <v>063429013091</v>
      </c>
    </row>
    <row r="8408" spans="1:9" x14ac:dyDescent="0.25">
      <c r="A8408" t="s">
        <v>7320</v>
      </c>
      <c r="B8408" t="s">
        <v>13</v>
      </c>
      <c r="C8408">
        <v>15</v>
      </c>
      <c r="D8408">
        <v>22.2</v>
      </c>
      <c r="E8408" t="s">
        <v>17</v>
      </c>
      <c r="F8408">
        <v>28.53</v>
      </c>
      <c r="G8408">
        <v>20.68</v>
      </c>
      <c r="H8408" t="s">
        <v>17</v>
      </c>
      <c r="I8408" t="str">
        <f>"061380001557"</f>
        <v>061380001557</v>
      </c>
    </row>
    <row r="8409" spans="1:9" x14ac:dyDescent="0.25">
      <c r="A8409" t="s">
        <v>7321</v>
      </c>
      <c r="B8409" t="s">
        <v>13</v>
      </c>
      <c r="C8409">
        <v>106.33</v>
      </c>
      <c r="D8409">
        <v>115.11</v>
      </c>
      <c r="E8409" t="s">
        <v>17</v>
      </c>
      <c r="F8409">
        <v>28.11</v>
      </c>
      <c r="G8409">
        <v>26.21</v>
      </c>
      <c r="H8409" t="s">
        <v>17</v>
      </c>
      <c r="I8409" t="str">
        <f>"060744000701"</f>
        <v>060744000701</v>
      </c>
    </row>
    <row r="8410" spans="1:9" x14ac:dyDescent="0.25">
      <c r="A8410" t="s">
        <v>7322</v>
      </c>
      <c r="B8410" t="s">
        <v>13</v>
      </c>
      <c r="C8410">
        <v>25.55</v>
      </c>
      <c r="D8410">
        <v>27.07</v>
      </c>
      <c r="E8410" t="s">
        <v>17</v>
      </c>
      <c r="F8410">
        <v>17.100000000000001</v>
      </c>
      <c r="G8410">
        <v>17.14</v>
      </c>
      <c r="H8410" t="s">
        <v>17</v>
      </c>
      <c r="I8410" t="str">
        <f>"063432011143"</f>
        <v>063432011143</v>
      </c>
    </row>
    <row r="8411" spans="1:9" x14ac:dyDescent="0.25">
      <c r="A8411" t="s">
        <v>7323</v>
      </c>
      <c r="B8411" t="s">
        <v>13</v>
      </c>
      <c r="C8411" t="s">
        <v>14</v>
      </c>
      <c r="D8411">
        <v>13.17</v>
      </c>
      <c r="E8411" t="s">
        <v>17</v>
      </c>
      <c r="F8411" t="s">
        <v>17</v>
      </c>
      <c r="G8411">
        <v>14.27</v>
      </c>
      <c r="H8411" t="s">
        <v>17</v>
      </c>
      <c r="I8411" t="str">
        <f>"063432011142"</f>
        <v>063432011142</v>
      </c>
    </row>
    <row r="8412" spans="1:9" x14ac:dyDescent="0.25">
      <c r="A8412" t="s">
        <v>7324</v>
      </c>
      <c r="B8412" t="s">
        <v>13</v>
      </c>
      <c r="C8412">
        <v>21.23</v>
      </c>
      <c r="D8412">
        <v>22.11</v>
      </c>
      <c r="E8412" t="s">
        <v>17</v>
      </c>
      <c r="F8412">
        <v>21.24</v>
      </c>
      <c r="G8412">
        <v>20.62</v>
      </c>
      <c r="H8412" t="s">
        <v>17</v>
      </c>
      <c r="I8412" t="str">
        <f>"063432010636"</f>
        <v>063432010636</v>
      </c>
    </row>
    <row r="8413" spans="1:9" x14ac:dyDescent="0.25">
      <c r="A8413" t="s">
        <v>7325</v>
      </c>
      <c r="B8413" t="s">
        <v>13</v>
      </c>
      <c r="C8413" t="s">
        <v>17</v>
      </c>
      <c r="D8413" t="s">
        <v>14</v>
      </c>
      <c r="E8413" t="s">
        <v>14</v>
      </c>
      <c r="F8413" t="s">
        <v>17</v>
      </c>
      <c r="G8413" t="s">
        <v>14</v>
      </c>
      <c r="H8413" t="s">
        <v>14</v>
      </c>
      <c r="I8413" t="str">
        <f>"063432013580"</f>
        <v>063432013580</v>
      </c>
    </row>
    <row r="8414" spans="1:9" x14ac:dyDescent="0.25">
      <c r="A8414" t="s">
        <v>7326</v>
      </c>
      <c r="B8414" t="s">
        <v>13</v>
      </c>
      <c r="C8414" t="s">
        <v>17</v>
      </c>
      <c r="D8414" t="s">
        <v>17</v>
      </c>
      <c r="E8414" t="s">
        <v>17</v>
      </c>
      <c r="F8414" t="s">
        <v>17</v>
      </c>
      <c r="G8414" t="s">
        <v>17</v>
      </c>
      <c r="H8414" t="s">
        <v>17</v>
      </c>
      <c r="I8414" t="str">
        <f>"060013811406"</f>
        <v>060013811406</v>
      </c>
    </row>
    <row r="8415" spans="1:9" x14ac:dyDescent="0.25">
      <c r="A8415" t="s">
        <v>7327</v>
      </c>
      <c r="B8415" t="s">
        <v>13</v>
      </c>
      <c r="C8415">
        <v>6</v>
      </c>
      <c r="D8415">
        <v>5</v>
      </c>
      <c r="E8415" t="s">
        <v>17</v>
      </c>
      <c r="F8415">
        <v>7.5</v>
      </c>
      <c r="G8415">
        <v>9</v>
      </c>
      <c r="H8415" t="s">
        <v>17</v>
      </c>
      <c r="I8415" t="str">
        <f>"069103009244"</f>
        <v>069103009244</v>
      </c>
    </row>
    <row r="8416" spans="1:9" x14ac:dyDescent="0.25">
      <c r="A8416" t="s">
        <v>7328</v>
      </c>
      <c r="B8416" t="s">
        <v>13</v>
      </c>
      <c r="C8416">
        <v>7.22</v>
      </c>
      <c r="D8416">
        <v>8.1</v>
      </c>
      <c r="E8416" t="s">
        <v>17</v>
      </c>
      <c r="F8416">
        <v>19.39</v>
      </c>
      <c r="G8416">
        <v>18.52</v>
      </c>
      <c r="H8416" t="s">
        <v>17</v>
      </c>
      <c r="I8416" t="str">
        <f>"063432012303"</f>
        <v>063432012303</v>
      </c>
    </row>
    <row r="8417" spans="1:9" x14ac:dyDescent="0.25">
      <c r="A8417" t="s">
        <v>7329</v>
      </c>
      <c r="B8417" t="s">
        <v>13</v>
      </c>
      <c r="C8417">
        <v>7.5</v>
      </c>
      <c r="D8417">
        <v>8</v>
      </c>
      <c r="E8417" t="s">
        <v>17</v>
      </c>
      <c r="F8417">
        <v>25.73</v>
      </c>
      <c r="G8417">
        <v>22.38</v>
      </c>
      <c r="H8417" t="s">
        <v>17</v>
      </c>
      <c r="I8417" t="str">
        <f>"063432012630"</f>
        <v>063432012630</v>
      </c>
    </row>
    <row r="8418" spans="1:9" x14ac:dyDescent="0.25">
      <c r="A8418" t="s">
        <v>7330</v>
      </c>
      <c r="B8418" t="s">
        <v>13</v>
      </c>
      <c r="C8418">
        <v>2</v>
      </c>
      <c r="D8418" t="s">
        <v>14</v>
      </c>
      <c r="E8418" t="s">
        <v>14</v>
      </c>
      <c r="F8418">
        <v>21</v>
      </c>
      <c r="G8418" t="s">
        <v>14</v>
      </c>
      <c r="H8418" t="s">
        <v>14</v>
      </c>
      <c r="I8418" t="str">
        <f>"063432013033"</f>
        <v>063432013033</v>
      </c>
    </row>
    <row r="8419" spans="1:9" x14ac:dyDescent="0.25">
      <c r="A8419" t="s">
        <v>7331</v>
      </c>
      <c r="B8419" t="s">
        <v>13</v>
      </c>
      <c r="C8419">
        <v>32.39</v>
      </c>
      <c r="D8419">
        <v>26.48</v>
      </c>
      <c r="E8419" t="s">
        <v>17</v>
      </c>
      <c r="F8419">
        <v>23.96</v>
      </c>
      <c r="G8419">
        <v>24.24</v>
      </c>
      <c r="H8419" t="s">
        <v>17</v>
      </c>
      <c r="I8419" t="str">
        <f>"063432011140"</f>
        <v>063432011140</v>
      </c>
    </row>
    <row r="8420" spans="1:9" x14ac:dyDescent="0.25">
      <c r="A8420" t="s">
        <v>7332</v>
      </c>
      <c r="B8420" t="s">
        <v>13</v>
      </c>
      <c r="C8420">
        <v>23.92</v>
      </c>
      <c r="D8420">
        <v>24.84</v>
      </c>
      <c r="E8420" t="s">
        <v>17</v>
      </c>
      <c r="F8420">
        <v>17.18</v>
      </c>
      <c r="G8420">
        <v>16.43</v>
      </c>
      <c r="H8420" t="s">
        <v>17</v>
      </c>
      <c r="I8420" t="str">
        <f>"063432011141"</f>
        <v>063432011141</v>
      </c>
    </row>
    <row r="8421" spans="1:9" x14ac:dyDescent="0.25">
      <c r="A8421" t="s">
        <v>7333</v>
      </c>
      <c r="B8421" t="s">
        <v>13</v>
      </c>
      <c r="C8421">
        <v>16</v>
      </c>
      <c r="D8421">
        <v>16</v>
      </c>
      <c r="E8421" t="s">
        <v>17</v>
      </c>
      <c r="F8421">
        <v>11.25</v>
      </c>
      <c r="G8421">
        <v>12</v>
      </c>
      <c r="H8421" t="s">
        <v>17</v>
      </c>
      <c r="I8421" t="str">
        <f>"063432011154"</f>
        <v>063432011154</v>
      </c>
    </row>
    <row r="8422" spans="1:9" x14ac:dyDescent="0.25">
      <c r="A8422" t="s">
        <v>7334</v>
      </c>
      <c r="B8422" t="s">
        <v>13</v>
      </c>
      <c r="C8422">
        <v>25.13</v>
      </c>
      <c r="D8422">
        <v>24.62</v>
      </c>
      <c r="E8422" t="s">
        <v>17</v>
      </c>
      <c r="F8422">
        <v>17.75</v>
      </c>
      <c r="G8422">
        <v>18.68</v>
      </c>
      <c r="H8422" t="s">
        <v>17</v>
      </c>
      <c r="I8422" t="str">
        <f>"063432011144"</f>
        <v>063432011144</v>
      </c>
    </row>
    <row r="8423" spans="1:9" x14ac:dyDescent="0.25">
      <c r="A8423" t="s">
        <v>7335</v>
      </c>
      <c r="B8423" t="s">
        <v>13</v>
      </c>
      <c r="C8423">
        <v>2.48</v>
      </c>
      <c r="D8423">
        <v>1</v>
      </c>
      <c r="E8423" t="s">
        <v>17</v>
      </c>
      <c r="F8423">
        <v>45.16</v>
      </c>
      <c r="G8423">
        <v>97</v>
      </c>
      <c r="H8423" t="s">
        <v>17</v>
      </c>
      <c r="I8423" t="str">
        <f>"062610012408"</f>
        <v>062610012408</v>
      </c>
    </row>
    <row r="8424" spans="1:9" x14ac:dyDescent="0.25">
      <c r="A8424" t="s">
        <v>7336</v>
      </c>
      <c r="B8424" t="s">
        <v>13</v>
      </c>
      <c r="C8424">
        <v>32.11</v>
      </c>
      <c r="D8424">
        <v>28.11</v>
      </c>
      <c r="E8424" t="s">
        <v>17</v>
      </c>
      <c r="F8424">
        <v>19.71</v>
      </c>
      <c r="G8424">
        <v>18.18</v>
      </c>
      <c r="H8424" t="s">
        <v>17</v>
      </c>
      <c r="I8424" t="str">
        <f>"063432011153"</f>
        <v>063432011153</v>
      </c>
    </row>
    <row r="8425" spans="1:9" x14ac:dyDescent="0.25">
      <c r="A8425" t="s">
        <v>7337</v>
      </c>
      <c r="B8425" t="s">
        <v>13</v>
      </c>
      <c r="C8425">
        <v>57.94</v>
      </c>
      <c r="D8425">
        <v>59.42</v>
      </c>
      <c r="E8425" t="s">
        <v>17</v>
      </c>
      <c r="F8425">
        <v>23.28</v>
      </c>
      <c r="G8425">
        <v>23.02</v>
      </c>
      <c r="H8425" t="s">
        <v>17</v>
      </c>
      <c r="I8425" t="str">
        <f>"063432008962"</f>
        <v>063432008962</v>
      </c>
    </row>
    <row r="8426" spans="1:9" x14ac:dyDescent="0.25">
      <c r="A8426" t="s">
        <v>7338</v>
      </c>
      <c r="B8426" t="s">
        <v>13</v>
      </c>
      <c r="C8426">
        <v>6.25</v>
      </c>
      <c r="D8426">
        <v>5.5</v>
      </c>
      <c r="E8426" t="s">
        <v>17</v>
      </c>
      <c r="F8426">
        <v>21.92</v>
      </c>
      <c r="G8426">
        <v>12.73</v>
      </c>
      <c r="H8426" t="s">
        <v>17</v>
      </c>
      <c r="I8426" t="str">
        <f>"062610012767"</f>
        <v>062610012767</v>
      </c>
    </row>
    <row r="8427" spans="1:9" x14ac:dyDescent="0.25">
      <c r="A8427" t="s">
        <v>7339</v>
      </c>
      <c r="B8427" t="s">
        <v>13</v>
      </c>
      <c r="C8427">
        <v>60.93</v>
      </c>
      <c r="D8427">
        <v>59.47</v>
      </c>
      <c r="E8427" t="s">
        <v>17</v>
      </c>
      <c r="F8427">
        <v>26.23</v>
      </c>
      <c r="G8427">
        <v>26.64</v>
      </c>
      <c r="H8427" t="s">
        <v>17</v>
      </c>
      <c r="I8427" t="str">
        <f>"063438005577"</f>
        <v>063438005577</v>
      </c>
    </row>
    <row r="8428" spans="1:9" x14ac:dyDescent="0.25">
      <c r="A8428" t="s">
        <v>7340</v>
      </c>
      <c r="B8428" t="s">
        <v>13</v>
      </c>
      <c r="C8428">
        <v>48.81</v>
      </c>
      <c r="D8428">
        <v>50.4</v>
      </c>
      <c r="E8428" t="s">
        <v>17</v>
      </c>
      <c r="F8428">
        <v>25.63</v>
      </c>
      <c r="G8428">
        <v>25.71</v>
      </c>
      <c r="H8428" t="s">
        <v>17</v>
      </c>
      <c r="I8428" t="str">
        <f>"060561000514"</f>
        <v>060561000514</v>
      </c>
    </row>
    <row r="8429" spans="1:9" x14ac:dyDescent="0.25">
      <c r="A8429" t="s">
        <v>7341</v>
      </c>
      <c r="B8429" t="s">
        <v>13</v>
      </c>
      <c r="C8429">
        <v>43.5</v>
      </c>
      <c r="D8429">
        <v>40.6</v>
      </c>
      <c r="E8429" t="s">
        <v>17</v>
      </c>
      <c r="F8429">
        <v>30.6</v>
      </c>
      <c r="G8429">
        <v>30.17</v>
      </c>
      <c r="H8429" t="s">
        <v>17</v>
      </c>
      <c r="I8429" t="str">
        <f>"063488011771"</f>
        <v>063488011771</v>
      </c>
    </row>
    <row r="8430" spans="1:9" x14ac:dyDescent="0.25">
      <c r="A8430" t="s">
        <v>7342</v>
      </c>
      <c r="B8430" t="s">
        <v>13</v>
      </c>
      <c r="C8430">
        <v>48.19</v>
      </c>
      <c r="D8430">
        <v>40.340000000000003</v>
      </c>
      <c r="E8430" t="s">
        <v>17</v>
      </c>
      <c r="F8430">
        <v>34.299999999999997</v>
      </c>
      <c r="G8430">
        <v>37.159999999999997</v>
      </c>
      <c r="H8430" t="s">
        <v>17</v>
      </c>
      <c r="I8430" t="str">
        <f>"063488011403"</f>
        <v>063488011403</v>
      </c>
    </row>
    <row r="8431" spans="1:9" x14ac:dyDescent="0.25">
      <c r="A8431" t="s">
        <v>7343</v>
      </c>
      <c r="B8431" t="s">
        <v>13</v>
      </c>
      <c r="C8431">
        <v>26</v>
      </c>
      <c r="D8431">
        <v>26</v>
      </c>
      <c r="E8431" t="s">
        <v>17</v>
      </c>
      <c r="F8431">
        <v>24.81</v>
      </c>
      <c r="G8431">
        <v>23.88</v>
      </c>
      <c r="H8431" t="s">
        <v>17</v>
      </c>
      <c r="I8431" t="str">
        <f>"062271003323"</f>
        <v>062271003323</v>
      </c>
    </row>
    <row r="8432" spans="1:9" x14ac:dyDescent="0.25">
      <c r="A8432" t="s">
        <v>7344</v>
      </c>
      <c r="B8432" t="s">
        <v>13</v>
      </c>
      <c r="C8432">
        <v>14.5</v>
      </c>
      <c r="D8432" t="s">
        <v>14</v>
      </c>
      <c r="E8432" t="s">
        <v>14</v>
      </c>
      <c r="F8432">
        <v>27.66</v>
      </c>
      <c r="G8432" t="s">
        <v>14</v>
      </c>
      <c r="H8432" t="s">
        <v>14</v>
      </c>
      <c r="I8432" t="str">
        <f>"062271013108"</f>
        <v>062271013108</v>
      </c>
    </row>
    <row r="8433" spans="1:9" x14ac:dyDescent="0.25">
      <c r="A8433" t="s">
        <v>7345</v>
      </c>
      <c r="B8433" t="s">
        <v>13</v>
      </c>
      <c r="C8433">
        <v>42.5</v>
      </c>
      <c r="D8433">
        <v>70.02</v>
      </c>
      <c r="E8433" t="s">
        <v>17</v>
      </c>
      <c r="F8433">
        <v>22.35</v>
      </c>
      <c r="G8433">
        <v>20.34</v>
      </c>
      <c r="H8433" t="s">
        <v>17</v>
      </c>
      <c r="I8433" t="str">
        <f>"062271003324"</f>
        <v>062271003324</v>
      </c>
    </row>
    <row r="8434" spans="1:9" x14ac:dyDescent="0.25">
      <c r="A8434" t="s">
        <v>7346</v>
      </c>
      <c r="B8434" t="s">
        <v>13</v>
      </c>
      <c r="C8434">
        <v>96.5</v>
      </c>
      <c r="D8434">
        <v>107.1</v>
      </c>
      <c r="E8434" t="s">
        <v>17</v>
      </c>
      <c r="F8434">
        <v>26.68</v>
      </c>
      <c r="G8434">
        <v>25.67</v>
      </c>
      <c r="H8434" t="s">
        <v>17</v>
      </c>
      <c r="I8434" t="str">
        <f>"062271003325"</f>
        <v>062271003325</v>
      </c>
    </row>
    <row r="8435" spans="1:9" x14ac:dyDescent="0.25">
      <c r="A8435" t="s">
        <v>7347</v>
      </c>
      <c r="B8435" t="s">
        <v>13</v>
      </c>
      <c r="C8435">
        <v>13</v>
      </c>
      <c r="D8435">
        <v>13</v>
      </c>
      <c r="E8435" t="s">
        <v>17</v>
      </c>
      <c r="F8435">
        <v>21.54</v>
      </c>
      <c r="G8435">
        <v>21.85</v>
      </c>
      <c r="H8435" t="s">
        <v>17</v>
      </c>
      <c r="I8435" t="str">
        <f>"063441005663"</f>
        <v>063441005663</v>
      </c>
    </row>
    <row r="8436" spans="1:9" x14ac:dyDescent="0.25">
      <c r="A8436" t="s">
        <v>7348</v>
      </c>
      <c r="B8436" t="s">
        <v>13</v>
      </c>
      <c r="C8436" t="s">
        <v>17</v>
      </c>
      <c r="D8436" t="s">
        <v>17</v>
      </c>
      <c r="E8436" t="s">
        <v>17</v>
      </c>
      <c r="F8436" t="s">
        <v>17</v>
      </c>
      <c r="G8436" t="s">
        <v>17</v>
      </c>
      <c r="H8436" t="s">
        <v>17</v>
      </c>
      <c r="I8436" t="str">
        <f>"060013911410"</f>
        <v>060013911410</v>
      </c>
    </row>
    <row r="8437" spans="1:9" x14ac:dyDescent="0.25">
      <c r="A8437" t="s">
        <v>7349</v>
      </c>
      <c r="B8437" t="s">
        <v>13</v>
      </c>
      <c r="C8437">
        <v>14.5</v>
      </c>
      <c r="D8437">
        <v>9.8699999999999992</v>
      </c>
      <c r="E8437" t="s">
        <v>17</v>
      </c>
      <c r="F8437">
        <v>10.34</v>
      </c>
      <c r="G8437">
        <v>19.45</v>
      </c>
      <c r="H8437" t="s">
        <v>17</v>
      </c>
      <c r="I8437" t="str">
        <f>"060141112672"</f>
        <v>060141112672</v>
      </c>
    </row>
    <row r="8438" spans="1:9" x14ac:dyDescent="0.25">
      <c r="A8438" t="s">
        <v>7350</v>
      </c>
      <c r="B8438" t="s">
        <v>13</v>
      </c>
      <c r="C8438">
        <v>6</v>
      </c>
      <c r="D8438">
        <v>3</v>
      </c>
      <c r="E8438" t="s">
        <v>17</v>
      </c>
      <c r="F8438">
        <v>17.829999999999998</v>
      </c>
      <c r="G8438">
        <v>19</v>
      </c>
      <c r="H8438" t="s">
        <v>17</v>
      </c>
      <c r="I8438" t="str">
        <f>"063441012788"</f>
        <v>063441012788</v>
      </c>
    </row>
    <row r="8439" spans="1:9" x14ac:dyDescent="0.25">
      <c r="A8439" t="s">
        <v>7351</v>
      </c>
      <c r="B8439" t="s">
        <v>13</v>
      </c>
      <c r="C8439">
        <v>30</v>
      </c>
      <c r="D8439">
        <v>30</v>
      </c>
      <c r="E8439" t="s">
        <v>17</v>
      </c>
      <c r="F8439">
        <v>22.6</v>
      </c>
      <c r="G8439">
        <v>22.37</v>
      </c>
      <c r="H8439" t="s">
        <v>17</v>
      </c>
      <c r="I8439" t="str">
        <f>"062271003326"</f>
        <v>062271003326</v>
      </c>
    </row>
    <row r="8440" spans="1:9" x14ac:dyDescent="0.25">
      <c r="A8440" t="s">
        <v>7352</v>
      </c>
      <c r="B8440" t="s">
        <v>13</v>
      </c>
      <c r="C8440">
        <v>20.99</v>
      </c>
      <c r="D8440">
        <v>25.64</v>
      </c>
      <c r="E8440" t="s">
        <v>17</v>
      </c>
      <c r="F8440">
        <v>26.35</v>
      </c>
      <c r="G8440">
        <v>21.65</v>
      </c>
      <c r="H8440" t="s">
        <v>17</v>
      </c>
      <c r="I8440" t="str">
        <f>"060330009303"</f>
        <v>060330009303</v>
      </c>
    </row>
    <row r="8441" spans="1:9" x14ac:dyDescent="0.25">
      <c r="A8441" t="s">
        <v>7353</v>
      </c>
      <c r="B8441" t="s">
        <v>13</v>
      </c>
      <c r="C8441">
        <v>81.14</v>
      </c>
      <c r="D8441">
        <v>82.78</v>
      </c>
      <c r="E8441" t="s">
        <v>17</v>
      </c>
      <c r="F8441">
        <v>29.55</v>
      </c>
      <c r="G8441">
        <v>28.79</v>
      </c>
      <c r="H8441" t="s">
        <v>17</v>
      </c>
      <c r="I8441" t="str">
        <f>"060015310931"</f>
        <v>060015310931</v>
      </c>
    </row>
    <row r="8442" spans="1:9" x14ac:dyDescent="0.25">
      <c r="A8442" t="s">
        <v>7354</v>
      </c>
      <c r="B8442" t="s">
        <v>13</v>
      </c>
      <c r="C8442">
        <v>7</v>
      </c>
      <c r="D8442">
        <v>6.6</v>
      </c>
      <c r="E8442" t="s">
        <v>17</v>
      </c>
      <c r="F8442">
        <v>20.43</v>
      </c>
      <c r="G8442">
        <v>20</v>
      </c>
      <c r="H8442" t="s">
        <v>17</v>
      </c>
      <c r="I8442" t="str">
        <f>"062052002474"</f>
        <v>062052002474</v>
      </c>
    </row>
    <row r="8443" spans="1:9" x14ac:dyDescent="0.25">
      <c r="A8443" t="s">
        <v>7355</v>
      </c>
      <c r="B8443" t="s">
        <v>13</v>
      </c>
      <c r="C8443" t="s">
        <v>17</v>
      </c>
      <c r="D8443" t="s">
        <v>14</v>
      </c>
      <c r="E8443" t="s">
        <v>14</v>
      </c>
      <c r="F8443" t="s">
        <v>17</v>
      </c>
      <c r="G8443" t="s">
        <v>14</v>
      </c>
      <c r="H8443" t="s">
        <v>14</v>
      </c>
      <c r="I8443" t="str">
        <f>"060384013496"</f>
        <v>060384013496</v>
      </c>
    </row>
    <row r="8444" spans="1:9" x14ac:dyDescent="0.25">
      <c r="A8444" t="s">
        <v>7356</v>
      </c>
      <c r="B8444" t="s">
        <v>13</v>
      </c>
      <c r="C8444">
        <v>84.86</v>
      </c>
      <c r="D8444">
        <v>109.5</v>
      </c>
      <c r="E8444" t="s">
        <v>17</v>
      </c>
      <c r="F8444">
        <v>25.34</v>
      </c>
      <c r="G8444">
        <v>25.05</v>
      </c>
      <c r="H8444" t="s">
        <v>17</v>
      </c>
      <c r="I8444" t="str">
        <f>"063417005385"</f>
        <v>063417005385</v>
      </c>
    </row>
    <row r="8445" spans="1:9" x14ac:dyDescent="0.25">
      <c r="A8445" t="s">
        <v>7357</v>
      </c>
      <c r="B8445" t="s">
        <v>13</v>
      </c>
      <c r="C8445">
        <v>39.11</v>
      </c>
      <c r="D8445">
        <v>38.799999999999997</v>
      </c>
      <c r="E8445" t="s">
        <v>17</v>
      </c>
      <c r="F8445">
        <v>26.67</v>
      </c>
      <c r="G8445">
        <v>27.24</v>
      </c>
      <c r="H8445" t="s">
        <v>17</v>
      </c>
      <c r="I8445" t="str">
        <f>"060429011013"</f>
        <v>060429011013</v>
      </c>
    </row>
    <row r="8446" spans="1:9" x14ac:dyDescent="0.25">
      <c r="A8446" t="s">
        <v>7358</v>
      </c>
      <c r="B8446" t="s">
        <v>13</v>
      </c>
      <c r="C8446" t="s">
        <v>17</v>
      </c>
      <c r="D8446" t="s">
        <v>14</v>
      </c>
      <c r="E8446" t="s">
        <v>14</v>
      </c>
      <c r="F8446" t="s">
        <v>17</v>
      </c>
      <c r="G8446" t="s">
        <v>14</v>
      </c>
      <c r="H8446" t="s">
        <v>14</v>
      </c>
      <c r="I8446" t="str">
        <f>"063444013260"</f>
        <v>063444013260</v>
      </c>
    </row>
    <row r="8447" spans="1:9" x14ac:dyDescent="0.25">
      <c r="A8447" t="s">
        <v>7359</v>
      </c>
      <c r="B8447" t="s">
        <v>13</v>
      </c>
      <c r="C8447">
        <v>19</v>
      </c>
      <c r="D8447">
        <v>18</v>
      </c>
      <c r="E8447" t="s">
        <v>17</v>
      </c>
      <c r="F8447">
        <v>29.95</v>
      </c>
      <c r="G8447">
        <v>31</v>
      </c>
      <c r="H8447" t="s">
        <v>17</v>
      </c>
      <c r="I8447" t="str">
        <f>"063444005693"</f>
        <v>063444005693</v>
      </c>
    </row>
    <row r="8448" spans="1:9" x14ac:dyDescent="0.25">
      <c r="A8448" t="s">
        <v>7360</v>
      </c>
      <c r="B8448" t="s">
        <v>13</v>
      </c>
      <c r="C8448">
        <v>79.680000000000007</v>
      </c>
      <c r="D8448">
        <v>81.319999999999993</v>
      </c>
      <c r="E8448" t="s">
        <v>17</v>
      </c>
      <c r="F8448">
        <v>29.69</v>
      </c>
      <c r="G8448">
        <v>27.74</v>
      </c>
      <c r="H8448" t="s">
        <v>17</v>
      </c>
      <c r="I8448" t="str">
        <f>"063444005694"</f>
        <v>063444005694</v>
      </c>
    </row>
    <row r="8449" spans="1:9" x14ac:dyDescent="0.25">
      <c r="A8449" t="s">
        <v>7361</v>
      </c>
      <c r="B8449" t="s">
        <v>13</v>
      </c>
      <c r="C8449">
        <v>6.4</v>
      </c>
      <c r="D8449">
        <v>5</v>
      </c>
      <c r="E8449" t="s">
        <v>14</v>
      </c>
      <c r="F8449">
        <v>28.28</v>
      </c>
      <c r="G8449">
        <v>25.8</v>
      </c>
      <c r="H8449" t="s">
        <v>14</v>
      </c>
      <c r="I8449" t="str">
        <f>"063444012794"</f>
        <v>063444012794</v>
      </c>
    </row>
    <row r="8450" spans="1:9" x14ac:dyDescent="0.25">
      <c r="A8450" t="s">
        <v>7362</v>
      </c>
      <c r="B8450" t="s">
        <v>13</v>
      </c>
      <c r="C8450">
        <v>30.42</v>
      </c>
      <c r="D8450">
        <v>24.14</v>
      </c>
      <c r="E8450" t="s">
        <v>17</v>
      </c>
      <c r="F8450">
        <v>26.5</v>
      </c>
      <c r="G8450">
        <v>28.91</v>
      </c>
      <c r="H8450" t="s">
        <v>17</v>
      </c>
      <c r="I8450" t="str">
        <f>"063444007219"</f>
        <v>063444007219</v>
      </c>
    </row>
    <row r="8451" spans="1:9" x14ac:dyDescent="0.25">
      <c r="A8451" t="s">
        <v>7363</v>
      </c>
      <c r="B8451" t="s">
        <v>13</v>
      </c>
      <c r="C8451">
        <v>4</v>
      </c>
      <c r="D8451">
        <v>3</v>
      </c>
      <c r="E8451" t="s">
        <v>17</v>
      </c>
      <c r="F8451">
        <v>28.25</v>
      </c>
      <c r="G8451">
        <v>33.67</v>
      </c>
      <c r="H8451" t="s">
        <v>17</v>
      </c>
      <c r="I8451" t="str">
        <f>"069103112662"</f>
        <v>069103112662</v>
      </c>
    </row>
    <row r="8452" spans="1:9" x14ac:dyDescent="0.25">
      <c r="A8452" t="s">
        <v>7364</v>
      </c>
      <c r="B8452" t="s">
        <v>13</v>
      </c>
      <c r="C8452">
        <v>51</v>
      </c>
      <c r="D8452">
        <v>52</v>
      </c>
      <c r="E8452" t="s">
        <v>17</v>
      </c>
      <c r="F8452">
        <v>20.100000000000001</v>
      </c>
      <c r="G8452">
        <v>20.29</v>
      </c>
      <c r="H8452" t="s">
        <v>17</v>
      </c>
      <c r="I8452" t="str">
        <f>"069103110650"</f>
        <v>069103110650</v>
      </c>
    </row>
    <row r="8453" spans="1:9" x14ac:dyDescent="0.25">
      <c r="A8453" t="s">
        <v>7365</v>
      </c>
      <c r="B8453" t="s">
        <v>13</v>
      </c>
      <c r="C8453" t="s">
        <v>17</v>
      </c>
      <c r="D8453" t="s">
        <v>17</v>
      </c>
      <c r="E8453" t="s">
        <v>17</v>
      </c>
      <c r="F8453" t="s">
        <v>17</v>
      </c>
      <c r="G8453" t="s">
        <v>17</v>
      </c>
      <c r="H8453" t="s">
        <v>17</v>
      </c>
      <c r="I8453" t="str">
        <f>"060014011424"</f>
        <v>060014011424</v>
      </c>
    </row>
    <row r="8454" spans="1:9" x14ac:dyDescent="0.25">
      <c r="A8454" t="s">
        <v>7366</v>
      </c>
      <c r="B8454" t="s">
        <v>13</v>
      </c>
      <c r="C8454">
        <v>7.4</v>
      </c>
      <c r="D8454">
        <v>54</v>
      </c>
      <c r="E8454" t="s">
        <v>17</v>
      </c>
      <c r="F8454">
        <v>67.16</v>
      </c>
      <c r="G8454">
        <v>9.17</v>
      </c>
      <c r="H8454" t="s">
        <v>17</v>
      </c>
      <c r="I8454" t="str">
        <f>"069103107179"</f>
        <v>069103107179</v>
      </c>
    </row>
    <row r="8455" spans="1:9" x14ac:dyDescent="0.25">
      <c r="A8455" t="s">
        <v>7367</v>
      </c>
      <c r="B8455" t="s">
        <v>13</v>
      </c>
      <c r="C8455">
        <v>27.53</v>
      </c>
      <c r="D8455">
        <v>32.58</v>
      </c>
      <c r="E8455" t="s">
        <v>17</v>
      </c>
      <c r="F8455">
        <v>31.38</v>
      </c>
      <c r="G8455">
        <v>26.92</v>
      </c>
      <c r="H8455" t="s">
        <v>17</v>
      </c>
      <c r="I8455" t="str">
        <f>"063801008340"</f>
        <v>063801008340</v>
      </c>
    </row>
    <row r="8456" spans="1:9" x14ac:dyDescent="0.25">
      <c r="A8456" t="s">
        <v>7367</v>
      </c>
      <c r="B8456" t="s">
        <v>13</v>
      </c>
      <c r="C8456">
        <v>19.989999999999998</v>
      </c>
      <c r="D8456">
        <v>22.68</v>
      </c>
      <c r="E8456" t="s">
        <v>17</v>
      </c>
      <c r="F8456">
        <v>24.86</v>
      </c>
      <c r="G8456">
        <v>23.81</v>
      </c>
      <c r="H8456" t="s">
        <v>17</v>
      </c>
      <c r="I8456" t="str">
        <f>"063386005312"</f>
        <v>063386005312</v>
      </c>
    </row>
    <row r="8457" spans="1:9" x14ac:dyDescent="0.25">
      <c r="A8457" t="s">
        <v>7367</v>
      </c>
      <c r="B8457" t="s">
        <v>13</v>
      </c>
      <c r="C8457">
        <v>44</v>
      </c>
      <c r="D8457">
        <v>43</v>
      </c>
      <c r="E8457" t="s">
        <v>17</v>
      </c>
      <c r="F8457">
        <v>18.09</v>
      </c>
      <c r="G8457">
        <v>18.37</v>
      </c>
      <c r="H8457" t="s">
        <v>17</v>
      </c>
      <c r="I8457" t="str">
        <f>"069113410217"</f>
        <v>069113410217</v>
      </c>
    </row>
    <row r="8458" spans="1:9" x14ac:dyDescent="0.25">
      <c r="A8458" t="s">
        <v>7368</v>
      </c>
      <c r="B8458" t="s">
        <v>13</v>
      </c>
      <c r="C8458">
        <v>4.2</v>
      </c>
      <c r="D8458">
        <v>3.3</v>
      </c>
      <c r="E8458" t="s">
        <v>17</v>
      </c>
      <c r="F8458">
        <v>13.1</v>
      </c>
      <c r="G8458">
        <v>18.79</v>
      </c>
      <c r="H8458" t="s">
        <v>17</v>
      </c>
      <c r="I8458" t="str">
        <f>"062423007780"</f>
        <v>062423007780</v>
      </c>
    </row>
    <row r="8459" spans="1:9" x14ac:dyDescent="0.25">
      <c r="A8459" t="s">
        <v>7369</v>
      </c>
      <c r="B8459" t="s">
        <v>13</v>
      </c>
      <c r="C8459" t="s">
        <v>17</v>
      </c>
      <c r="D8459">
        <v>5</v>
      </c>
      <c r="E8459" t="s">
        <v>17</v>
      </c>
      <c r="F8459" t="s">
        <v>17</v>
      </c>
      <c r="G8459">
        <v>14.4</v>
      </c>
      <c r="H8459" t="s">
        <v>17</v>
      </c>
      <c r="I8459" t="str">
        <f>"062991009175"</f>
        <v>062991009175</v>
      </c>
    </row>
    <row r="8460" spans="1:9" x14ac:dyDescent="0.25">
      <c r="A8460" t="s">
        <v>7370</v>
      </c>
      <c r="B8460" t="s">
        <v>13</v>
      </c>
      <c r="C8460" t="s">
        <v>17</v>
      </c>
      <c r="D8460" t="s">
        <v>14</v>
      </c>
      <c r="E8460" t="s">
        <v>14</v>
      </c>
      <c r="F8460" t="s">
        <v>17</v>
      </c>
      <c r="G8460" t="s">
        <v>14</v>
      </c>
      <c r="H8460" t="s">
        <v>14</v>
      </c>
      <c r="I8460" t="str">
        <f>"062991013196"</f>
        <v>062991013196</v>
      </c>
    </row>
    <row r="8461" spans="1:9" x14ac:dyDescent="0.25">
      <c r="A8461" t="s">
        <v>7371</v>
      </c>
      <c r="B8461" t="s">
        <v>13</v>
      </c>
      <c r="C8461">
        <v>54.47</v>
      </c>
      <c r="D8461">
        <v>54</v>
      </c>
      <c r="E8461" t="s">
        <v>17</v>
      </c>
      <c r="F8461">
        <v>20.54</v>
      </c>
      <c r="G8461">
        <v>21.28</v>
      </c>
      <c r="H8461" t="s">
        <v>17</v>
      </c>
      <c r="I8461" t="str">
        <f>"063459005736"</f>
        <v>063459005736</v>
      </c>
    </row>
    <row r="8462" spans="1:9" x14ac:dyDescent="0.25">
      <c r="A8462" t="s">
        <v>7372</v>
      </c>
      <c r="B8462" t="s">
        <v>13</v>
      </c>
      <c r="C8462">
        <v>54</v>
      </c>
      <c r="D8462">
        <v>52</v>
      </c>
      <c r="E8462" t="s">
        <v>17</v>
      </c>
      <c r="F8462">
        <v>22.31</v>
      </c>
      <c r="G8462">
        <v>22.52</v>
      </c>
      <c r="H8462" t="s">
        <v>17</v>
      </c>
      <c r="I8462" t="str">
        <f>"064200007533"</f>
        <v>064200007533</v>
      </c>
    </row>
    <row r="8463" spans="1:9" x14ac:dyDescent="0.25">
      <c r="A8463" t="s">
        <v>7373</v>
      </c>
      <c r="B8463" t="s">
        <v>13</v>
      </c>
      <c r="C8463">
        <v>3.85</v>
      </c>
      <c r="D8463">
        <v>3.8</v>
      </c>
      <c r="E8463" t="s">
        <v>17</v>
      </c>
      <c r="F8463">
        <v>7.53</v>
      </c>
      <c r="G8463">
        <v>10.53</v>
      </c>
      <c r="H8463" t="s">
        <v>17</v>
      </c>
      <c r="I8463" t="str">
        <f>"063459010667"</f>
        <v>063459010667</v>
      </c>
    </row>
    <row r="8464" spans="1:9" x14ac:dyDescent="0.25">
      <c r="A8464" t="s">
        <v>7374</v>
      </c>
      <c r="B8464" t="s">
        <v>13</v>
      </c>
      <c r="C8464">
        <v>2.15</v>
      </c>
      <c r="D8464">
        <v>3.2</v>
      </c>
      <c r="E8464" t="s">
        <v>17</v>
      </c>
      <c r="F8464">
        <v>6.98</v>
      </c>
      <c r="G8464">
        <v>6.56</v>
      </c>
      <c r="H8464" t="s">
        <v>17</v>
      </c>
      <c r="I8464" t="str">
        <f>"063459011456"</f>
        <v>063459011456</v>
      </c>
    </row>
    <row r="8465" spans="1:9" x14ac:dyDescent="0.25">
      <c r="A8465" t="s">
        <v>7375</v>
      </c>
      <c r="B8465" t="s">
        <v>13</v>
      </c>
      <c r="C8465">
        <v>14</v>
      </c>
      <c r="D8465">
        <v>14.5</v>
      </c>
      <c r="E8465" t="s">
        <v>17</v>
      </c>
      <c r="F8465">
        <v>22.79</v>
      </c>
      <c r="G8465">
        <v>28.76</v>
      </c>
      <c r="H8465" t="s">
        <v>17</v>
      </c>
      <c r="I8465" t="str">
        <f>"061182010664"</f>
        <v>061182010664</v>
      </c>
    </row>
    <row r="8466" spans="1:9" x14ac:dyDescent="0.25">
      <c r="A8466" t="s">
        <v>7376</v>
      </c>
      <c r="B8466" t="s">
        <v>13</v>
      </c>
      <c r="C8466">
        <v>22</v>
      </c>
      <c r="D8466">
        <v>26.5</v>
      </c>
      <c r="E8466" t="s">
        <v>17</v>
      </c>
      <c r="F8466">
        <v>24.73</v>
      </c>
      <c r="G8466">
        <v>21.47</v>
      </c>
      <c r="H8466" t="s">
        <v>17</v>
      </c>
      <c r="I8466" t="str">
        <f>"063132004860"</f>
        <v>063132004860</v>
      </c>
    </row>
    <row r="8467" spans="1:9" x14ac:dyDescent="0.25">
      <c r="A8467" t="s">
        <v>7377</v>
      </c>
      <c r="B8467" t="s">
        <v>13</v>
      </c>
      <c r="C8467">
        <v>2</v>
      </c>
      <c r="D8467">
        <v>2</v>
      </c>
      <c r="E8467" t="s">
        <v>17</v>
      </c>
      <c r="F8467">
        <v>20</v>
      </c>
      <c r="G8467">
        <v>20</v>
      </c>
      <c r="H8467" t="s">
        <v>17</v>
      </c>
      <c r="I8467" t="str">
        <f>"063459002795"</f>
        <v>063459002795</v>
      </c>
    </row>
    <row r="8468" spans="1:9" x14ac:dyDescent="0.25">
      <c r="A8468" t="s">
        <v>7378</v>
      </c>
      <c r="B8468" t="s">
        <v>13</v>
      </c>
      <c r="C8468">
        <v>29</v>
      </c>
      <c r="D8468">
        <v>28.6</v>
      </c>
      <c r="E8468" t="s">
        <v>14</v>
      </c>
      <c r="F8468">
        <v>22.38</v>
      </c>
      <c r="G8468">
        <v>22.83</v>
      </c>
      <c r="H8468" t="s">
        <v>14</v>
      </c>
      <c r="I8468" t="str">
        <f>"062772012874"</f>
        <v>062772012874</v>
      </c>
    </row>
    <row r="8469" spans="1:9" x14ac:dyDescent="0.25">
      <c r="A8469" t="s">
        <v>7379</v>
      </c>
      <c r="B8469" t="s">
        <v>13</v>
      </c>
      <c r="C8469" t="s">
        <v>14</v>
      </c>
      <c r="D8469" t="s">
        <v>14</v>
      </c>
      <c r="E8469" t="s">
        <v>17</v>
      </c>
      <c r="F8469" t="s">
        <v>14</v>
      </c>
      <c r="G8469" t="s">
        <v>14</v>
      </c>
      <c r="H8469" t="s">
        <v>17</v>
      </c>
      <c r="I8469" t="str">
        <f>"062772004195"</f>
        <v>062772004195</v>
      </c>
    </row>
    <row r="8470" spans="1:9" x14ac:dyDescent="0.25">
      <c r="A8470" t="s">
        <v>7380</v>
      </c>
      <c r="B8470" t="s">
        <v>13</v>
      </c>
      <c r="C8470">
        <v>28</v>
      </c>
      <c r="D8470">
        <v>25.5</v>
      </c>
      <c r="E8470" t="s">
        <v>17</v>
      </c>
      <c r="F8470">
        <v>25.04</v>
      </c>
      <c r="G8470">
        <v>26.63</v>
      </c>
      <c r="H8470" t="s">
        <v>17</v>
      </c>
      <c r="I8470" t="str">
        <f>"062271003328"</f>
        <v>062271003328</v>
      </c>
    </row>
    <row r="8471" spans="1:9" x14ac:dyDescent="0.25">
      <c r="A8471" t="s">
        <v>7381</v>
      </c>
      <c r="B8471" t="s">
        <v>13</v>
      </c>
      <c r="C8471">
        <v>1.05</v>
      </c>
      <c r="D8471" t="s">
        <v>17</v>
      </c>
      <c r="E8471" t="s">
        <v>17</v>
      </c>
      <c r="F8471">
        <v>1.9</v>
      </c>
      <c r="G8471" t="s">
        <v>17</v>
      </c>
      <c r="H8471" t="s">
        <v>17</v>
      </c>
      <c r="I8471" t="str">
        <f>"060004206527"</f>
        <v>060004206527</v>
      </c>
    </row>
    <row r="8472" spans="1:9" x14ac:dyDescent="0.25">
      <c r="A8472" t="s">
        <v>7382</v>
      </c>
      <c r="B8472" t="s">
        <v>13</v>
      </c>
      <c r="C8472">
        <v>17.25</v>
      </c>
      <c r="D8472">
        <v>20.51</v>
      </c>
      <c r="E8472" t="s">
        <v>17</v>
      </c>
      <c r="F8472">
        <v>23.19</v>
      </c>
      <c r="G8472">
        <v>18.63</v>
      </c>
      <c r="H8472" t="s">
        <v>17</v>
      </c>
      <c r="I8472" t="str">
        <f>"069113610297"</f>
        <v>069113610297</v>
      </c>
    </row>
    <row r="8473" spans="1:9" x14ac:dyDescent="0.25">
      <c r="A8473" t="s">
        <v>7383</v>
      </c>
      <c r="B8473" t="s">
        <v>13</v>
      </c>
      <c r="C8473">
        <v>16.2</v>
      </c>
      <c r="D8473">
        <v>15.75</v>
      </c>
      <c r="E8473" t="s">
        <v>17</v>
      </c>
      <c r="F8473">
        <v>13.64</v>
      </c>
      <c r="G8473">
        <v>13.14</v>
      </c>
      <c r="H8473" t="s">
        <v>17</v>
      </c>
      <c r="I8473" t="str">
        <f>"063462008284"</f>
        <v>063462008284</v>
      </c>
    </row>
    <row r="8474" spans="1:9" x14ac:dyDescent="0.25">
      <c r="A8474" t="s">
        <v>7384</v>
      </c>
      <c r="B8474" t="s">
        <v>13</v>
      </c>
      <c r="C8474">
        <v>27.72</v>
      </c>
      <c r="D8474">
        <v>27.85</v>
      </c>
      <c r="E8474" t="s">
        <v>17</v>
      </c>
      <c r="F8474">
        <v>26.91</v>
      </c>
      <c r="G8474">
        <v>25.89</v>
      </c>
      <c r="H8474" t="s">
        <v>17</v>
      </c>
      <c r="I8474" t="str">
        <f>"060744000702"</f>
        <v>060744000702</v>
      </c>
    </row>
    <row r="8475" spans="1:9" x14ac:dyDescent="0.25">
      <c r="A8475" t="s">
        <v>7385</v>
      </c>
      <c r="B8475" t="s">
        <v>13</v>
      </c>
      <c r="C8475">
        <v>36.549999999999997</v>
      </c>
      <c r="D8475">
        <v>40</v>
      </c>
      <c r="E8475" t="s">
        <v>17</v>
      </c>
      <c r="F8475">
        <v>21.01</v>
      </c>
      <c r="G8475">
        <v>18.600000000000001</v>
      </c>
      <c r="H8475" t="s">
        <v>17</v>
      </c>
      <c r="I8475" t="str">
        <f>"063462005817"</f>
        <v>063462005817</v>
      </c>
    </row>
    <row r="8476" spans="1:9" x14ac:dyDescent="0.25">
      <c r="A8476" t="s">
        <v>7386</v>
      </c>
      <c r="B8476" t="s">
        <v>13</v>
      </c>
      <c r="C8476">
        <v>71.5</v>
      </c>
      <c r="D8476">
        <v>71.58</v>
      </c>
      <c r="E8476" t="s">
        <v>17</v>
      </c>
      <c r="F8476">
        <v>28.27</v>
      </c>
      <c r="G8476">
        <v>26.95</v>
      </c>
      <c r="H8476" t="s">
        <v>17</v>
      </c>
      <c r="I8476" t="str">
        <f>"060744011854"</f>
        <v>060744011854</v>
      </c>
    </row>
    <row r="8477" spans="1:9" x14ac:dyDescent="0.25">
      <c r="A8477" t="s">
        <v>7387</v>
      </c>
      <c r="B8477" t="s">
        <v>13</v>
      </c>
      <c r="C8477">
        <v>13</v>
      </c>
      <c r="D8477">
        <v>14.5</v>
      </c>
      <c r="E8477" t="s">
        <v>17</v>
      </c>
      <c r="F8477">
        <v>31.23</v>
      </c>
      <c r="G8477">
        <v>27.72</v>
      </c>
      <c r="H8477" t="s">
        <v>17</v>
      </c>
      <c r="I8477" t="str">
        <f>"060426010807"</f>
        <v>060426010807</v>
      </c>
    </row>
    <row r="8478" spans="1:9" x14ac:dyDescent="0.25">
      <c r="A8478" t="s">
        <v>7388</v>
      </c>
      <c r="B8478" t="s">
        <v>13</v>
      </c>
      <c r="C8478">
        <v>124.7</v>
      </c>
      <c r="D8478">
        <v>124.1</v>
      </c>
      <c r="E8478" t="s">
        <v>17</v>
      </c>
      <c r="F8478">
        <v>21.42</v>
      </c>
      <c r="G8478">
        <v>22.27</v>
      </c>
      <c r="H8478" t="s">
        <v>17</v>
      </c>
      <c r="I8478" t="str">
        <f>"063468005842"</f>
        <v>063468005842</v>
      </c>
    </row>
    <row r="8479" spans="1:9" x14ac:dyDescent="0.25">
      <c r="A8479" t="s">
        <v>7389</v>
      </c>
      <c r="B8479" t="s">
        <v>13</v>
      </c>
      <c r="C8479">
        <v>57.95</v>
      </c>
      <c r="D8479">
        <v>61.08</v>
      </c>
      <c r="E8479" t="s">
        <v>17</v>
      </c>
      <c r="F8479">
        <v>25.33</v>
      </c>
      <c r="G8479">
        <v>23.43</v>
      </c>
      <c r="H8479" t="s">
        <v>17</v>
      </c>
      <c r="I8479" t="str">
        <f>"063471005859"</f>
        <v>063471005859</v>
      </c>
    </row>
    <row r="8480" spans="1:9" x14ac:dyDescent="0.25">
      <c r="A8480" t="s">
        <v>7390</v>
      </c>
      <c r="B8480" t="s">
        <v>13</v>
      </c>
      <c r="C8480">
        <v>27</v>
      </c>
      <c r="D8480">
        <v>27</v>
      </c>
      <c r="E8480" t="s">
        <v>17</v>
      </c>
      <c r="F8480">
        <v>21.52</v>
      </c>
      <c r="G8480">
        <v>21.15</v>
      </c>
      <c r="H8480" t="s">
        <v>17</v>
      </c>
      <c r="I8480" t="str">
        <f>"063474005863"</f>
        <v>063474005863</v>
      </c>
    </row>
    <row r="8481" spans="1:9" x14ac:dyDescent="0.25">
      <c r="A8481" t="s">
        <v>7391</v>
      </c>
      <c r="B8481" t="s">
        <v>13</v>
      </c>
      <c r="C8481">
        <v>31.34</v>
      </c>
      <c r="D8481">
        <v>32.6</v>
      </c>
      <c r="E8481" t="s">
        <v>17</v>
      </c>
      <c r="F8481">
        <v>23.71</v>
      </c>
      <c r="G8481">
        <v>22.06</v>
      </c>
      <c r="H8481" t="s">
        <v>17</v>
      </c>
      <c r="I8481" t="str">
        <f>"063474005865"</f>
        <v>063474005865</v>
      </c>
    </row>
    <row r="8482" spans="1:9" x14ac:dyDescent="0.25">
      <c r="A8482" t="s">
        <v>7392</v>
      </c>
      <c r="B8482" t="s">
        <v>13</v>
      </c>
      <c r="C8482">
        <v>23</v>
      </c>
      <c r="D8482">
        <v>23.4</v>
      </c>
      <c r="E8482" t="s">
        <v>17</v>
      </c>
      <c r="F8482">
        <v>20.87</v>
      </c>
      <c r="G8482">
        <v>21.58</v>
      </c>
      <c r="H8482" t="s">
        <v>17</v>
      </c>
      <c r="I8482" t="str">
        <f>"063474005864"</f>
        <v>063474005864</v>
      </c>
    </row>
    <row r="8483" spans="1:9" x14ac:dyDescent="0.25">
      <c r="A8483" t="s">
        <v>7393</v>
      </c>
      <c r="B8483" t="s">
        <v>13</v>
      </c>
      <c r="C8483">
        <v>5.5</v>
      </c>
      <c r="D8483">
        <v>5</v>
      </c>
      <c r="E8483" t="s">
        <v>17</v>
      </c>
      <c r="F8483">
        <v>13.45</v>
      </c>
      <c r="G8483">
        <v>13</v>
      </c>
      <c r="H8483" t="s">
        <v>17</v>
      </c>
      <c r="I8483" t="str">
        <f>"063477005866"</f>
        <v>063477005866</v>
      </c>
    </row>
    <row r="8484" spans="1:9" x14ac:dyDescent="0.25">
      <c r="A8484" t="s">
        <v>7394</v>
      </c>
      <c r="B8484" t="s">
        <v>13</v>
      </c>
      <c r="C8484">
        <v>2.5099999999999998</v>
      </c>
      <c r="D8484">
        <v>16</v>
      </c>
      <c r="E8484" t="s">
        <v>17</v>
      </c>
      <c r="F8484">
        <v>49.8</v>
      </c>
      <c r="G8484">
        <v>7.44</v>
      </c>
      <c r="H8484" t="s">
        <v>17</v>
      </c>
      <c r="I8484" t="str">
        <f>"069103209247"</f>
        <v>069103209247</v>
      </c>
    </row>
    <row r="8485" spans="1:9" x14ac:dyDescent="0.25">
      <c r="A8485" t="s">
        <v>7395</v>
      </c>
      <c r="B8485" t="s">
        <v>13</v>
      </c>
      <c r="C8485">
        <v>6.49</v>
      </c>
      <c r="D8485">
        <v>7</v>
      </c>
      <c r="E8485" t="s">
        <v>17</v>
      </c>
      <c r="F8485">
        <v>24.96</v>
      </c>
      <c r="G8485">
        <v>23.14</v>
      </c>
      <c r="H8485" t="s">
        <v>17</v>
      </c>
      <c r="I8485" t="str">
        <f>"062274003484"</f>
        <v>062274003484</v>
      </c>
    </row>
    <row r="8486" spans="1:9" x14ac:dyDescent="0.25">
      <c r="A8486" t="s">
        <v>7396</v>
      </c>
      <c r="B8486" t="s">
        <v>13</v>
      </c>
      <c r="C8486">
        <v>12.1</v>
      </c>
      <c r="D8486">
        <v>11.55</v>
      </c>
      <c r="E8486" t="s">
        <v>17</v>
      </c>
      <c r="F8486">
        <v>24.38</v>
      </c>
      <c r="G8486">
        <v>26.75</v>
      </c>
      <c r="H8486" t="s">
        <v>17</v>
      </c>
      <c r="I8486" t="str">
        <f>"069103210655"</f>
        <v>069103210655</v>
      </c>
    </row>
    <row r="8487" spans="1:9" x14ac:dyDescent="0.25">
      <c r="A8487" t="s">
        <v>7397</v>
      </c>
      <c r="B8487" t="s">
        <v>13</v>
      </c>
      <c r="C8487">
        <v>2</v>
      </c>
      <c r="D8487">
        <v>2.0499999999999998</v>
      </c>
      <c r="E8487" t="s">
        <v>17</v>
      </c>
      <c r="F8487">
        <v>16.5</v>
      </c>
      <c r="G8487">
        <v>11.71</v>
      </c>
      <c r="H8487" t="s">
        <v>17</v>
      </c>
      <c r="I8487" t="str">
        <f>"069103209246"</f>
        <v>069103209246</v>
      </c>
    </row>
    <row r="8488" spans="1:9" x14ac:dyDescent="0.25">
      <c r="A8488" t="s">
        <v>7398</v>
      </c>
      <c r="B8488" t="s">
        <v>13</v>
      </c>
      <c r="C8488">
        <v>67.03</v>
      </c>
      <c r="D8488">
        <v>67.92</v>
      </c>
      <c r="E8488" t="s">
        <v>17</v>
      </c>
      <c r="F8488">
        <v>21.54</v>
      </c>
      <c r="G8488">
        <v>21.29</v>
      </c>
      <c r="H8488" t="s">
        <v>17</v>
      </c>
      <c r="I8488" t="str">
        <f>"063480005880"</f>
        <v>063480005880</v>
      </c>
    </row>
    <row r="8489" spans="1:9" x14ac:dyDescent="0.25">
      <c r="A8489" t="s">
        <v>7399</v>
      </c>
      <c r="B8489" t="s">
        <v>13</v>
      </c>
      <c r="C8489">
        <v>17.93</v>
      </c>
      <c r="D8489">
        <v>18.75</v>
      </c>
      <c r="E8489" t="s">
        <v>17</v>
      </c>
      <c r="F8489">
        <v>25.04</v>
      </c>
      <c r="G8489">
        <v>24.11</v>
      </c>
      <c r="H8489" t="s">
        <v>17</v>
      </c>
      <c r="I8489" t="str">
        <f>"062825004371"</f>
        <v>062825004371</v>
      </c>
    </row>
    <row r="8490" spans="1:9" x14ac:dyDescent="0.25">
      <c r="A8490" t="s">
        <v>7400</v>
      </c>
      <c r="B8490" t="s">
        <v>13</v>
      </c>
      <c r="C8490" t="s">
        <v>14</v>
      </c>
      <c r="D8490" t="s">
        <v>14</v>
      </c>
      <c r="E8490" t="s">
        <v>17</v>
      </c>
      <c r="F8490" t="s">
        <v>14</v>
      </c>
      <c r="G8490" t="s">
        <v>14</v>
      </c>
      <c r="H8490" t="s">
        <v>17</v>
      </c>
      <c r="I8490" t="str">
        <f>"063537009441"</f>
        <v>063537009441</v>
      </c>
    </row>
    <row r="8491" spans="1:9" x14ac:dyDescent="0.25">
      <c r="A8491" t="s">
        <v>7400</v>
      </c>
      <c r="B8491" t="s">
        <v>13</v>
      </c>
      <c r="C8491" t="s">
        <v>17</v>
      </c>
      <c r="D8491" t="s">
        <v>17</v>
      </c>
      <c r="E8491" t="s">
        <v>14</v>
      </c>
      <c r="F8491" t="s">
        <v>17</v>
      </c>
      <c r="G8491" t="s">
        <v>17</v>
      </c>
      <c r="H8491" t="s">
        <v>14</v>
      </c>
      <c r="I8491" t="str">
        <f>"060141409441"</f>
        <v>060141409441</v>
      </c>
    </row>
    <row r="8492" spans="1:9" x14ac:dyDescent="0.25">
      <c r="A8492" t="s">
        <v>7401</v>
      </c>
      <c r="B8492" t="s">
        <v>13</v>
      </c>
      <c r="C8492">
        <v>36</v>
      </c>
      <c r="D8492">
        <v>34.5</v>
      </c>
      <c r="E8492" t="s">
        <v>17</v>
      </c>
      <c r="F8492">
        <v>25.11</v>
      </c>
      <c r="G8492">
        <v>25.33</v>
      </c>
      <c r="H8492" t="s">
        <v>17</v>
      </c>
      <c r="I8492" t="str">
        <f>"063488005892"</f>
        <v>063488005892</v>
      </c>
    </row>
    <row r="8493" spans="1:9" x14ac:dyDescent="0.25">
      <c r="A8493" t="s">
        <v>7402</v>
      </c>
      <c r="B8493" t="s">
        <v>13</v>
      </c>
      <c r="C8493">
        <v>86.5</v>
      </c>
      <c r="D8493">
        <v>81</v>
      </c>
      <c r="E8493" t="s">
        <v>17</v>
      </c>
      <c r="F8493">
        <v>27.23</v>
      </c>
      <c r="G8493">
        <v>27.68</v>
      </c>
      <c r="H8493" t="s">
        <v>17</v>
      </c>
      <c r="I8493" t="str">
        <f>"063488005893"</f>
        <v>063488005893</v>
      </c>
    </row>
    <row r="8494" spans="1:9" x14ac:dyDescent="0.25">
      <c r="A8494" t="s">
        <v>7403</v>
      </c>
      <c r="B8494" t="s">
        <v>13</v>
      </c>
      <c r="C8494">
        <v>49.72</v>
      </c>
      <c r="D8494">
        <v>44.83</v>
      </c>
      <c r="E8494" t="s">
        <v>17</v>
      </c>
      <c r="F8494">
        <v>27.21</v>
      </c>
      <c r="G8494">
        <v>30.43</v>
      </c>
      <c r="H8494" t="s">
        <v>17</v>
      </c>
      <c r="I8494" t="str">
        <f>"063488005894"</f>
        <v>063488005894</v>
      </c>
    </row>
    <row r="8495" spans="1:9" x14ac:dyDescent="0.25">
      <c r="A8495" t="s">
        <v>7404</v>
      </c>
      <c r="B8495" t="s">
        <v>13</v>
      </c>
      <c r="C8495" t="s">
        <v>14</v>
      </c>
      <c r="D8495" t="s">
        <v>14</v>
      </c>
      <c r="E8495" t="s">
        <v>17</v>
      </c>
      <c r="F8495" t="s">
        <v>14</v>
      </c>
      <c r="G8495" t="s">
        <v>14</v>
      </c>
      <c r="H8495" t="s">
        <v>17</v>
      </c>
      <c r="I8495" t="str">
        <f>"063537006029"</f>
        <v>063537006029</v>
      </c>
    </row>
    <row r="8496" spans="1:9" x14ac:dyDescent="0.25">
      <c r="A8496" t="s">
        <v>7404</v>
      </c>
      <c r="B8496" t="s">
        <v>13</v>
      </c>
      <c r="C8496">
        <v>74.66</v>
      </c>
      <c r="D8496">
        <v>77.66</v>
      </c>
      <c r="E8496" t="s">
        <v>14</v>
      </c>
      <c r="F8496">
        <v>24.89</v>
      </c>
      <c r="G8496">
        <v>23.15</v>
      </c>
      <c r="H8496" t="s">
        <v>14</v>
      </c>
      <c r="I8496" t="str">
        <f>"060141406029"</f>
        <v>060141406029</v>
      </c>
    </row>
    <row r="8497" spans="1:9" x14ac:dyDescent="0.25">
      <c r="A8497" t="s">
        <v>7405</v>
      </c>
      <c r="B8497" t="s">
        <v>13</v>
      </c>
      <c r="C8497">
        <v>42.8</v>
      </c>
      <c r="D8497">
        <v>39.4</v>
      </c>
      <c r="E8497" t="s">
        <v>17</v>
      </c>
      <c r="F8497">
        <v>21.36</v>
      </c>
      <c r="G8497">
        <v>22.03</v>
      </c>
      <c r="H8497" t="s">
        <v>17</v>
      </c>
      <c r="I8497" t="str">
        <f>"062772004196"</f>
        <v>062772004196</v>
      </c>
    </row>
    <row r="8498" spans="1:9" x14ac:dyDescent="0.25">
      <c r="A8498" t="s">
        <v>7406</v>
      </c>
      <c r="B8498" t="s">
        <v>13</v>
      </c>
      <c r="C8498">
        <v>1.6</v>
      </c>
      <c r="D8498">
        <v>1.8</v>
      </c>
      <c r="E8498" t="s">
        <v>17</v>
      </c>
      <c r="F8498">
        <v>20</v>
      </c>
      <c r="G8498">
        <v>22.22</v>
      </c>
      <c r="H8498" t="s">
        <v>17</v>
      </c>
      <c r="I8498" t="str">
        <f>"062772012784"</f>
        <v>062772012784</v>
      </c>
    </row>
    <row r="8499" spans="1:9" x14ac:dyDescent="0.25">
      <c r="A8499" t="s">
        <v>7407</v>
      </c>
      <c r="B8499" t="s">
        <v>13</v>
      </c>
      <c r="C8499">
        <v>23</v>
      </c>
      <c r="D8499">
        <v>22</v>
      </c>
      <c r="E8499" t="s">
        <v>17</v>
      </c>
      <c r="F8499">
        <v>26.39</v>
      </c>
      <c r="G8499">
        <v>26.91</v>
      </c>
      <c r="H8499" t="s">
        <v>17</v>
      </c>
      <c r="I8499" t="str">
        <f>"060807000780"</f>
        <v>060807000780</v>
      </c>
    </row>
    <row r="8500" spans="1:9" x14ac:dyDescent="0.25">
      <c r="A8500" t="s">
        <v>7408</v>
      </c>
      <c r="B8500" t="s">
        <v>13</v>
      </c>
      <c r="C8500">
        <v>52.64</v>
      </c>
      <c r="D8500">
        <v>52.04</v>
      </c>
      <c r="E8500" t="s">
        <v>17</v>
      </c>
      <c r="F8500">
        <v>22.13</v>
      </c>
      <c r="G8500">
        <v>21.2</v>
      </c>
      <c r="H8500" t="s">
        <v>17</v>
      </c>
      <c r="I8500" t="str">
        <f>"063486005886"</f>
        <v>063486005886</v>
      </c>
    </row>
    <row r="8501" spans="1:9" x14ac:dyDescent="0.25">
      <c r="A8501" t="s">
        <v>7409</v>
      </c>
      <c r="B8501" t="s">
        <v>13</v>
      </c>
      <c r="C8501">
        <v>19</v>
      </c>
      <c r="D8501">
        <v>19</v>
      </c>
      <c r="E8501" t="s">
        <v>17</v>
      </c>
      <c r="F8501">
        <v>25.89</v>
      </c>
      <c r="G8501">
        <v>26.68</v>
      </c>
      <c r="H8501" t="s">
        <v>17</v>
      </c>
      <c r="I8501" t="str">
        <f>"062583003883"</f>
        <v>062583003883</v>
      </c>
    </row>
    <row r="8502" spans="1:9" x14ac:dyDescent="0.25">
      <c r="A8502" t="s">
        <v>7410</v>
      </c>
      <c r="B8502" t="s">
        <v>13</v>
      </c>
      <c r="C8502" t="s">
        <v>17</v>
      </c>
      <c r="D8502" t="s">
        <v>17</v>
      </c>
      <c r="E8502" t="s">
        <v>17</v>
      </c>
      <c r="F8502" t="s">
        <v>17</v>
      </c>
      <c r="G8502" t="s">
        <v>17</v>
      </c>
      <c r="H8502" t="s">
        <v>17</v>
      </c>
      <c r="I8502" t="str">
        <f>"060014211433"</f>
        <v>060014211433</v>
      </c>
    </row>
    <row r="8503" spans="1:9" x14ac:dyDescent="0.25">
      <c r="A8503" t="s">
        <v>7411</v>
      </c>
      <c r="B8503" t="s">
        <v>13</v>
      </c>
      <c r="C8503">
        <v>33</v>
      </c>
      <c r="D8503">
        <v>43</v>
      </c>
      <c r="E8503" t="s">
        <v>17</v>
      </c>
      <c r="F8503">
        <v>7.55</v>
      </c>
      <c r="G8503">
        <v>5.72</v>
      </c>
      <c r="H8503" t="s">
        <v>17</v>
      </c>
      <c r="I8503" t="str">
        <f>"069103309043"</f>
        <v>069103309043</v>
      </c>
    </row>
    <row r="8504" spans="1:9" x14ac:dyDescent="0.25">
      <c r="A8504" t="s">
        <v>7412</v>
      </c>
      <c r="B8504" t="s">
        <v>13</v>
      </c>
      <c r="C8504">
        <v>66.989999999999995</v>
      </c>
      <c r="D8504">
        <v>68.3</v>
      </c>
      <c r="E8504" t="s">
        <v>17</v>
      </c>
      <c r="F8504">
        <v>21.02</v>
      </c>
      <c r="G8504">
        <v>20.100000000000001</v>
      </c>
      <c r="H8504" t="s">
        <v>17</v>
      </c>
      <c r="I8504" t="str">
        <f>"063498005926"</f>
        <v>063498005926</v>
      </c>
    </row>
    <row r="8505" spans="1:9" x14ac:dyDescent="0.25">
      <c r="A8505" t="s">
        <v>7413</v>
      </c>
      <c r="B8505" t="s">
        <v>13</v>
      </c>
      <c r="C8505">
        <v>22.53</v>
      </c>
      <c r="D8505">
        <v>20.53</v>
      </c>
      <c r="E8505" t="s">
        <v>17</v>
      </c>
      <c r="F8505">
        <v>22.19</v>
      </c>
      <c r="G8505">
        <v>24.21</v>
      </c>
      <c r="H8505" t="s">
        <v>17</v>
      </c>
      <c r="I8505" t="str">
        <f>"063492005915"</f>
        <v>063492005915</v>
      </c>
    </row>
    <row r="8506" spans="1:9" x14ac:dyDescent="0.25">
      <c r="A8506" t="s">
        <v>7414</v>
      </c>
      <c r="B8506" t="s">
        <v>13</v>
      </c>
      <c r="C8506" t="s">
        <v>17</v>
      </c>
      <c r="D8506" t="s">
        <v>14</v>
      </c>
      <c r="E8506" t="s">
        <v>14</v>
      </c>
      <c r="F8506" t="s">
        <v>17</v>
      </c>
      <c r="G8506" t="s">
        <v>14</v>
      </c>
      <c r="H8506" t="s">
        <v>14</v>
      </c>
      <c r="I8506" t="str">
        <f>"063492013289"</f>
        <v>063492013289</v>
      </c>
    </row>
    <row r="8507" spans="1:9" x14ac:dyDescent="0.25">
      <c r="A8507" t="s">
        <v>7415</v>
      </c>
      <c r="B8507" t="s">
        <v>13</v>
      </c>
      <c r="C8507" t="s">
        <v>17</v>
      </c>
      <c r="D8507" t="s">
        <v>17</v>
      </c>
      <c r="E8507" t="s">
        <v>17</v>
      </c>
      <c r="F8507" t="s">
        <v>17</v>
      </c>
      <c r="G8507" t="s">
        <v>17</v>
      </c>
      <c r="H8507" t="s">
        <v>17</v>
      </c>
      <c r="I8507" t="str">
        <f>"062922007809"</f>
        <v>062922007809</v>
      </c>
    </row>
    <row r="8508" spans="1:9" x14ac:dyDescent="0.25">
      <c r="A8508" t="s">
        <v>7416</v>
      </c>
      <c r="B8508" t="s">
        <v>13</v>
      </c>
      <c r="C8508" t="s">
        <v>17</v>
      </c>
      <c r="D8508" t="s">
        <v>14</v>
      </c>
      <c r="E8508" t="s">
        <v>14</v>
      </c>
      <c r="F8508" t="s">
        <v>17</v>
      </c>
      <c r="G8508" t="s">
        <v>14</v>
      </c>
      <c r="H8508" t="s">
        <v>14</v>
      </c>
      <c r="I8508" t="str">
        <f>"063441013548"</f>
        <v>063441013548</v>
      </c>
    </row>
    <row r="8509" spans="1:9" x14ac:dyDescent="0.25">
      <c r="A8509" t="s">
        <v>7417</v>
      </c>
      <c r="B8509" t="s">
        <v>13</v>
      </c>
      <c r="C8509" t="s">
        <v>14</v>
      </c>
      <c r="D8509" t="s">
        <v>14</v>
      </c>
      <c r="E8509" t="s">
        <v>17</v>
      </c>
      <c r="F8509" t="s">
        <v>14</v>
      </c>
      <c r="G8509" t="s">
        <v>14</v>
      </c>
      <c r="H8509" t="s">
        <v>17</v>
      </c>
      <c r="I8509" t="str">
        <f>"063501012146"</f>
        <v>063501012146</v>
      </c>
    </row>
    <row r="8510" spans="1:9" x14ac:dyDescent="0.25">
      <c r="A8510" t="s">
        <v>7418</v>
      </c>
      <c r="B8510" t="s">
        <v>13</v>
      </c>
      <c r="C8510">
        <v>19.7</v>
      </c>
      <c r="D8510">
        <v>20.7</v>
      </c>
      <c r="E8510" t="s">
        <v>17</v>
      </c>
      <c r="F8510">
        <v>21.47</v>
      </c>
      <c r="G8510">
        <v>19.760000000000002</v>
      </c>
      <c r="H8510" t="s">
        <v>17</v>
      </c>
      <c r="I8510" t="str">
        <f>"062400003611"</f>
        <v>062400003611</v>
      </c>
    </row>
    <row r="8511" spans="1:9" x14ac:dyDescent="0.25">
      <c r="A8511" t="s">
        <v>7418</v>
      </c>
      <c r="B8511" t="s">
        <v>13</v>
      </c>
      <c r="C8511">
        <v>18</v>
      </c>
      <c r="D8511">
        <v>19</v>
      </c>
      <c r="E8511" t="s">
        <v>17</v>
      </c>
      <c r="F8511">
        <v>24.17</v>
      </c>
      <c r="G8511">
        <v>23.53</v>
      </c>
      <c r="H8511" t="s">
        <v>17</v>
      </c>
      <c r="I8511" t="str">
        <f>"063846004088"</f>
        <v>063846004088</v>
      </c>
    </row>
    <row r="8512" spans="1:9" x14ac:dyDescent="0.25">
      <c r="A8512" t="s">
        <v>7418</v>
      </c>
      <c r="B8512" t="s">
        <v>13</v>
      </c>
      <c r="C8512">
        <v>19.649999999999999</v>
      </c>
      <c r="D8512">
        <v>19.649999999999999</v>
      </c>
      <c r="E8512" t="s">
        <v>17</v>
      </c>
      <c r="F8512">
        <v>28.4</v>
      </c>
      <c r="G8512">
        <v>30.69</v>
      </c>
      <c r="H8512" t="s">
        <v>17</v>
      </c>
      <c r="I8512" t="str">
        <f>"062133002555"</f>
        <v>062133002555</v>
      </c>
    </row>
    <row r="8513" spans="1:9" x14ac:dyDescent="0.25">
      <c r="A8513" t="s">
        <v>7418</v>
      </c>
      <c r="B8513" t="s">
        <v>13</v>
      </c>
      <c r="C8513">
        <v>46</v>
      </c>
      <c r="D8513">
        <v>46</v>
      </c>
      <c r="E8513" t="s">
        <v>17</v>
      </c>
      <c r="F8513">
        <v>23.15</v>
      </c>
      <c r="G8513">
        <v>23.43</v>
      </c>
      <c r="H8513" t="s">
        <v>17</v>
      </c>
      <c r="I8513" t="str">
        <f>"062271009573"</f>
        <v>062271009573</v>
      </c>
    </row>
    <row r="8514" spans="1:9" x14ac:dyDescent="0.25">
      <c r="A8514" t="s">
        <v>7419</v>
      </c>
      <c r="B8514" t="s">
        <v>13</v>
      </c>
      <c r="C8514">
        <v>34.450000000000003</v>
      </c>
      <c r="D8514">
        <v>30.33</v>
      </c>
      <c r="E8514" t="s">
        <v>17</v>
      </c>
      <c r="F8514">
        <v>20.78</v>
      </c>
      <c r="G8514">
        <v>25.09</v>
      </c>
      <c r="H8514" t="s">
        <v>17</v>
      </c>
      <c r="I8514" t="str">
        <f>"061350001544"</f>
        <v>061350001544</v>
      </c>
    </row>
    <row r="8515" spans="1:9" x14ac:dyDescent="0.25">
      <c r="A8515" t="s">
        <v>7420</v>
      </c>
      <c r="B8515" t="s">
        <v>13</v>
      </c>
      <c r="C8515">
        <v>10</v>
      </c>
      <c r="D8515">
        <v>10</v>
      </c>
      <c r="E8515" t="s">
        <v>17</v>
      </c>
      <c r="F8515">
        <v>24.2</v>
      </c>
      <c r="G8515">
        <v>24.9</v>
      </c>
      <c r="H8515" t="s">
        <v>17</v>
      </c>
      <c r="I8515" t="str">
        <f>"062271003329"</f>
        <v>062271003329</v>
      </c>
    </row>
    <row r="8516" spans="1:9" x14ac:dyDescent="0.25">
      <c r="A8516" t="s">
        <v>7421</v>
      </c>
      <c r="B8516" t="s">
        <v>13</v>
      </c>
      <c r="C8516">
        <v>8</v>
      </c>
      <c r="D8516">
        <v>8</v>
      </c>
      <c r="E8516" t="s">
        <v>17</v>
      </c>
      <c r="F8516">
        <v>12.88</v>
      </c>
      <c r="G8516">
        <v>14</v>
      </c>
      <c r="H8516" t="s">
        <v>17</v>
      </c>
      <c r="I8516" t="str">
        <f>"069103012159"</f>
        <v>069103012159</v>
      </c>
    </row>
    <row r="8517" spans="1:9" x14ac:dyDescent="0.25">
      <c r="A8517" t="s">
        <v>7422</v>
      </c>
      <c r="B8517" t="s">
        <v>13</v>
      </c>
      <c r="C8517">
        <v>96.21</v>
      </c>
      <c r="D8517">
        <v>98.6</v>
      </c>
      <c r="E8517" t="s">
        <v>17</v>
      </c>
      <c r="F8517">
        <v>25.55</v>
      </c>
      <c r="G8517">
        <v>25.61</v>
      </c>
      <c r="H8517" t="s">
        <v>17</v>
      </c>
      <c r="I8517" t="str">
        <f>"061291001467"</f>
        <v>061291001467</v>
      </c>
    </row>
    <row r="8518" spans="1:9" x14ac:dyDescent="0.25">
      <c r="A8518" t="s">
        <v>7423</v>
      </c>
      <c r="B8518" t="s">
        <v>13</v>
      </c>
      <c r="C8518">
        <v>11.34</v>
      </c>
      <c r="D8518">
        <v>15.5</v>
      </c>
      <c r="E8518" t="s">
        <v>17</v>
      </c>
      <c r="F8518">
        <v>14.29</v>
      </c>
      <c r="G8518">
        <v>11.16</v>
      </c>
      <c r="H8518" t="s">
        <v>17</v>
      </c>
      <c r="I8518" t="str">
        <f>"063507008975"</f>
        <v>063507008975</v>
      </c>
    </row>
    <row r="8519" spans="1:9" x14ac:dyDescent="0.25">
      <c r="A8519" t="s">
        <v>7424</v>
      </c>
      <c r="B8519" t="s">
        <v>13</v>
      </c>
      <c r="C8519">
        <v>26.5</v>
      </c>
      <c r="D8519">
        <v>26</v>
      </c>
      <c r="E8519" t="s">
        <v>17</v>
      </c>
      <c r="F8519">
        <v>20.98</v>
      </c>
      <c r="G8519">
        <v>20.079999999999998</v>
      </c>
      <c r="H8519" t="s">
        <v>17</v>
      </c>
      <c r="I8519" t="str">
        <f>"063504005928"</f>
        <v>063504005928</v>
      </c>
    </row>
    <row r="8520" spans="1:9" x14ac:dyDescent="0.25">
      <c r="A8520" t="s">
        <v>7425</v>
      </c>
      <c r="B8520" t="s">
        <v>13</v>
      </c>
      <c r="C8520">
        <v>21.43</v>
      </c>
      <c r="D8520">
        <v>23.5</v>
      </c>
      <c r="E8520" t="s">
        <v>17</v>
      </c>
      <c r="F8520">
        <v>18.899999999999999</v>
      </c>
      <c r="G8520">
        <v>17.62</v>
      </c>
      <c r="H8520" t="s">
        <v>17</v>
      </c>
      <c r="I8520" t="str">
        <f>"063507005930"</f>
        <v>063507005930</v>
      </c>
    </row>
    <row r="8521" spans="1:9" x14ac:dyDescent="0.25">
      <c r="A8521" t="s">
        <v>7426</v>
      </c>
      <c r="B8521" t="s">
        <v>13</v>
      </c>
      <c r="C8521">
        <v>10.58</v>
      </c>
      <c r="D8521">
        <v>9.5</v>
      </c>
      <c r="E8521" t="s">
        <v>17</v>
      </c>
      <c r="F8521">
        <v>15.41</v>
      </c>
      <c r="G8521">
        <v>15.47</v>
      </c>
      <c r="H8521" t="s">
        <v>17</v>
      </c>
      <c r="I8521" t="str">
        <f>"063507005931"</f>
        <v>063507005931</v>
      </c>
    </row>
    <row r="8522" spans="1:9" x14ac:dyDescent="0.25">
      <c r="A8522" t="s">
        <v>7427</v>
      </c>
      <c r="B8522" t="s">
        <v>13</v>
      </c>
      <c r="C8522">
        <v>1.6</v>
      </c>
      <c r="D8522">
        <v>1.75</v>
      </c>
      <c r="E8522" t="s">
        <v>17</v>
      </c>
      <c r="F8522">
        <v>9.3800000000000008</v>
      </c>
      <c r="G8522">
        <v>9.7100000000000009</v>
      </c>
      <c r="H8522" t="s">
        <v>17</v>
      </c>
      <c r="I8522" t="str">
        <f>"063507012475"</f>
        <v>063507012475</v>
      </c>
    </row>
    <row r="8523" spans="1:9" x14ac:dyDescent="0.25">
      <c r="A8523" t="s">
        <v>7428</v>
      </c>
      <c r="B8523" t="s">
        <v>13</v>
      </c>
      <c r="C8523">
        <v>22</v>
      </c>
      <c r="D8523">
        <v>23.9</v>
      </c>
      <c r="E8523" t="s">
        <v>17</v>
      </c>
      <c r="F8523">
        <v>19</v>
      </c>
      <c r="G8523">
        <v>17.87</v>
      </c>
      <c r="H8523" t="s">
        <v>17</v>
      </c>
      <c r="I8523" t="str">
        <f>"063509009630"</f>
        <v>063509009630</v>
      </c>
    </row>
    <row r="8524" spans="1:9" x14ac:dyDescent="0.25">
      <c r="A8524" t="s">
        <v>7429</v>
      </c>
      <c r="B8524" t="s">
        <v>13</v>
      </c>
      <c r="C8524">
        <v>109.02</v>
      </c>
      <c r="D8524">
        <v>114.75</v>
      </c>
      <c r="E8524" t="s">
        <v>17</v>
      </c>
      <c r="F8524">
        <v>25.44</v>
      </c>
      <c r="G8524">
        <v>25.78</v>
      </c>
      <c r="H8524" t="s">
        <v>17</v>
      </c>
      <c r="I8524" t="str">
        <f>"062271003330"</f>
        <v>062271003330</v>
      </c>
    </row>
    <row r="8525" spans="1:9" x14ac:dyDescent="0.25">
      <c r="A8525" t="s">
        <v>7430</v>
      </c>
      <c r="B8525" t="s">
        <v>13</v>
      </c>
      <c r="C8525">
        <v>31</v>
      </c>
      <c r="D8525">
        <v>31</v>
      </c>
      <c r="E8525" t="s">
        <v>17</v>
      </c>
      <c r="F8525">
        <v>22.87</v>
      </c>
      <c r="G8525">
        <v>21.55</v>
      </c>
      <c r="H8525" t="s">
        <v>17</v>
      </c>
      <c r="I8525" t="str">
        <f>"062271003331"</f>
        <v>062271003331</v>
      </c>
    </row>
    <row r="8526" spans="1:9" x14ac:dyDescent="0.25">
      <c r="A8526" t="s">
        <v>7431</v>
      </c>
      <c r="B8526" t="s">
        <v>13</v>
      </c>
      <c r="C8526">
        <v>15.9</v>
      </c>
      <c r="D8526">
        <v>17</v>
      </c>
      <c r="E8526" t="s">
        <v>17</v>
      </c>
      <c r="F8526">
        <v>23.96</v>
      </c>
      <c r="G8526">
        <v>23</v>
      </c>
      <c r="H8526" t="s">
        <v>17</v>
      </c>
      <c r="I8526" t="str">
        <f>"062994004686"</f>
        <v>062994004686</v>
      </c>
    </row>
    <row r="8527" spans="1:9" x14ac:dyDescent="0.25">
      <c r="A8527" t="s">
        <v>7432</v>
      </c>
      <c r="B8527" t="s">
        <v>13</v>
      </c>
      <c r="C8527">
        <v>45.1</v>
      </c>
      <c r="D8527">
        <v>46.19</v>
      </c>
      <c r="E8527" t="s">
        <v>17</v>
      </c>
      <c r="F8527">
        <v>21.42</v>
      </c>
      <c r="G8527">
        <v>19.03</v>
      </c>
      <c r="H8527" t="s">
        <v>17</v>
      </c>
      <c r="I8527" t="str">
        <f>"063511005938"</f>
        <v>063511005938</v>
      </c>
    </row>
    <row r="8528" spans="1:9" x14ac:dyDescent="0.25">
      <c r="A8528" t="s">
        <v>7433</v>
      </c>
      <c r="B8528" t="s">
        <v>13</v>
      </c>
      <c r="C8528">
        <v>24.8</v>
      </c>
      <c r="D8528">
        <v>23.8</v>
      </c>
      <c r="E8528" t="s">
        <v>17</v>
      </c>
      <c r="F8528">
        <v>17.82</v>
      </c>
      <c r="G8528">
        <v>19.239999999999998</v>
      </c>
      <c r="H8528" t="s">
        <v>17</v>
      </c>
      <c r="I8528" t="str">
        <f>"062772004197"</f>
        <v>062772004197</v>
      </c>
    </row>
    <row r="8529" spans="1:9" x14ac:dyDescent="0.25">
      <c r="A8529" t="s">
        <v>7434</v>
      </c>
      <c r="B8529" t="s">
        <v>13</v>
      </c>
      <c r="C8529">
        <v>89.5</v>
      </c>
      <c r="D8529">
        <v>87.7</v>
      </c>
      <c r="E8529" t="s">
        <v>17</v>
      </c>
      <c r="F8529">
        <v>24.1</v>
      </c>
      <c r="G8529">
        <v>24.25</v>
      </c>
      <c r="H8529" t="s">
        <v>17</v>
      </c>
      <c r="I8529" t="str">
        <f>"063513005957"</f>
        <v>063513005957</v>
      </c>
    </row>
    <row r="8530" spans="1:9" x14ac:dyDescent="0.25">
      <c r="A8530" t="s">
        <v>7435</v>
      </c>
      <c r="B8530" t="s">
        <v>13</v>
      </c>
      <c r="C8530">
        <v>24</v>
      </c>
      <c r="D8530">
        <v>26</v>
      </c>
      <c r="E8530" t="s">
        <v>17</v>
      </c>
      <c r="F8530">
        <v>20.04</v>
      </c>
      <c r="G8530">
        <v>19</v>
      </c>
      <c r="H8530" t="s">
        <v>17</v>
      </c>
      <c r="I8530" t="str">
        <f>"063705006292"</f>
        <v>063705006292</v>
      </c>
    </row>
    <row r="8531" spans="1:9" x14ac:dyDescent="0.25">
      <c r="A8531" t="s">
        <v>7436</v>
      </c>
      <c r="B8531" t="s">
        <v>13</v>
      </c>
      <c r="C8531" t="s">
        <v>14</v>
      </c>
      <c r="D8531" t="s">
        <v>14</v>
      </c>
      <c r="E8531" t="s">
        <v>17</v>
      </c>
      <c r="F8531" t="s">
        <v>14</v>
      </c>
      <c r="G8531" t="s">
        <v>14</v>
      </c>
      <c r="H8531" t="s">
        <v>17</v>
      </c>
      <c r="I8531" t="str">
        <f>"063522012385"</f>
        <v>063522012385</v>
      </c>
    </row>
    <row r="8532" spans="1:9" x14ac:dyDescent="0.25">
      <c r="A8532" t="s">
        <v>7437</v>
      </c>
      <c r="B8532" t="s">
        <v>13</v>
      </c>
      <c r="C8532">
        <v>98</v>
      </c>
      <c r="D8532">
        <v>93.14</v>
      </c>
      <c r="E8532" t="s">
        <v>17</v>
      </c>
      <c r="F8532">
        <v>25.29</v>
      </c>
      <c r="G8532">
        <v>25.38</v>
      </c>
      <c r="H8532" t="s">
        <v>17</v>
      </c>
      <c r="I8532" t="str">
        <f>"063864010642"</f>
        <v>063864010642</v>
      </c>
    </row>
    <row r="8533" spans="1:9" x14ac:dyDescent="0.25">
      <c r="A8533" t="s">
        <v>7438</v>
      </c>
      <c r="B8533" t="s">
        <v>13</v>
      </c>
      <c r="C8533">
        <v>29</v>
      </c>
      <c r="D8533">
        <v>32.549999999999997</v>
      </c>
      <c r="E8533" t="s">
        <v>17</v>
      </c>
      <c r="F8533">
        <v>20.59</v>
      </c>
      <c r="G8533">
        <v>24.18</v>
      </c>
      <c r="H8533" t="s">
        <v>17</v>
      </c>
      <c r="I8533" t="str">
        <f>"063522005964"</f>
        <v>063522005964</v>
      </c>
    </row>
    <row r="8534" spans="1:9" x14ac:dyDescent="0.25">
      <c r="A8534" t="s">
        <v>7439</v>
      </c>
      <c r="B8534" t="s">
        <v>13</v>
      </c>
      <c r="C8534">
        <v>30.5</v>
      </c>
      <c r="D8534">
        <v>29.5</v>
      </c>
      <c r="E8534" t="s">
        <v>17</v>
      </c>
      <c r="F8534">
        <v>27.93</v>
      </c>
      <c r="G8534">
        <v>28.27</v>
      </c>
      <c r="H8534" t="s">
        <v>17</v>
      </c>
      <c r="I8534" t="str">
        <f>"060558011435"</f>
        <v>060558011435</v>
      </c>
    </row>
    <row r="8535" spans="1:9" x14ac:dyDescent="0.25">
      <c r="A8535" t="s">
        <v>7440</v>
      </c>
      <c r="B8535" t="s">
        <v>13</v>
      </c>
      <c r="C8535">
        <v>20.5</v>
      </c>
      <c r="D8535">
        <v>22</v>
      </c>
      <c r="E8535" t="s">
        <v>17</v>
      </c>
      <c r="F8535">
        <v>23.41</v>
      </c>
      <c r="G8535">
        <v>21.55</v>
      </c>
      <c r="H8535" t="s">
        <v>17</v>
      </c>
      <c r="I8535" t="str">
        <f>"061494001894"</f>
        <v>061494001894</v>
      </c>
    </row>
    <row r="8536" spans="1:9" x14ac:dyDescent="0.25">
      <c r="A8536" t="s">
        <v>7441</v>
      </c>
      <c r="B8536" t="s">
        <v>13</v>
      </c>
      <c r="C8536">
        <v>17.2</v>
      </c>
      <c r="D8536">
        <v>20.5</v>
      </c>
      <c r="E8536" t="s">
        <v>17</v>
      </c>
      <c r="F8536">
        <v>14.77</v>
      </c>
      <c r="G8536">
        <v>13.66</v>
      </c>
      <c r="H8536" t="s">
        <v>17</v>
      </c>
      <c r="I8536" t="str">
        <f>"063441005664"</f>
        <v>063441005664</v>
      </c>
    </row>
    <row r="8537" spans="1:9" x14ac:dyDescent="0.25">
      <c r="A8537" t="s">
        <v>7442</v>
      </c>
      <c r="B8537" t="s">
        <v>13</v>
      </c>
      <c r="C8537">
        <v>34.1</v>
      </c>
      <c r="D8537">
        <v>31.8</v>
      </c>
      <c r="E8537" t="s">
        <v>17</v>
      </c>
      <c r="F8537">
        <v>22.82</v>
      </c>
      <c r="G8537">
        <v>23.14</v>
      </c>
      <c r="H8537" t="s">
        <v>17</v>
      </c>
      <c r="I8537" t="str">
        <f>"063432005545"</f>
        <v>063432005545</v>
      </c>
    </row>
    <row r="8538" spans="1:9" x14ac:dyDescent="0.25">
      <c r="A8538" t="s">
        <v>7443</v>
      </c>
      <c r="B8538" t="s">
        <v>13</v>
      </c>
      <c r="C8538">
        <v>34.47</v>
      </c>
      <c r="D8538">
        <v>31.62</v>
      </c>
      <c r="E8538" t="s">
        <v>17</v>
      </c>
      <c r="F8538">
        <v>25.99</v>
      </c>
      <c r="G8538">
        <v>26.98</v>
      </c>
      <c r="H8538" t="s">
        <v>17</v>
      </c>
      <c r="I8538" t="str">
        <f>"061527001956"</f>
        <v>061527001956</v>
      </c>
    </row>
    <row r="8539" spans="1:9" x14ac:dyDescent="0.25">
      <c r="A8539" t="s">
        <v>7444</v>
      </c>
      <c r="B8539" t="s">
        <v>13</v>
      </c>
      <c r="C8539">
        <v>34.5</v>
      </c>
      <c r="D8539">
        <v>31</v>
      </c>
      <c r="E8539" t="s">
        <v>17</v>
      </c>
      <c r="F8539">
        <v>27.83</v>
      </c>
      <c r="G8539">
        <v>26.77</v>
      </c>
      <c r="H8539" t="s">
        <v>17</v>
      </c>
      <c r="I8539" t="str">
        <f>"060001709272"</f>
        <v>060001709272</v>
      </c>
    </row>
    <row r="8540" spans="1:9" x14ac:dyDescent="0.25">
      <c r="A8540" t="s">
        <v>7445</v>
      </c>
      <c r="B8540" t="s">
        <v>13</v>
      </c>
      <c r="C8540">
        <v>22.58</v>
      </c>
      <c r="D8540">
        <v>22.58</v>
      </c>
      <c r="E8540" t="s">
        <v>17</v>
      </c>
      <c r="F8540">
        <v>21.83</v>
      </c>
      <c r="G8540">
        <v>21.04</v>
      </c>
      <c r="H8540" t="s">
        <v>17</v>
      </c>
      <c r="I8540" t="str">
        <f>"060453007417"</f>
        <v>060453007417</v>
      </c>
    </row>
    <row r="8541" spans="1:9" x14ac:dyDescent="0.25">
      <c r="A8541" t="s">
        <v>7446</v>
      </c>
      <c r="B8541" t="s">
        <v>13</v>
      </c>
      <c r="C8541">
        <v>24.25</v>
      </c>
      <c r="D8541">
        <v>25.5</v>
      </c>
      <c r="E8541" t="s">
        <v>17</v>
      </c>
      <c r="F8541">
        <v>28.33</v>
      </c>
      <c r="G8541">
        <v>28.35</v>
      </c>
      <c r="H8541" t="s">
        <v>17</v>
      </c>
      <c r="I8541" t="str">
        <f>"061389011205"</f>
        <v>061389011205</v>
      </c>
    </row>
    <row r="8542" spans="1:9" x14ac:dyDescent="0.25">
      <c r="A8542" t="s">
        <v>7447</v>
      </c>
      <c r="B8542" t="s">
        <v>13</v>
      </c>
      <c r="C8542">
        <v>38.5</v>
      </c>
      <c r="D8542">
        <v>35.700000000000003</v>
      </c>
      <c r="E8542" t="s">
        <v>17</v>
      </c>
      <c r="F8542">
        <v>22.73</v>
      </c>
      <c r="G8542">
        <v>22.97</v>
      </c>
      <c r="H8542" t="s">
        <v>17</v>
      </c>
      <c r="I8542" t="str">
        <f>"060015811816"</f>
        <v>060015811816</v>
      </c>
    </row>
    <row r="8543" spans="1:9" x14ac:dyDescent="0.25">
      <c r="A8543" t="s">
        <v>7448</v>
      </c>
      <c r="B8543" t="s">
        <v>13</v>
      </c>
      <c r="C8543">
        <v>2.83</v>
      </c>
      <c r="D8543">
        <v>2.16</v>
      </c>
      <c r="E8543" t="s">
        <v>17</v>
      </c>
      <c r="F8543">
        <v>15.19</v>
      </c>
      <c r="G8543">
        <v>23.15</v>
      </c>
      <c r="H8543" t="s">
        <v>17</v>
      </c>
      <c r="I8543" t="str">
        <f>"063680500399"</f>
        <v>063680500399</v>
      </c>
    </row>
    <row r="8544" spans="1:9" x14ac:dyDescent="0.25">
      <c r="A8544" t="s">
        <v>7449</v>
      </c>
      <c r="B8544" t="s">
        <v>13</v>
      </c>
      <c r="C8544">
        <v>28.17</v>
      </c>
      <c r="D8544">
        <v>28.17</v>
      </c>
      <c r="E8544" t="s">
        <v>17</v>
      </c>
      <c r="F8544">
        <v>21.62</v>
      </c>
      <c r="G8544">
        <v>20.62</v>
      </c>
      <c r="H8544" t="s">
        <v>17</v>
      </c>
      <c r="I8544" t="str">
        <f>"063525008475"</f>
        <v>063525008475</v>
      </c>
    </row>
    <row r="8545" spans="1:9" x14ac:dyDescent="0.25">
      <c r="A8545" t="s">
        <v>7450</v>
      </c>
      <c r="B8545" t="s">
        <v>13</v>
      </c>
      <c r="C8545">
        <v>113.1</v>
      </c>
      <c r="D8545">
        <v>112.1</v>
      </c>
      <c r="E8545" t="s">
        <v>17</v>
      </c>
      <c r="F8545">
        <v>24.15</v>
      </c>
      <c r="G8545">
        <v>24.38</v>
      </c>
      <c r="H8545" t="s">
        <v>17</v>
      </c>
      <c r="I8545" t="str">
        <f>"063525005978"</f>
        <v>063525005978</v>
      </c>
    </row>
    <row r="8546" spans="1:9" x14ac:dyDescent="0.25">
      <c r="A8546" t="s">
        <v>7451</v>
      </c>
      <c r="B8546" t="s">
        <v>13</v>
      </c>
      <c r="C8546">
        <v>2.3199999999999998</v>
      </c>
      <c r="D8546">
        <v>2.5</v>
      </c>
      <c r="E8546" t="s">
        <v>17</v>
      </c>
      <c r="F8546">
        <v>14.22</v>
      </c>
      <c r="G8546">
        <v>10.4</v>
      </c>
      <c r="H8546" t="s">
        <v>17</v>
      </c>
      <c r="I8546" t="str">
        <f>"064256006971"</f>
        <v>064256006971</v>
      </c>
    </row>
    <row r="8547" spans="1:9" x14ac:dyDescent="0.25">
      <c r="A8547" t="s">
        <v>7452</v>
      </c>
      <c r="B8547" t="s">
        <v>13</v>
      </c>
      <c r="C8547">
        <v>15</v>
      </c>
      <c r="D8547">
        <v>9</v>
      </c>
      <c r="E8547" t="s">
        <v>17</v>
      </c>
      <c r="F8547">
        <v>20.8</v>
      </c>
      <c r="G8547">
        <v>22.78</v>
      </c>
      <c r="H8547" t="s">
        <v>17</v>
      </c>
      <c r="I8547" t="str">
        <f>"062805011558"</f>
        <v>062805011558</v>
      </c>
    </row>
    <row r="8548" spans="1:9" x14ac:dyDescent="0.25">
      <c r="A8548" t="s">
        <v>7453</v>
      </c>
      <c r="B8548" t="s">
        <v>13</v>
      </c>
      <c r="C8548">
        <v>113.51</v>
      </c>
      <c r="D8548">
        <v>117.97</v>
      </c>
      <c r="E8548" t="s">
        <v>17</v>
      </c>
      <c r="F8548">
        <v>25.69</v>
      </c>
      <c r="G8548">
        <v>25.02</v>
      </c>
      <c r="H8548" t="s">
        <v>17</v>
      </c>
      <c r="I8548" t="str">
        <f>"063531006005"</f>
        <v>063531006005</v>
      </c>
    </row>
    <row r="8549" spans="1:9" x14ac:dyDescent="0.25">
      <c r="A8549" t="s">
        <v>7454</v>
      </c>
      <c r="B8549" t="s">
        <v>13</v>
      </c>
      <c r="C8549" t="s">
        <v>14</v>
      </c>
      <c r="D8549" t="s">
        <v>14</v>
      </c>
      <c r="E8549" t="s">
        <v>17</v>
      </c>
      <c r="F8549" t="s">
        <v>14</v>
      </c>
      <c r="G8549" t="s">
        <v>14</v>
      </c>
      <c r="H8549" t="s">
        <v>17</v>
      </c>
      <c r="I8549" t="str">
        <f>"063537008981"</f>
        <v>063537008981</v>
      </c>
    </row>
    <row r="8550" spans="1:9" x14ac:dyDescent="0.25">
      <c r="A8550" t="s">
        <v>7454</v>
      </c>
      <c r="B8550" t="s">
        <v>13</v>
      </c>
      <c r="C8550" t="s">
        <v>17</v>
      </c>
      <c r="D8550" t="s">
        <v>17</v>
      </c>
      <c r="E8550" t="s">
        <v>14</v>
      </c>
      <c r="F8550" t="s">
        <v>17</v>
      </c>
      <c r="G8550" t="s">
        <v>17</v>
      </c>
      <c r="H8550" t="s">
        <v>14</v>
      </c>
      <c r="I8550" t="str">
        <f>"060141408981"</f>
        <v>060141408981</v>
      </c>
    </row>
    <row r="8551" spans="1:9" x14ac:dyDescent="0.25">
      <c r="A8551" t="s">
        <v>7455</v>
      </c>
      <c r="B8551" t="s">
        <v>13</v>
      </c>
      <c r="C8551">
        <v>9.85</v>
      </c>
      <c r="D8551">
        <v>11.1</v>
      </c>
      <c r="E8551" t="s">
        <v>14</v>
      </c>
      <c r="F8551">
        <v>24.67</v>
      </c>
      <c r="G8551">
        <v>22.07</v>
      </c>
      <c r="H8551" t="s">
        <v>14</v>
      </c>
      <c r="I8551" t="str">
        <f>"060141402792"</f>
        <v>060141402792</v>
      </c>
    </row>
    <row r="8552" spans="1:9" x14ac:dyDescent="0.25">
      <c r="A8552" t="s">
        <v>7455</v>
      </c>
      <c r="B8552" t="s">
        <v>13</v>
      </c>
      <c r="C8552" t="s">
        <v>14</v>
      </c>
      <c r="D8552" t="s">
        <v>14</v>
      </c>
      <c r="E8552" t="s">
        <v>17</v>
      </c>
      <c r="F8552" t="s">
        <v>14</v>
      </c>
      <c r="G8552" t="s">
        <v>14</v>
      </c>
      <c r="H8552" t="s">
        <v>17</v>
      </c>
      <c r="I8552" t="str">
        <f>"063536002792"</f>
        <v>063536002792</v>
      </c>
    </row>
    <row r="8553" spans="1:9" x14ac:dyDescent="0.25">
      <c r="A8553" t="s">
        <v>7456</v>
      </c>
      <c r="B8553" t="s">
        <v>13</v>
      </c>
      <c r="C8553" t="s">
        <v>14</v>
      </c>
      <c r="D8553" t="s">
        <v>14</v>
      </c>
      <c r="E8553" t="s">
        <v>17</v>
      </c>
      <c r="F8553" t="s">
        <v>14</v>
      </c>
      <c r="G8553" t="s">
        <v>14</v>
      </c>
      <c r="H8553" t="s">
        <v>17</v>
      </c>
      <c r="I8553" t="str">
        <f>"063537008348"</f>
        <v>063537008348</v>
      </c>
    </row>
    <row r="8554" spans="1:9" x14ac:dyDescent="0.25">
      <c r="A8554" t="s">
        <v>7456</v>
      </c>
      <c r="B8554" t="s">
        <v>13</v>
      </c>
      <c r="C8554">
        <v>3.5</v>
      </c>
      <c r="D8554">
        <v>3.3</v>
      </c>
      <c r="E8554" t="s">
        <v>14</v>
      </c>
      <c r="F8554">
        <v>18.57</v>
      </c>
      <c r="G8554">
        <v>21.82</v>
      </c>
      <c r="H8554" t="s">
        <v>14</v>
      </c>
      <c r="I8554" t="str">
        <f>"060141408348"</f>
        <v>060141408348</v>
      </c>
    </row>
    <row r="8555" spans="1:9" x14ac:dyDescent="0.25">
      <c r="A8555" t="s">
        <v>7457</v>
      </c>
      <c r="B8555" t="s">
        <v>13</v>
      </c>
      <c r="C8555">
        <v>11</v>
      </c>
      <c r="D8555">
        <v>11</v>
      </c>
      <c r="E8555" t="s">
        <v>14</v>
      </c>
      <c r="F8555">
        <v>25.64</v>
      </c>
      <c r="G8555">
        <v>26.91</v>
      </c>
      <c r="H8555" t="s">
        <v>14</v>
      </c>
      <c r="I8555" t="str">
        <f>"060141408347"</f>
        <v>060141408347</v>
      </c>
    </row>
    <row r="8556" spans="1:9" x14ac:dyDescent="0.25">
      <c r="A8556" t="s">
        <v>7457</v>
      </c>
      <c r="B8556" t="s">
        <v>13</v>
      </c>
      <c r="C8556" t="s">
        <v>14</v>
      </c>
      <c r="D8556" t="s">
        <v>14</v>
      </c>
      <c r="E8556" t="s">
        <v>17</v>
      </c>
      <c r="F8556" t="s">
        <v>14</v>
      </c>
      <c r="G8556" t="s">
        <v>14</v>
      </c>
      <c r="H8556" t="s">
        <v>17</v>
      </c>
      <c r="I8556" t="str">
        <f>"063536008347"</f>
        <v>063536008347</v>
      </c>
    </row>
    <row r="8557" spans="1:9" x14ac:dyDescent="0.25">
      <c r="A8557" t="s">
        <v>7458</v>
      </c>
      <c r="B8557" t="s">
        <v>13</v>
      </c>
      <c r="C8557">
        <v>10.029999999999999</v>
      </c>
      <c r="D8557">
        <v>13.8</v>
      </c>
      <c r="E8557" t="s">
        <v>17</v>
      </c>
      <c r="F8557">
        <v>21.14</v>
      </c>
      <c r="G8557">
        <v>21.3</v>
      </c>
      <c r="H8557" t="s">
        <v>17</v>
      </c>
      <c r="I8557" t="str">
        <f>"069103410658"</f>
        <v>069103410658</v>
      </c>
    </row>
    <row r="8558" spans="1:9" x14ac:dyDescent="0.25">
      <c r="A8558" t="s">
        <v>7459</v>
      </c>
      <c r="B8558" t="s">
        <v>13</v>
      </c>
      <c r="C8558">
        <v>8.1</v>
      </c>
      <c r="D8558">
        <v>9</v>
      </c>
      <c r="E8558" t="s">
        <v>17</v>
      </c>
      <c r="F8558">
        <v>15.19</v>
      </c>
      <c r="G8558">
        <v>14.11</v>
      </c>
      <c r="H8558" t="s">
        <v>17</v>
      </c>
      <c r="I8558" t="str">
        <f>"069103409249"</f>
        <v>069103409249</v>
      </c>
    </row>
    <row r="8559" spans="1:9" x14ac:dyDescent="0.25">
      <c r="A8559" t="s">
        <v>7460</v>
      </c>
      <c r="B8559" t="s">
        <v>13</v>
      </c>
      <c r="C8559" t="s">
        <v>17</v>
      </c>
      <c r="D8559" t="s">
        <v>17</v>
      </c>
      <c r="E8559" t="s">
        <v>17</v>
      </c>
      <c r="F8559" t="s">
        <v>17</v>
      </c>
      <c r="G8559" t="s">
        <v>17</v>
      </c>
      <c r="H8559" t="s">
        <v>17</v>
      </c>
      <c r="I8559" t="str">
        <f>"060013311440"</f>
        <v>060013311440</v>
      </c>
    </row>
    <row r="8560" spans="1:9" x14ac:dyDescent="0.25">
      <c r="A8560" t="s">
        <v>7461</v>
      </c>
      <c r="B8560" t="s">
        <v>13</v>
      </c>
      <c r="C8560" t="s">
        <v>17</v>
      </c>
      <c r="D8560" t="s">
        <v>17</v>
      </c>
      <c r="E8560" t="s">
        <v>17</v>
      </c>
      <c r="F8560" t="s">
        <v>17</v>
      </c>
      <c r="G8560" t="s">
        <v>17</v>
      </c>
      <c r="H8560" t="s">
        <v>17</v>
      </c>
      <c r="I8560" t="str">
        <f>"060013311439"</f>
        <v>060013311439</v>
      </c>
    </row>
    <row r="8561" spans="1:9" x14ac:dyDescent="0.25">
      <c r="A8561" t="s">
        <v>7462</v>
      </c>
      <c r="B8561" t="s">
        <v>13</v>
      </c>
      <c r="C8561">
        <v>45.42</v>
      </c>
      <c r="D8561">
        <v>46.14</v>
      </c>
      <c r="E8561" t="s">
        <v>17</v>
      </c>
      <c r="F8561">
        <v>4.7300000000000004</v>
      </c>
      <c r="G8561">
        <v>4.8099999999999996</v>
      </c>
      <c r="H8561" t="s">
        <v>17</v>
      </c>
      <c r="I8561" t="str">
        <f>"069103407192"</f>
        <v>069103407192</v>
      </c>
    </row>
    <row r="8562" spans="1:9" x14ac:dyDescent="0.25">
      <c r="A8562" t="s">
        <v>7463</v>
      </c>
      <c r="B8562" t="s">
        <v>13</v>
      </c>
      <c r="C8562" t="s">
        <v>14</v>
      </c>
      <c r="D8562" t="s">
        <v>14</v>
      </c>
      <c r="E8562" t="s">
        <v>17</v>
      </c>
      <c r="F8562" t="s">
        <v>14</v>
      </c>
      <c r="G8562" t="s">
        <v>14</v>
      </c>
      <c r="H8562" t="s">
        <v>17</v>
      </c>
      <c r="I8562" t="str">
        <f>"063537006030"</f>
        <v>063537006030</v>
      </c>
    </row>
    <row r="8563" spans="1:9" x14ac:dyDescent="0.25">
      <c r="A8563" t="s">
        <v>7463</v>
      </c>
      <c r="B8563" t="s">
        <v>13</v>
      </c>
      <c r="C8563">
        <v>37.81</v>
      </c>
      <c r="D8563">
        <v>36.799999999999997</v>
      </c>
      <c r="E8563" t="s">
        <v>14</v>
      </c>
      <c r="F8563">
        <v>22.61</v>
      </c>
      <c r="G8563">
        <v>22.85</v>
      </c>
      <c r="H8563" t="s">
        <v>14</v>
      </c>
      <c r="I8563" t="str">
        <f>"060141406030"</f>
        <v>060141406030</v>
      </c>
    </row>
    <row r="8564" spans="1:9" x14ac:dyDescent="0.25">
      <c r="A8564" t="s">
        <v>7464</v>
      </c>
      <c r="B8564" t="s">
        <v>13</v>
      </c>
      <c r="C8564">
        <v>87.61</v>
      </c>
      <c r="D8564">
        <v>92.07</v>
      </c>
      <c r="E8564" t="s">
        <v>14</v>
      </c>
      <c r="F8564">
        <v>25.32</v>
      </c>
      <c r="G8564">
        <v>23.55</v>
      </c>
      <c r="H8564" t="s">
        <v>14</v>
      </c>
      <c r="I8564" t="str">
        <f>"060141406031"</f>
        <v>060141406031</v>
      </c>
    </row>
    <row r="8565" spans="1:9" x14ac:dyDescent="0.25">
      <c r="A8565" t="s">
        <v>7464</v>
      </c>
      <c r="B8565" t="s">
        <v>13</v>
      </c>
      <c r="C8565" t="s">
        <v>14</v>
      </c>
      <c r="D8565" t="s">
        <v>14</v>
      </c>
      <c r="E8565" t="s">
        <v>17</v>
      </c>
      <c r="F8565" t="s">
        <v>14</v>
      </c>
      <c r="G8565" t="s">
        <v>14</v>
      </c>
      <c r="H8565" t="s">
        <v>17</v>
      </c>
      <c r="I8565" t="str">
        <f>"063537006031"</f>
        <v>063537006031</v>
      </c>
    </row>
    <row r="8566" spans="1:9" x14ac:dyDescent="0.25">
      <c r="A8566" t="s">
        <v>7465</v>
      </c>
      <c r="B8566" t="s">
        <v>13</v>
      </c>
      <c r="C8566">
        <v>2.2000000000000002</v>
      </c>
      <c r="D8566" t="str">
        <f>"0.25"</f>
        <v>0.25</v>
      </c>
      <c r="E8566" t="s">
        <v>14</v>
      </c>
      <c r="F8566">
        <v>10</v>
      </c>
      <c r="G8566">
        <v>96</v>
      </c>
      <c r="H8566" t="s">
        <v>14</v>
      </c>
      <c r="I8566" t="str">
        <f>"063543012999"</f>
        <v>063543012999</v>
      </c>
    </row>
    <row r="8567" spans="1:9" x14ac:dyDescent="0.25">
      <c r="A8567" t="s">
        <v>7466</v>
      </c>
      <c r="B8567" t="s">
        <v>13</v>
      </c>
      <c r="C8567">
        <v>17.399999999999999</v>
      </c>
      <c r="D8567">
        <v>20.9</v>
      </c>
      <c r="E8567" t="s">
        <v>17</v>
      </c>
      <c r="F8567">
        <v>11.32</v>
      </c>
      <c r="G8567">
        <v>7.7</v>
      </c>
      <c r="H8567" t="s">
        <v>17</v>
      </c>
      <c r="I8567" t="str">
        <f>"069103509045"</f>
        <v>069103509045</v>
      </c>
    </row>
    <row r="8568" spans="1:9" x14ac:dyDescent="0.25">
      <c r="A8568" t="s">
        <v>7467</v>
      </c>
      <c r="B8568" t="s">
        <v>13</v>
      </c>
      <c r="C8568" t="s">
        <v>17</v>
      </c>
      <c r="D8568" t="s">
        <v>17</v>
      </c>
      <c r="E8568" t="s">
        <v>17</v>
      </c>
      <c r="F8568" t="s">
        <v>17</v>
      </c>
      <c r="G8568" t="s">
        <v>17</v>
      </c>
      <c r="H8568" t="s">
        <v>17</v>
      </c>
      <c r="I8568" t="str">
        <f>"060013711459"</f>
        <v>060013711459</v>
      </c>
    </row>
    <row r="8569" spans="1:9" x14ac:dyDescent="0.25">
      <c r="A8569" t="s">
        <v>7468</v>
      </c>
      <c r="B8569" t="s">
        <v>13</v>
      </c>
      <c r="C8569">
        <v>176.8</v>
      </c>
      <c r="D8569">
        <v>173.3</v>
      </c>
      <c r="E8569" t="s">
        <v>17</v>
      </c>
      <c r="F8569">
        <v>7.74</v>
      </c>
      <c r="G8569">
        <v>6.29</v>
      </c>
      <c r="H8569" t="s">
        <v>17</v>
      </c>
      <c r="I8569" t="str">
        <f>"069103509250"</f>
        <v>069103509250</v>
      </c>
    </row>
    <row r="8570" spans="1:9" x14ac:dyDescent="0.25">
      <c r="A8570" t="s">
        <v>7469</v>
      </c>
      <c r="B8570" t="s">
        <v>13</v>
      </c>
      <c r="C8570">
        <v>2.0099999999999998</v>
      </c>
      <c r="D8570">
        <v>2.5</v>
      </c>
      <c r="E8570" t="s">
        <v>17</v>
      </c>
      <c r="F8570">
        <v>27.86</v>
      </c>
      <c r="G8570">
        <v>21.6</v>
      </c>
      <c r="H8570" t="s">
        <v>17</v>
      </c>
      <c r="I8570" t="str">
        <f>"063549006057"</f>
        <v>063549006057</v>
      </c>
    </row>
    <row r="8571" spans="1:9" x14ac:dyDescent="0.25">
      <c r="A8571" t="s">
        <v>7470</v>
      </c>
      <c r="B8571" t="s">
        <v>13</v>
      </c>
      <c r="C8571">
        <v>77.900000000000006</v>
      </c>
      <c r="D8571">
        <v>78.599999999999994</v>
      </c>
      <c r="E8571" t="s">
        <v>17</v>
      </c>
      <c r="F8571">
        <v>23.35</v>
      </c>
      <c r="G8571">
        <v>23.97</v>
      </c>
      <c r="H8571" t="s">
        <v>17</v>
      </c>
      <c r="I8571" t="str">
        <f>"063543007868"</f>
        <v>063543007868</v>
      </c>
    </row>
    <row r="8572" spans="1:9" x14ac:dyDescent="0.25">
      <c r="A8572" t="s">
        <v>7471</v>
      </c>
      <c r="B8572" t="s">
        <v>13</v>
      </c>
      <c r="C8572">
        <v>17.3</v>
      </c>
      <c r="D8572">
        <v>27.5</v>
      </c>
      <c r="E8572" t="s">
        <v>17</v>
      </c>
      <c r="F8572">
        <v>28.5</v>
      </c>
      <c r="G8572">
        <v>17.78</v>
      </c>
      <c r="H8572" t="s">
        <v>17</v>
      </c>
      <c r="I8572" t="str">
        <f>"063597006159"</f>
        <v>063597006159</v>
      </c>
    </row>
    <row r="8573" spans="1:9" x14ac:dyDescent="0.25">
      <c r="A8573" t="s">
        <v>7472</v>
      </c>
      <c r="B8573" t="s">
        <v>13</v>
      </c>
      <c r="C8573">
        <v>30.5</v>
      </c>
      <c r="D8573">
        <v>26</v>
      </c>
      <c r="E8573" t="s">
        <v>17</v>
      </c>
      <c r="F8573">
        <v>26.62</v>
      </c>
      <c r="G8573">
        <v>27.65</v>
      </c>
      <c r="H8573" t="s">
        <v>17</v>
      </c>
      <c r="I8573" t="str">
        <f>"064251012191"</f>
        <v>064251012191</v>
      </c>
    </row>
    <row r="8574" spans="1:9" x14ac:dyDescent="0.25">
      <c r="A8574" t="s">
        <v>7473</v>
      </c>
      <c r="B8574" t="s">
        <v>13</v>
      </c>
      <c r="C8574">
        <v>4</v>
      </c>
      <c r="D8574">
        <v>4</v>
      </c>
      <c r="E8574" t="s">
        <v>17</v>
      </c>
      <c r="F8574">
        <v>22.5</v>
      </c>
      <c r="G8574">
        <v>22.5</v>
      </c>
      <c r="H8574" t="s">
        <v>17</v>
      </c>
      <c r="I8574" t="str">
        <f>"063559010080"</f>
        <v>063559010080</v>
      </c>
    </row>
    <row r="8575" spans="1:9" x14ac:dyDescent="0.25">
      <c r="A8575" t="s">
        <v>7474</v>
      </c>
      <c r="B8575" t="s">
        <v>13</v>
      </c>
      <c r="C8575">
        <v>22.28</v>
      </c>
      <c r="D8575">
        <v>25.28</v>
      </c>
      <c r="E8575" t="s">
        <v>17</v>
      </c>
      <c r="F8575">
        <v>27.92</v>
      </c>
      <c r="G8575">
        <v>17.440000000000001</v>
      </c>
      <c r="H8575" t="s">
        <v>17</v>
      </c>
      <c r="I8575" t="str">
        <f>"069103610668"</f>
        <v>069103610668</v>
      </c>
    </row>
    <row r="8576" spans="1:9" x14ac:dyDescent="0.25">
      <c r="A8576" t="s">
        <v>7475</v>
      </c>
      <c r="B8576" t="s">
        <v>13</v>
      </c>
      <c r="C8576">
        <v>6</v>
      </c>
      <c r="D8576">
        <v>4</v>
      </c>
      <c r="E8576" t="s">
        <v>17</v>
      </c>
      <c r="F8576">
        <v>19.329999999999998</v>
      </c>
      <c r="G8576">
        <v>1.25</v>
      </c>
      <c r="H8576" t="s">
        <v>17</v>
      </c>
      <c r="I8576" t="str">
        <f>"069103609251"</f>
        <v>069103609251</v>
      </c>
    </row>
    <row r="8577" spans="1:9" x14ac:dyDescent="0.25">
      <c r="A8577" t="s">
        <v>7476</v>
      </c>
      <c r="B8577" t="s">
        <v>13</v>
      </c>
      <c r="C8577" t="s">
        <v>17</v>
      </c>
      <c r="D8577" t="s">
        <v>17</v>
      </c>
      <c r="E8577" t="s">
        <v>17</v>
      </c>
      <c r="F8577" t="s">
        <v>17</v>
      </c>
      <c r="G8577" t="s">
        <v>17</v>
      </c>
      <c r="H8577" t="s">
        <v>17</v>
      </c>
      <c r="I8577" t="str">
        <f>"060014311465"</f>
        <v>060014311465</v>
      </c>
    </row>
    <row r="8578" spans="1:9" x14ac:dyDescent="0.25">
      <c r="A8578" t="s">
        <v>7477</v>
      </c>
      <c r="B8578" t="s">
        <v>13</v>
      </c>
      <c r="C8578">
        <v>18</v>
      </c>
      <c r="D8578">
        <v>16.5</v>
      </c>
      <c r="E8578" t="s">
        <v>17</v>
      </c>
      <c r="F8578">
        <v>7.72</v>
      </c>
      <c r="G8578">
        <v>8.67</v>
      </c>
      <c r="H8578" t="s">
        <v>17</v>
      </c>
      <c r="I8578" t="str">
        <f>"069103608020"</f>
        <v>069103608020</v>
      </c>
    </row>
    <row r="8579" spans="1:9" x14ac:dyDescent="0.25">
      <c r="A8579" t="s">
        <v>7478</v>
      </c>
      <c r="B8579" t="s">
        <v>13</v>
      </c>
      <c r="C8579">
        <v>14</v>
      </c>
      <c r="D8579">
        <v>18.2</v>
      </c>
      <c r="E8579" t="s">
        <v>17</v>
      </c>
      <c r="F8579">
        <v>23.36</v>
      </c>
      <c r="G8579">
        <v>19.12</v>
      </c>
      <c r="H8579" t="s">
        <v>17</v>
      </c>
      <c r="I8579" t="str">
        <f>"063729006310"</f>
        <v>063729006310</v>
      </c>
    </row>
    <row r="8580" spans="1:9" x14ac:dyDescent="0.25">
      <c r="A8580" t="s">
        <v>7479</v>
      </c>
      <c r="B8580" t="s">
        <v>13</v>
      </c>
      <c r="C8580">
        <v>45.5</v>
      </c>
      <c r="D8580">
        <v>46.06</v>
      </c>
      <c r="E8580" t="s">
        <v>17</v>
      </c>
      <c r="F8580">
        <v>23.85</v>
      </c>
      <c r="G8580">
        <v>24.9</v>
      </c>
      <c r="H8580" t="s">
        <v>17</v>
      </c>
      <c r="I8580" t="str">
        <f>"063560006067"</f>
        <v>063560006067</v>
      </c>
    </row>
    <row r="8581" spans="1:9" x14ac:dyDescent="0.25">
      <c r="A8581" t="s">
        <v>7480</v>
      </c>
      <c r="B8581" t="s">
        <v>13</v>
      </c>
      <c r="C8581">
        <v>29</v>
      </c>
      <c r="D8581">
        <v>30.96</v>
      </c>
      <c r="E8581" t="s">
        <v>17</v>
      </c>
      <c r="F8581">
        <v>29.03</v>
      </c>
      <c r="G8581">
        <v>25.74</v>
      </c>
      <c r="H8581" t="s">
        <v>17</v>
      </c>
      <c r="I8581" t="str">
        <f>"060006411533"</f>
        <v>060006411533</v>
      </c>
    </row>
    <row r="8582" spans="1:9" x14ac:dyDescent="0.25">
      <c r="A8582" t="s">
        <v>7480</v>
      </c>
      <c r="B8582" t="s">
        <v>13</v>
      </c>
      <c r="C8582" t="s">
        <v>14</v>
      </c>
      <c r="D8582">
        <v>11</v>
      </c>
      <c r="E8582" t="s">
        <v>17</v>
      </c>
      <c r="F8582" t="s">
        <v>17</v>
      </c>
      <c r="G8582">
        <v>16.91</v>
      </c>
      <c r="H8582" t="s">
        <v>17</v>
      </c>
      <c r="I8582" t="str">
        <f>"062805004313"</f>
        <v>062805004313</v>
      </c>
    </row>
    <row r="8583" spans="1:9" x14ac:dyDescent="0.25">
      <c r="A8583" t="s">
        <v>7480</v>
      </c>
      <c r="B8583" t="s">
        <v>13</v>
      </c>
      <c r="C8583">
        <v>15.5</v>
      </c>
      <c r="D8583">
        <v>15.52</v>
      </c>
      <c r="E8583" t="s">
        <v>17</v>
      </c>
      <c r="F8583">
        <v>23.87</v>
      </c>
      <c r="G8583">
        <v>24.03</v>
      </c>
      <c r="H8583" t="s">
        <v>17</v>
      </c>
      <c r="I8583" t="str">
        <f>"060369010233"</f>
        <v>060369010233</v>
      </c>
    </row>
    <row r="8584" spans="1:9" x14ac:dyDescent="0.25">
      <c r="A8584" t="s">
        <v>7481</v>
      </c>
      <c r="B8584" t="s">
        <v>13</v>
      </c>
      <c r="C8584">
        <v>91.9</v>
      </c>
      <c r="D8584">
        <v>92</v>
      </c>
      <c r="E8584" t="s">
        <v>17</v>
      </c>
      <c r="F8584">
        <v>28.84</v>
      </c>
      <c r="G8584">
        <v>29.89</v>
      </c>
      <c r="H8584" t="s">
        <v>17</v>
      </c>
      <c r="I8584" t="str">
        <f>"064248006954"</f>
        <v>064248006954</v>
      </c>
    </row>
    <row r="8585" spans="1:9" x14ac:dyDescent="0.25">
      <c r="A8585" t="s">
        <v>7482</v>
      </c>
      <c r="B8585" t="s">
        <v>13</v>
      </c>
      <c r="C8585">
        <v>25.42</v>
      </c>
      <c r="D8585">
        <v>25.53</v>
      </c>
      <c r="E8585" t="s">
        <v>17</v>
      </c>
      <c r="F8585">
        <v>25.1</v>
      </c>
      <c r="G8585">
        <v>23.7</v>
      </c>
      <c r="H8585" t="s">
        <v>17</v>
      </c>
      <c r="I8585" t="str">
        <f>"062532003782"</f>
        <v>062532003782</v>
      </c>
    </row>
    <row r="8586" spans="1:9" x14ac:dyDescent="0.25">
      <c r="A8586" t="s">
        <v>7483</v>
      </c>
      <c r="B8586" t="s">
        <v>13</v>
      </c>
      <c r="C8586">
        <v>43</v>
      </c>
      <c r="D8586">
        <v>41</v>
      </c>
      <c r="E8586" t="s">
        <v>17</v>
      </c>
      <c r="F8586">
        <v>17.93</v>
      </c>
      <c r="G8586">
        <v>18.63</v>
      </c>
      <c r="H8586" t="s">
        <v>17</v>
      </c>
      <c r="I8586" t="str">
        <f>"061968002362"</f>
        <v>061968002362</v>
      </c>
    </row>
    <row r="8587" spans="1:9" x14ac:dyDescent="0.25">
      <c r="A8587" t="s">
        <v>7484</v>
      </c>
      <c r="B8587" t="s">
        <v>13</v>
      </c>
      <c r="C8587">
        <v>9.8000000000000007</v>
      </c>
      <c r="D8587">
        <v>10.65</v>
      </c>
      <c r="E8587" t="s">
        <v>17</v>
      </c>
      <c r="F8587">
        <v>17.649999999999999</v>
      </c>
      <c r="G8587">
        <v>16.239999999999998</v>
      </c>
      <c r="H8587" t="s">
        <v>17</v>
      </c>
      <c r="I8587" t="str">
        <f>"060004907416"</f>
        <v>060004907416</v>
      </c>
    </row>
    <row r="8588" spans="1:9" x14ac:dyDescent="0.25">
      <c r="A8588" t="s">
        <v>7485</v>
      </c>
      <c r="B8588" t="s">
        <v>13</v>
      </c>
      <c r="C8588" t="s">
        <v>17</v>
      </c>
      <c r="D8588" t="s">
        <v>17</v>
      </c>
      <c r="E8588" t="s">
        <v>17</v>
      </c>
      <c r="F8588" t="s">
        <v>17</v>
      </c>
      <c r="G8588" t="s">
        <v>17</v>
      </c>
      <c r="H8588" t="s">
        <v>17</v>
      </c>
      <c r="I8588" t="str">
        <f>"060014111427"</f>
        <v>060014111427</v>
      </c>
    </row>
    <row r="8589" spans="1:9" x14ac:dyDescent="0.25">
      <c r="A8589" t="s">
        <v>7486</v>
      </c>
      <c r="B8589" t="s">
        <v>13</v>
      </c>
      <c r="C8589">
        <v>1</v>
      </c>
      <c r="D8589">
        <v>1</v>
      </c>
      <c r="E8589" t="s">
        <v>17</v>
      </c>
      <c r="F8589">
        <v>18</v>
      </c>
      <c r="G8589">
        <v>5</v>
      </c>
      <c r="H8589" t="s">
        <v>17</v>
      </c>
      <c r="I8589" t="str">
        <f>"061350012099"</f>
        <v>061350012099</v>
      </c>
    </row>
    <row r="8590" spans="1:9" x14ac:dyDescent="0.25">
      <c r="A8590" t="s">
        <v>7487</v>
      </c>
      <c r="B8590" t="s">
        <v>13</v>
      </c>
      <c r="C8590">
        <v>11.27</v>
      </c>
      <c r="D8590">
        <v>11</v>
      </c>
      <c r="E8590" t="s">
        <v>17</v>
      </c>
      <c r="F8590">
        <v>24.13</v>
      </c>
      <c r="G8590">
        <v>24.82</v>
      </c>
      <c r="H8590" t="s">
        <v>17</v>
      </c>
      <c r="I8590" t="str">
        <f>"060330000254"</f>
        <v>060330000254</v>
      </c>
    </row>
    <row r="8591" spans="1:9" x14ac:dyDescent="0.25">
      <c r="A8591" t="s">
        <v>7487</v>
      </c>
      <c r="B8591" t="s">
        <v>13</v>
      </c>
      <c r="C8591">
        <v>26.25</v>
      </c>
      <c r="D8591">
        <v>28.75</v>
      </c>
      <c r="E8591" t="s">
        <v>17</v>
      </c>
      <c r="F8591">
        <v>26.67</v>
      </c>
      <c r="G8591">
        <v>26.3</v>
      </c>
      <c r="H8591" t="s">
        <v>17</v>
      </c>
      <c r="I8591" t="str">
        <f>"062825004373"</f>
        <v>062825004373</v>
      </c>
    </row>
    <row r="8592" spans="1:9" x14ac:dyDescent="0.25">
      <c r="A8592" t="s">
        <v>7488</v>
      </c>
      <c r="B8592" t="s">
        <v>13</v>
      </c>
      <c r="C8592">
        <v>109.18</v>
      </c>
      <c r="D8592">
        <v>109.89</v>
      </c>
      <c r="E8592" t="s">
        <v>17</v>
      </c>
      <c r="F8592">
        <v>21.07</v>
      </c>
      <c r="G8592">
        <v>20.77</v>
      </c>
      <c r="H8592" t="s">
        <v>17</v>
      </c>
      <c r="I8592" t="str">
        <f>"063567006084"</f>
        <v>063567006084</v>
      </c>
    </row>
    <row r="8593" spans="1:9" x14ac:dyDescent="0.25">
      <c r="A8593" t="s">
        <v>7489</v>
      </c>
      <c r="B8593" t="s">
        <v>13</v>
      </c>
      <c r="C8593">
        <v>8.5</v>
      </c>
      <c r="D8593">
        <v>8.5</v>
      </c>
      <c r="E8593" t="s">
        <v>17</v>
      </c>
      <c r="F8593">
        <v>27.65</v>
      </c>
      <c r="G8593">
        <v>26.71</v>
      </c>
      <c r="H8593" t="s">
        <v>17</v>
      </c>
      <c r="I8593" t="str">
        <f>"063570007360"</f>
        <v>063570007360</v>
      </c>
    </row>
    <row r="8594" spans="1:9" x14ac:dyDescent="0.25">
      <c r="A8594" t="s">
        <v>7490</v>
      </c>
      <c r="B8594" t="s">
        <v>13</v>
      </c>
      <c r="C8594">
        <v>42</v>
      </c>
      <c r="D8594">
        <v>44.28</v>
      </c>
      <c r="E8594" t="s">
        <v>17</v>
      </c>
      <c r="F8594">
        <v>20.69</v>
      </c>
      <c r="G8594">
        <v>21.12</v>
      </c>
      <c r="H8594" t="s">
        <v>17</v>
      </c>
      <c r="I8594" t="str">
        <f>"062271003333"</f>
        <v>062271003333</v>
      </c>
    </row>
    <row r="8595" spans="1:9" x14ac:dyDescent="0.25">
      <c r="A8595" t="s">
        <v>7491</v>
      </c>
      <c r="B8595" t="s">
        <v>13</v>
      </c>
      <c r="C8595">
        <v>134.81</v>
      </c>
      <c r="D8595">
        <v>139.4</v>
      </c>
      <c r="E8595" t="s">
        <v>17</v>
      </c>
      <c r="F8595">
        <v>22.56</v>
      </c>
      <c r="G8595">
        <v>22.02</v>
      </c>
      <c r="H8595" t="s">
        <v>17</v>
      </c>
      <c r="I8595" t="str">
        <f>"063570006102"</f>
        <v>063570006102</v>
      </c>
    </row>
    <row r="8596" spans="1:9" x14ac:dyDescent="0.25">
      <c r="A8596" t="s">
        <v>7492</v>
      </c>
      <c r="B8596" t="s">
        <v>13</v>
      </c>
      <c r="C8596">
        <v>54.6</v>
      </c>
      <c r="D8596">
        <v>56.02</v>
      </c>
      <c r="E8596" t="s">
        <v>17</v>
      </c>
      <c r="F8596">
        <v>28.37</v>
      </c>
      <c r="G8596">
        <v>26.37</v>
      </c>
      <c r="H8596" t="s">
        <v>17</v>
      </c>
      <c r="I8596" t="str">
        <f>"063576006114"</f>
        <v>063576006114</v>
      </c>
    </row>
    <row r="8597" spans="1:9" x14ac:dyDescent="0.25">
      <c r="A8597" t="s">
        <v>7493</v>
      </c>
      <c r="B8597" t="s">
        <v>13</v>
      </c>
      <c r="C8597">
        <v>25</v>
      </c>
      <c r="D8597">
        <v>24.64</v>
      </c>
      <c r="E8597" t="s">
        <v>17</v>
      </c>
      <c r="F8597">
        <v>22.64</v>
      </c>
      <c r="G8597">
        <v>21.79</v>
      </c>
      <c r="H8597" t="s">
        <v>17</v>
      </c>
      <c r="I8597" t="str">
        <f>"062265002789"</f>
        <v>062265002789</v>
      </c>
    </row>
    <row r="8598" spans="1:9" x14ac:dyDescent="0.25">
      <c r="A8598" t="s">
        <v>7493</v>
      </c>
      <c r="B8598" t="s">
        <v>13</v>
      </c>
      <c r="C8598">
        <v>21</v>
      </c>
      <c r="D8598">
        <v>20</v>
      </c>
      <c r="E8598" t="s">
        <v>17</v>
      </c>
      <c r="F8598">
        <v>29.71</v>
      </c>
      <c r="G8598">
        <v>30.45</v>
      </c>
      <c r="H8598" t="s">
        <v>17</v>
      </c>
      <c r="I8598" t="str">
        <f>"063579006116"</f>
        <v>063579006116</v>
      </c>
    </row>
    <row r="8599" spans="1:9" x14ac:dyDescent="0.25">
      <c r="A8599" t="s">
        <v>7494</v>
      </c>
      <c r="B8599" t="s">
        <v>13</v>
      </c>
      <c r="C8599">
        <v>47.59</v>
      </c>
      <c r="D8599">
        <v>39.630000000000003</v>
      </c>
      <c r="E8599" t="s">
        <v>17</v>
      </c>
      <c r="F8599">
        <v>22.11</v>
      </c>
      <c r="G8599">
        <v>22.36</v>
      </c>
      <c r="H8599" t="s">
        <v>17</v>
      </c>
      <c r="I8599" t="str">
        <f>"062454011023"</f>
        <v>062454011023</v>
      </c>
    </row>
    <row r="8600" spans="1:9" x14ac:dyDescent="0.25">
      <c r="A8600" t="s">
        <v>7495</v>
      </c>
      <c r="B8600" t="s">
        <v>13</v>
      </c>
      <c r="C8600">
        <v>4.9000000000000004</v>
      </c>
      <c r="D8600">
        <v>4.2</v>
      </c>
      <c r="E8600" t="s">
        <v>17</v>
      </c>
      <c r="F8600">
        <v>26.12</v>
      </c>
      <c r="G8600">
        <v>30.48</v>
      </c>
      <c r="H8600" t="s">
        <v>17</v>
      </c>
      <c r="I8600" t="str">
        <f>"063583011482"</f>
        <v>063583011482</v>
      </c>
    </row>
    <row r="8601" spans="1:9" x14ac:dyDescent="0.25">
      <c r="A8601" t="s">
        <v>7496</v>
      </c>
      <c r="B8601" t="s">
        <v>13</v>
      </c>
      <c r="C8601">
        <v>10.8</v>
      </c>
      <c r="D8601">
        <v>11.4</v>
      </c>
      <c r="E8601" t="s">
        <v>17</v>
      </c>
      <c r="F8601">
        <v>18.61</v>
      </c>
      <c r="G8601">
        <v>17.02</v>
      </c>
      <c r="H8601" t="s">
        <v>17</v>
      </c>
      <c r="I8601" t="str">
        <f>"063581005444"</f>
        <v>063581005444</v>
      </c>
    </row>
    <row r="8602" spans="1:9" x14ac:dyDescent="0.25">
      <c r="A8602" t="s">
        <v>7497</v>
      </c>
      <c r="B8602" t="s">
        <v>13</v>
      </c>
      <c r="C8602">
        <v>16.45</v>
      </c>
      <c r="D8602">
        <v>15.2</v>
      </c>
      <c r="E8602" t="s">
        <v>17</v>
      </c>
      <c r="F8602">
        <v>21.03</v>
      </c>
      <c r="G8602">
        <v>21.84</v>
      </c>
      <c r="H8602" t="s">
        <v>17</v>
      </c>
      <c r="I8602" t="str">
        <f>"063581011850"</f>
        <v>063581011850</v>
      </c>
    </row>
    <row r="8603" spans="1:9" x14ac:dyDescent="0.25">
      <c r="A8603" t="s">
        <v>7498</v>
      </c>
      <c r="B8603" t="s">
        <v>13</v>
      </c>
      <c r="C8603" t="s">
        <v>17</v>
      </c>
      <c r="D8603" t="str">
        <f>"0.33"</f>
        <v>0.33</v>
      </c>
      <c r="E8603" t="s">
        <v>17</v>
      </c>
      <c r="F8603" t="s">
        <v>17</v>
      </c>
      <c r="G8603">
        <v>3.03</v>
      </c>
      <c r="H8603" t="s">
        <v>17</v>
      </c>
      <c r="I8603" t="str">
        <f>"060570011750"</f>
        <v>060570011750</v>
      </c>
    </row>
    <row r="8604" spans="1:9" x14ac:dyDescent="0.25">
      <c r="A8604" t="s">
        <v>7499</v>
      </c>
      <c r="B8604" t="s">
        <v>13</v>
      </c>
      <c r="C8604">
        <v>12</v>
      </c>
      <c r="D8604">
        <v>12.97</v>
      </c>
      <c r="E8604" t="s">
        <v>17</v>
      </c>
      <c r="F8604">
        <v>20.25</v>
      </c>
      <c r="G8604">
        <v>18.2</v>
      </c>
      <c r="H8604" t="s">
        <v>17</v>
      </c>
      <c r="I8604" t="str">
        <f>"063581006119"</f>
        <v>063581006119</v>
      </c>
    </row>
    <row r="8605" spans="1:9" x14ac:dyDescent="0.25">
      <c r="A8605" t="s">
        <v>7500</v>
      </c>
      <c r="B8605" t="s">
        <v>13</v>
      </c>
      <c r="C8605">
        <v>89.79</v>
      </c>
      <c r="D8605">
        <v>87.08</v>
      </c>
      <c r="E8605" t="s">
        <v>17</v>
      </c>
      <c r="F8605">
        <v>22.04</v>
      </c>
      <c r="G8605">
        <v>22.81</v>
      </c>
      <c r="H8605" t="s">
        <v>17</v>
      </c>
      <c r="I8605" t="str">
        <f>"063583006132"</f>
        <v>063583006132</v>
      </c>
    </row>
    <row r="8606" spans="1:9" x14ac:dyDescent="0.25">
      <c r="A8606" t="s">
        <v>7501</v>
      </c>
      <c r="B8606" t="s">
        <v>13</v>
      </c>
      <c r="C8606">
        <v>28.7</v>
      </c>
      <c r="D8606">
        <v>28.1</v>
      </c>
      <c r="E8606" t="s">
        <v>17</v>
      </c>
      <c r="F8606">
        <v>22.61</v>
      </c>
      <c r="G8606">
        <v>22.99</v>
      </c>
      <c r="H8606" t="s">
        <v>17</v>
      </c>
      <c r="I8606" t="str">
        <f>"063583006133"</f>
        <v>063583006133</v>
      </c>
    </row>
    <row r="8607" spans="1:9" x14ac:dyDescent="0.25">
      <c r="A8607" t="s">
        <v>7502</v>
      </c>
      <c r="B8607" t="s">
        <v>13</v>
      </c>
      <c r="C8607">
        <v>20.65</v>
      </c>
      <c r="D8607">
        <v>21.15</v>
      </c>
      <c r="E8607" t="s">
        <v>17</v>
      </c>
      <c r="F8607">
        <v>24.02</v>
      </c>
      <c r="G8607">
        <v>25.15</v>
      </c>
      <c r="H8607" t="s">
        <v>17</v>
      </c>
      <c r="I8607" t="str">
        <f>"060330000255"</f>
        <v>060330000255</v>
      </c>
    </row>
    <row r="8608" spans="1:9" x14ac:dyDescent="0.25">
      <c r="A8608" t="s">
        <v>7503</v>
      </c>
      <c r="B8608" t="s">
        <v>13</v>
      </c>
      <c r="C8608">
        <v>23.83</v>
      </c>
      <c r="D8608">
        <v>22.5</v>
      </c>
      <c r="E8608" t="s">
        <v>17</v>
      </c>
      <c r="F8608">
        <v>24.97</v>
      </c>
      <c r="G8608">
        <v>25.51</v>
      </c>
      <c r="H8608" t="s">
        <v>17</v>
      </c>
      <c r="I8608" t="str">
        <f>"063099004806"</f>
        <v>063099004806</v>
      </c>
    </row>
    <row r="8609" spans="1:9" x14ac:dyDescent="0.25">
      <c r="A8609" t="s">
        <v>7504</v>
      </c>
      <c r="B8609" t="s">
        <v>13</v>
      </c>
      <c r="C8609" t="s">
        <v>17</v>
      </c>
      <c r="D8609" t="s">
        <v>14</v>
      </c>
      <c r="E8609" t="s">
        <v>14</v>
      </c>
      <c r="F8609" t="s">
        <v>17</v>
      </c>
      <c r="G8609" t="s">
        <v>14</v>
      </c>
      <c r="H8609" t="s">
        <v>14</v>
      </c>
      <c r="I8609" t="str">
        <f>"063583013137"</f>
        <v>063583013137</v>
      </c>
    </row>
    <row r="8610" spans="1:9" x14ac:dyDescent="0.25">
      <c r="A8610" t="s">
        <v>7505</v>
      </c>
      <c r="B8610" t="s">
        <v>13</v>
      </c>
      <c r="C8610">
        <v>17</v>
      </c>
      <c r="D8610">
        <v>16.5</v>
      </c>
      <c r="E8610" t="s">
        <v>17</v>
      </c>
      <c r="F8610">
        <v>20.65</v>
      </c>
      <c r="G8610">
        <v>21.82</v>
      </c>
      <c r="H8610" t="s">
        <v>17</v>
      </c>
      <c r="I8610" t="str">
        <f>"063684006265"</f>
        <v>063684006265</v>
      </c>
    </row>
    <row r="8611" spans="1:9" x14ac:dyDescent="0.25">
      <c r="A8611" t="s">
        <v>7506</v>
      </c>
      <c r="B8611" t="s">
        <v>13</v>
      </c>
      <c r="C8611">
        <v>50.06</v>
      </c>
      <c r="D8611">
        <v>49.5</v>
      </c>
      <c r="E8611" t="s">
        <v>17</v>
      </c>
      <c r="F8611">
        <v>24.81</v>
      </c>
      <c r="G8611">
        <v>25.27</v>
      </c>
      <c r="H8611" t="s">
        <v>17</v>
      </c>
      <c r="I8611" t="str">
        <f>"063684006815"</f>
        <v>063684006815</v>
      </c>
    </row>
    <row r="8612" spans="1:9" x14ac:dyDescent="0.25">
      <c r="A8612" t="s">
        <v>7507</v>
      </c>
      <c r="B8612" t="s">
        <v>13</v>
      </c>
      <c r="C8612">
        <v>23.5</v>
      </c>
      <c r="D8612">
        <v>23</v>
      </c>
      <c r="E8612" t="s">
        <v>17</v>
      </c>
      <c r="F8612">
        <v>26.6</v>
      </c>
      <c r="G8612">
        <v>26.35</v>
      </c>
      <c r="H8612" t="s">
        <v>17</v>
      </c>
      <c r="I8612" t="str">
        <f>"062781004223"</f>
        <v>062781004223</v>
      </c>
    </row>
    <row r="8613" spans="1:9" x14ac:dyDescent="0.25">
      <c r="A8613" t="s">
        <v>7508</v>
      </c>
      <c r="B8613" t="s">
        <v>13</v>
      </c>
      <c r="C8613">
        <v>89.67</v>
      </c>
      <c r="D8613">
        <v>89.79</v>
      </c>
      <c r="E8613" t="s">
        <v>17</v>
      </c>
      <c r="F8613">
        <v>24.94</v>
      </c>
      <c r="G8613">
        <v>25.04</v>
      </c>
      <c r="H8613" t="s">
        <v>17</v>
      </c>
      <c r="I8613" t="str">
        <f>"061182001308"</f>
        <v>061182001308</v>
      </c>
    </row>
    <row r="8614" spans="1:9" x14ac:dyDescent="0.25">
      <c r="A8614" t="s">
        <v>7509</v>
      </c>
      <c r="B8614" t="s">
        <v>13</v>
      </c>
      <c r="C8614">
        <v>12.95</v>
      </c>
      <c r="D8614">
        <v>12.71</v>
      </c>
      <c r="E8614" t="s">
        <v>17</v>
      </c>
      <c r="F8614">
        <v>13.67</v>
      </c>
      <c r="G8614">
        <v>13.53</v>
      </c>
      <c r="H8614" t="s">
        <v>17</v>
      </c>
      <c r="I8614" t="str">
        <f>"060933000942"</f>
        <v>060933000942</v>
      </c>
    </row>
    <row r="8615" spans="1:9" x14ac:dyDescent="0.25">
      <c r="A8615" t="s">
        <v>7510</v>
      </c>
      <c r="B8615" t="s">
        <v>13</v>
      </c>
      <c r="C8615">
        <v>10.64</v>
      </c>
      <c r="D8615">
        <v>9.8800000000000008</v>
      </c>
      <c r="E8615" t="s">
        <v>17</v>
      </c>
      <c r="F8615">
        <v>18.98</v>
      </c>
      <c r="G8615">
        <v>19.84</v>
      </c>
      <c r="H8615" t="s">
        <v>17</v>
      </c>
      <c r="I8615" t="str">
        <f>"060933010398"</f>
        <v>060933010398</v>
      </c>
    </row>
    <row r="8616" spans="1:9" x14ac:dyDescent="0.25">
      <c r="A8616" t="s">
        <v>7511</v>
      </c>
      <c r="B8616" t="s">
        <v>13</v>
      </c>
      <c r="C8616">
        <v>49.76</v>
      </c>
      <c r="D8616">
        <v>52.8</v>
      </c>
      <c r="E8616" t="s">
        <v>17</v>
      </c>
      <c r="F8616">
        <v>20</v>
      </c>
      <c r="G8616">
        <v>19.22</v>
      </c>
      <c r="H8616" t="s">
        <v>17</v>
      </c>
      <c r="I8616" t="str">
        <f>"063585006136"</f>
        <v>063585006136</v>
      </c>
    </row>
    <row r="8617" spans="1:9" x14ac:dyDescent="0.25">
      <c r="A8617" t="s">
        <v>7512</v>
      </c>
      <c r="B8617" t="s">
        <v>13</v>
      </c>
      <c r="C8617">
        <v>55.8</v>
      </c>
      <c r="D8617">
        <v>56.9</v>
      </c>
      <c r="E8617" t="s">
        <v>17</v>
      </c>
      <c r="F8617">
        <v>25.43</v>
      </c>
      <c r="G8617">
        <v>24.8</v>
      </c>
      <c r="H8617" t="s">
        <v>17</v>
      </c>
      <c r="I8617" t="str">
        <f>"061623002026"</f>
        <v>061623002026</v>
      </c>
    </row>
    <row r="8618" spans="1:9" x14ac:dyDescent="0.25">
      <c r="A8618" t="s">
        <v>7513</v>
      </c>
      <c r="B8618" t="s">
        <v>13</v>
      </c>
      <c r="C8618">
        <v>16.25</v>
      </c>
      <c r="D8618">
        <v>14.67</v>
      </c>
      <c r="E8618" t="s">
        <v>17</v>
      </c>
      <c r="F8618">
        <v>13.97</v>
      </c>
      <c r="G8618">
        <v>17.86</v>
      </c>
      <c r="H8618" t="s">
        <v>17</v>
      </c>
      <c r="I8618" t="str">
        <f>"063375005212"</f>
        <v>063375005212</v>
      </c>
    </row>
    <row r="8619" spans="1:9" x14ac:dyDescent="0.25">
      <c r="A8619" t="s">
        <v>7514</v>
      </c>
      <c r="B8619" t="s">
        <v>13</v>
      </c>
      <c r="C8619">
        <v>1.36</v>
      </c>
      <c r="D8619">
        <v>1</v>
      </c>
      <c r="E8619" t="s">
        <v>17</v>
      </c>
      <c r="F8619">
        <v>32.35</v>
      </c>
      <c r="G8619">
        <v>35</v>
      </c>
      <c r="H8619" t="s">
        <v>17</v>
      </c>
      <c r="I8619" t="str">
        <f>"063588001222"</f>
        <v>063588001222</v>
      </c>
    </row>
    <row r="8620" spans="1:9" x14ac:dyDescent="0.25">
      <c r="A8620" t="s">
        <v>7515</v>
      </c>
      <c r="B8620" t="s">
        <v>13</v>
      </c>
      <c r="C8620">
        <v>65.33</v>
      </c>
      <c r="D8620">
        <v>84.56</v>
      </c>
      <c r="E8620" t="s">
        <v>17</v>
      </c>
      <c r="F8620">
        <v>28.62</v>
      </c>
      <c r="G8620">
        <v>25.54</v>
      </c>
      <c r="H8620" t="s">
        <v>17</v>
      </c>
      <c r="I8620" t="str">
        <f>"062271011626"</f>
        <v>062271011626</v>
      </c>
    </row>
    <row r="8621" spans="1:9" x14ac:dyDescent="0.25">
      <c r="A8621" t="s">
        <v>7516</v>
      </c>
      <c r="B8621" t="s">
        <v>13</v>
      </c>
      <c r="C8621">
        <v>17</v>
      </c>
      <c r="D8621">
        <v>18</v>
      </c>
      <c r="E8621" t="s">
        <v>17</v>
      </c>
      <c r="F8621">
        <v>26.29</v>
      </c>
      <c r="G8621">
        <v>25.67</v>
      </c>
      <c r="H8621" t="s">
        <v>17</v>
      </c>
      <c r="I8621" t="str">
        <f>"061437001650"</f>
        <v>061437001650</v>
      </c>
    </row>
    <row r="8622" spans="1:9" x14ac:dyDescent="0.25">
      <c r="A8622" t="s">
        <v>7517</v>
      </c>
      <c r="B8622" t="s">
        <v>13</v>
      </c>
      <c r="C8622">
        <v>1</v>
      </c>
      <c r="D8622">
        <v>1</v>
      </c>
      <c r="E8622" t="s">
        <v>17</v>
      </c>
      <c r="F8622">
        <v>7</v>
      </c>
      <c r="G8622">
        <v>2</v>
      </c>
      <c r="H8622" t="s">
        <v>17</v>
      </c>
      <c r="I8622" t="str">
        <f>"063588010639"</f>
        <v>063588010639</v>
      </c>
    </row>
    <row r="8623" spans="1:9" x14ac:dyDescent="0.25">
      <c r="A8623" t="s">
        <v>7518</v>
      </c>
      <c r="B8623" t="s">
        <v>13</v>
      </c>
      <c r="C8623">
        <v>40</v>
      </c>
      <c r="D8623">
        <v>40</v>
      </c>
      <c r="E8623" t="s">
        <v>17</v>
      </c>
      <c r="F8623">
        <v>29.6</v>
      </c>
      <c r="G8623">
        <v>27.23</v>
      </c>
      <c r="H8623" t="s">
        <v>17</v>
      </c>
      <c r="I8623" t="str">
        <f>"063531006006"</f>
        <v>063531006006</v>
      </c>
    </row>
    <row r="8624" spans="1:9" x14ac:dyDescent="0.25">
      <c r="A8624" t="s">
        <v>7518</v>
      </c>
      <c r="B8624" t="s">
        <v>13</v>
      </c>
      <c r="C8624">
        <v>22.5</v>
      </c>
      <c r="D8624">
        <v>22.39</v>
      </c>
      <c r="E8624" t="s">
        <v>17</v>
      </c>
      <c r="F8624">
        <v>25.64</v>
      </c>
      <c r="G8624">
        <v>26.8</v>
      </c>
      <c r="H8624" t="s">
        <v>17</v>
      </c>
      <c r="I8624" t="str">
        <f>"063386005313"</f>
        <v>063386005313</v>
      </c>
    </row>
    <row r="8625" spans="1:9" x14ac:dyDescent="0.25">
      <c r="A8625" t="s">
        <v>7519</v>
      </c>
      <c r="B8625" t="s">
        <v>13</v>
      </c>
      <c r="C8625">
        <v>82.48</v>
      </c>
      <c r="D8625">
        <v>82.41</v>
      </c>
      <c r="E8625" t="s">
        <v>17</v>
      </c>
      <c r="F8625">
        <v>28.56</v>
      </c>
      <c r="G8625">
        <v>28.27</v>
      </c>
      <c r="H8625" t="s">
        <v>17</v>
      </c>
      <c r="I8625" t="str">
        <f>"061488001878"</f>
        <v>061488001878</v>
      </c>
    </row>
    <row r="8626" spans="1:9" x14ac:dyDescent="0.25">
      <c r="A8626" t="s">
        <v>7519</v>
      </c>
      <c r="B8626" t="s">
        <v>13</v>
      </c>
      <c r="C8626">
        <v>140.1</v>
      </c>
      <c r="D8626">
        <v>137.05000000000001</v>
      </c>
      <c r="E8626" t="s">
        <v>17</v>
      </c>
      <c r="F8626">
        <v>26.6</v>
      </c>
      <c r="G8626">
        <v>27.47</v>
      </c>
      <c r="H8626" t="s">
        <v>17</v>
      </c>
      <c r="I8626" t="str">
        <f>"060985004959"</f>
        <v>060985004959</v>
      </c>
    </row>
    <row r="8627" spans="1:9" x14ac:dyDescent="0.25">
      <c r="A8627" t="s">
        <v>7520</v>
      </c>
      <c r="B8627" t="s">
        <v>13</v>
      </c>
      <c r="C8627">
        <v>23</v>
      </c>
      <c r="D8627">
        <v>20</v>
      </c>
      <c r="E8627" t="s">
        <v>17</v>
      </c>
      <c r="F8627">
        <v>27.74</v>
      </c>
      <c r="G8627">
        <v>28.05</v>
      </c>
      <c r="H8627" t="s">
        <v>17</v>
      </c>
      <c r="I8627" t="str">
        <f>"068450007064"</f>
        <v>068450007064</v>
      </c>
    </row>
    <row r="8628" spans="1:9" x14ac:dyDescent="0.25">
      <c r="A8628" t="s">
        <v>7521</v>
      </c>
      <c r="B8628" t="s">
        <v>13</v>
      </c>
      <c r="C8628">
        <v>35.840000000000003</v>
      </c>
      <c r="D8628">
        <v>36.1</v>
      </c>
      <c r="E8628" t="s">
        <v>17</v>
      </c>
      <c r="F8628">
        <v>27.4</v>
      </c>
      <c r="G8628">
        <v>26.9</v>
      </c>
      <c r="H8628" t="s">
        <v>17</v>
      </c>
      <c r="I8628" t="str">
        <f>"062865004450"</f>
        <v>062865004450</v>
      </c>
    </row>
    <row r="8629" spans="1:9" x14ac:dyDescent="0.25">
      <c r="A8629" t="s">
        <v>7522</v>
      </c>
      <c r="B8629" t="s">
        <v>13</v>
      </c>
      <c r="C8629">
        <v>27.5</v>
      </c>
      <c r="D8629">
        <v>29</v>
      </c>
      <c r="E8629" t="s">
        <v>17</v>
      </c>
      <c r="F8629">
        <v>24.91</v>
      </c>
      <c r="G8629">
        <v>23.03</v>
      </c>
      <c r="H8629" t="s">
        <v>17</v>
      </c>
      <c r="I8629" t="str">
        <f>"062271000444"</f>
        <v>062271000444</v>
      </c>
    </row>
    <row r="8630" spans="1:9" x14ac:dyDescent="0.25">
      <c r="A8630" t="s">
        <v>7523</v>
      </c>
      <c r="B8630" t="s">
        <v>13</v>
      </c>
      <c r="C8630">
        <v>24.3</v>
      </c>
      <c r="D8630">
        <v>23.62</v>
      </c>
      <c r="E8630" t="s">
        <v>17</v>
      </c>
      <c r="F8630">
        <v>34.07</v>
      </c>
      <c r="G8630">
        <v>32.85</v>
      </c>
      <c r="H8630" t="s">
        <v>17</v>
      </c>
      <c r="I8630" t="str">
        <f>"061488001861"</f>
        <v>061488001861</v>
      </c>
    </row>
    <row r="8631" spans="1:9" x14ac:dyDescent="0.25">
      <c r="A8631" t="s">
        <v>7524</v>
      </c>
      <c r="B8631" t="s">
        <v>13</v>
      </c>
      <c r="C8631">
        <v>18</v>
      </c>
      <c r="D8631">
        <v>18</v>
      </c>
      <c r="E8631" t="s">
        <v>17</v>
      </c>
      <c r="F8631">
        <v>22.72</v>
      </c>
      <c r="G8631">
        <v>22.5</v>
      </c>
      <c r="H8631" t="s">
        <v>17</v>
      </c>
      <c r="I8631" t="str">
        <f>"063591006151"</f>
        <v>063591006151</v>
      </c>
    </row>
    <row r="8632" spans="1:9" x14ac:dyDescent="0.25">
      <c r="A8632" t="s">
        <v>7525</v>
      </c>
      <c r="B8632" t="s">
        <v>13</v>
      </c>
      <c r="C8632">
        <v>68.5</v>
      </c>
      <c r="D8632">
        <v>68.349999999999994</v>
      </c>
      <c r="E8632" t="s">
        <v>17</v>
      </c>
      <c r="F8632">
        <v>20.86</v>
      </c>
      <c r="G8632">
        <v>20.76</v>
      </c>
      <c r="H8632" t="s">
        <v>17</v>
      </c>
      <c r="I8632" t="str">
        <f>"062280003487"</f>
        <v>062280003487</v>
      </c>
    </row>
    <row r="8633" spans="1:9" x14ac:dyDescent="0.25">
      <c r="A8633" t="s">
        <v>7526</v>
      </c>
      <c r="B8633" t="s">
        <v>13</v>
      </c>
      <c r="C8633">
        <v>22</v>
      </c>
      <c r="D8633">
        <v>23.5</v>
      </c>
      <c r="E8633" t="s">
        <v>17</v>
      </c>
      <c r="F8633">
        <v>23.86</v>
      </c>
      <c r="G8633">
        <v>22.51</v>
      </c>
      <c r="H8633" t="s">
        <v>17</v>
      </c>
      <c r="I8633" t="str">
        <f>"060714000655"</f>
        <v>060714000655</v>
      </c>
    </row>
    <row r="8634" spans="1:9" x14ac:dyDescent="0.25">
      <c r="A8634" t="s">
        <v>7527</v>
      </c>
      <c r="B8634" t="s">
        <v>13</v>
      </c>
      <c r="C8634">
        <v>17</v>
      </c>
      <c r="D8634">
        <v>20.7</v>
      </c>
      <c r="E8634" t="s">
        <v>17</v>
      </c>
      <c r="F8634">
        <v>23.71</v>
      </c>
      <c r="G8634">
        <v>18.989999999999998</v>
      </c>
      <c r="H8634" t="s">
        <v>17</v>
      </c>
      <c r="I8634" t="str">
        <f>"063720006303"</f>
        <v>063720006303</v>
      </c>
    </row>
    <row r="8635" spans="1:9" x14ac:dyDescent="0.25">
      <c r="A8635" t="s">
        <v>7528</v>
      </c>
      <c r="B8635" t="s">
        <v>13</v>
      </c>
      <c r="C8635">
        <v>25</v>
      </c>
      <c r="D8635">
        <v>26</v>
      </c>
      <c r="E8635" t="s">
        <v>17</v>
      </c>
      <c r="F8635">
        <v>22.6</v>
      </c>
      <c r="G8635">
        <v>22.42</v>
      </c>
      <c r="H8635" t="s">
        <v>17</v>
      </c>
      <c r="I8635" t="str">
        <f>"062271003334"</f>
        <v>062271003334</v>
      </c>
    </row>
    <row r="8636" spans="1:9" x14ac:dyDescent="0.25">
      <c r="A8636" t="s">
        <v>7529</v>
      </c>
      <c r="B8636" t="s">
        <v>13</v>
      </c>
      <c r="C8636">
        <v>20</v>
      </c>
      <c r="D8636">
        <v>22</v>
      </c>
      <c r="E8636" t="s">
        <v>17</v>
      </c>
      <c r="F8636">
        <v>23.3</v>
      </c>
      <c r="G8636">
        <v>22.77</v>
      </c>
      <c r="H8636" t="s">
        <v>17</v>
      </c>
      <c r="I8636" t="str">
        <f>"062271003337"</f>
        <v>062271003337</v>
      </c>
    </row>
    <row r="8637" spans="1:9" x14ac:dyDescent="0.25">
      <c r="A8637" t="s">
        <v>7530</v>
      </c>
      <c r="B8637" t="s">
        <v>13</v>
      </c>
      <c r="C8637">
        <v>4.9000000000000004</v>
      </c>
      <c r="D8637">
        <v>4.9000000000000004</v>
      </c>
      <c r="E8637" t="s">
        <v>17</v>
      </c>
      <c r="F8637">
        <v>16.73</v>
      </c>
      <c r="G8637">
        <v>12.24</v>
      </c>
      <c r="H8637" t="s">
        <v>17</v>
      </c>
      <c r="I8637" t="str">
        <f>"063594006152"</f>
        <v>063594006152</v>
      </c>
    </row>
    <row r="8638" spans="1:9" x14ac:dyDescent="0.25">
      <c r="A8638" t="s">
        <v>7531</v>
      </c>
      <c r="B8638" t="s">
        <v>13</v>
      </c>
      <c r="C8638">
        <v>86.05</v>
      </c>
      <c r="D8638">
        <v>87.2</v>
      </c>
      <c r="E8638" t="s">
        <v>17</v>
      </c>
      <c r="F8638">
        <v>27.54</v>
      </c>
      <c r="G8638">
        <v>26.97</v>
      </c>
      <c r="H8638" t="s">
        <v>17</v>
      </c>
      <c r="I8638" t="str">
        <f>"064251006961"</f>
        <v>064251006961</v>
      </c>
    </row>
    <row r="8639" spans="1:9" x14ac:dyDescent="0.25">
      <c r="A8639" t="s">
        <v>7532</v>
      </c>
      <c r="B8639" t="s">
        <v>13</v>
      </c>
      <c r="C8639">
        <v>44.2</v>
      </c>
      <c r="D8639">
        <v>44.25</v>
      </c>
      <c r="E8639" t="s">
        <v>17</v>
      </c>
      <c r="F8639">
        <v>25.29</v>
      </c>
      <c r="G8639">
        <v>26.06</v>
      </c>
      <c r="H8639" t="s">
        <v>17</v>
      </c>
      <c r="I8639" t="str">
        <f>"060907007604"</f>
        <v>060907007604</v>
      </c>
    </row>
    <row r="8640" spans="1:9" x14ac:dyDescent="0.25">
      <c r="A8640" t="s">
        <v>7533</v>
      </c>
      <c r="B8640" t="s">
        <v>13</v>
      </c>
      <c r="C8640">
        <v>31.1</v>
      </c>
      <c r="D8640">
        <v>32</v>
      </c>
      <c r="E8640" t="s">
        <v>17</v>
      </c>
      <c r="F8640">
        <v>23.63</v>
      </c>
      <c r="G8640">
        <v>23.47</v>
      </c>
      <c r="H8640" t="s">
        <v>17</v>
      </c>
      <c r="I8640" t="str">
        <f>"060133211951"</f>
        <v>060133211951</v>
      </c>
    </row>
    <row r="8641" spans="1:9" x14ac:dyDescent="0.25">
      <c r="A8641" t="s">
        <v>7534</v>
      </c>
      <c r="B8641" t="s">
        <v>13</v>
      </c>
      <c r="C8641">
        <v>79.25</v>
      </c>
      <c r="D8641">
        <v>83.5</v>
      </c>
      <c r="E8641" t="s">
        <v>17</v>
      </c>
      <c r="F8641">
        <v>26.89</v>
      </c>
      <c r="G8641">
        <v>26.96</v>
      </c>
      <c r="H8641" t="s">
        <v>17</v>
      </c>
      <c r="I8641" t="str">
        <f>"060263000187"</f>
        <v>060263000187</v>
      </c>
    </row>
    <row r="8642" spans="1:9" x14ac:dyDescent="0.25">
      <c r="A8642" t="s">
        <v>7535</v>
      </c>
      <c r="B8642" t="s">
        <v>13</v>
      </c>
      <c r="C8642">
        <v>20</v>
      </c>
      <c r="D8642">
        <v>22</v>
      </c>
      <c r="E8642" t="s">
        <v>17</v>
      </c>
      <c r="F8642">
        <v>27.5</v>
      </c>
      <c r="G8642">
        <v>26.59</v>
      </c>
      <c r="H8642" t="s">
        <v>17</v>
      </c>
      <c r="I8642" t="str">
        <f>"063357005181"</f>
        <v>063357005181</v>
      </c>
    </row>
    <row r="8643" spans="1:9" x14ac:dyDescent="0.25">
      <c r="A8643" t="s">
        <v>7536</v>
      </c>
      <c r="B8643" t="s">
        <v>13</v>
      </c>
      <c r="C8643" t="s">
        <v>17</v>
      </c>
      <c r="D8643" t="s">
        <v>14</v>
      </c>
      <c r="E8643" t="s">
        <v>14</v>
      </c>
      <c r="F8643" t="s">
        <v>17</v>
      </c>
      <c r="G8643" t="s">
        <v>14</v>
      </c>
      <c r="H8643" t="s">
        <v>14</v>
      </c>
      <c r="I8643" t="str">
        <f>"062610013074"</f>
        <v>062610013074</v>
      </c>
    </row>
    <row r="8644" spans="1:9" x14ac:dyDescent="0.25">
      <c r="A8644" t="s">
        <v>7537</v>
      </c>
      <c r="B8644" t="s">
        <v>13</v>
      </c>
      <c r="C8644">
        <v>1</v>
      </c>
      <c r="D8644">
        <v>1</v>
      </c>
      <c r="E8644" t="s">
        <v>17</v>
      </c>
      <c r="F8644">
        <v>4</v>
      </c>
      <c r="G8644">
        <v>4</v>
      </c>
      <c r="H8644" t="s">
        <v>17</v>
      </c>
      <c r="I8644" t="str">
        <f>"069105208742"</f>
        <v>069105208742</v>
      </c>
    </row>
    <row r="8645" spans="1:9" x14ac:dyDescent="0.25">
      <c r="A8645" t="s">
        <v>7538</v>
      </c>
      <c r="B8645" t="s">
        <v>13</v>
      </c>
      <c r="C8645">
        <v>21.9</v>
      </c>
      <c r="D8645">
        <v>19</v>
      </c>
      <c r="E8645" t="s">
        <v>17</v>
      </c>
      <c r="F8645">
        <v>26.12</v>
      </c>
      <c r="G8645">
        <v>26.79</v>
      </c>
      <c r="H8645" t="s">
        <v>17</v>
      </c>
      <c r="I8645" t="str">
        <f>"063963006598"</f>
        <v>063963006598</v>
      </c>
    </row>
    <row r="8646" spans="1:9" x14ac:dyDescent="0.25">
      <c r="A8646" t="s">
        <v>7539</v>
      </c>
      <c r="B8646" t="s">
        <v>13</v>
      </c>
      <c r="C8646">
        <v>33.61</v>
      </c>
      <c r="D8646">
        <v>31.5</v>
      </c>
      <c r="E8646" t="s">
        <v>17</v>
      </c>
      <c r="F8646">
        <v>21.69</v>
      </c>
      <c r="G8646">
        <v>20.059999999999999</v>
      </c>
      <c r="H8646" t="s">
        <v>17</v>
      </c>
      <c r="I8646" t="str">
        <f>"061455001764"</f>
        <v>061455001764</v>
      </c>
    </row>
    <row r="8647" spans="1:9" x14ac:dyDescent="0.25">
      <c r="A8647" t="s">
        <v>7540</v>
      </c>
      <c r="B8647" t="s">
        <v>13</v>
      </c>
      <c r="C8647">
        <v>14</v>
      </c>
      <c r="D8647">
        <v>14.02</v>
      </c>
      <c r="E8647" t="s">
        <v>14</v>
      </c>
      <c r="F8647">
        <v>21.43</v>
      </c>
      <c r="G8647">
        <v>17.48</v>
      </c>
      <c r="H8647" t="s">
        <v>14</v>
      </c>
      <c r="I8647" t="str">
        <f>"062271012953"</f>
        <v>062271012953</v>
      </c>
    </row>
    <row r="8648" spans="1:9" x14ac:dyDescent="0.25">
      <c r="A8648" t="s">
        <v>7541</v>
      </c>
      <c r="B8648" t="s">
        <v>13</v>
      </c>
      <c r="C8648">
        <v>22.5</v>
      </c>
      <c r="D8648">
        <v>18</v>
      </c>
      <c r="E8648" t="s">
        <v>17</v>
      </c>
      <c r="F8648">
        <v>26.84</v>
      </c>
      <c r="G8648">
        <v>25.89</v>
      </c>
      <c r="H8648" t="s">
        <v>17</v>
      </c>
      <c r="I8648" t="str">
        <f>"061674002130"</f>
        <v>061674002130</v>
      </c>
    </row>
    <row r="8649" spans="1:9" x14ac:dyDescent="0.25">
      <c r="A8649" t="s">
        <v>7542</v>
      </c>
      <c r="B8649" t="s">
        <v>13</v>
      </c>
      <c r="C8649">
        <v>20.6</v>
      </c>
      <c r="D8649">
        <v>22.5</v>
      </c>
      <c r="E8649" t="s">
        <v>17</v>
      </c>
      <c r="F8649">
        <v>27.38</v>
      </c>
      <c r="G8649">
        <v>26.58</v>
      </c>
      <c r="H8649" t="s">
        <v>17</v>
      </c>
      <c r="I8649" t="str">
        <f>"063459005737"</f>
        <v>063459005737</v>
      </c>
    </row>
    <row r="8650" spans="1:9" x14ac:dyDescent="0.25">
      <c r="A8650" t="s">
        <v>7543</v>
      </c>
      <c r="B8650" t="s">
        <v>13</v>
      </c>
      <c r="C8650">
        <v>26.96</v>
      </c>
      <c r="D8650">
        <v>32.5</v>
      </c>
      <c r="E8650" t="s">
        <v>17</v>
      </c>
      <c r="F8650">
        <v>25.67</v>
      </c>
      <c r="G8650">
        <v>20.62</v>
      </c>
      <c r="H8650" t="s">
        <v>17</v>
      </c>
      <c r="I8650" t="str">
        <f>"060003901213"</f>
        <v>060003901213</v>
      </c>
    </row>
    <row r="8651" spans="1:9" x14ac:dyDescent="0.25">
      <c r="A8651" t="s">
        <v>7544</v>
      </c>
      <c r="B8651" t="s">
        <v>13</v>
      </c>
      <c r="C8651">
        <v>21</v>
      </c>
      <c r="D8651">
        <v>23</v>
      </c>
      <c r="E8651" t="s">
        <v>17</v>
      </c>
      <c r="F8651">
        <v>24.71</v>
      </c>
      <c r="G8651">
        <v>22.96</v>
      </c>
      <c r="H8651" t="s">
        <v>17</v>
      </c>
      <c r="I8651" t="str">
        <f>"064215006912"</f>
        <v>064215006912</v>
      </c>
    </row>
    <row r="8652" spans="1:9" x14ac:dyDescent="0.25">
      <c r="A8652" t="s">
        <v>7545</v>
      </c>
      <c r="B8652" t="s">
        <v>13</v>
      </c>
      <c r="C8652">
        <v>21.42</v>
      </c>
      <c r="D8652">
        <v>17.899999999999999</v>
      </c>
      <c r="E8652" t="s">
        <v>17</v>
      </c>
      <c r="F8652">
        <v>19.559999999999999</v>
      </c>
      <c r="G8652">
        <v>22.4</v>
      </c>
      <c r="H8652" t="s">
        <v>17</v>
      </c>
      <c r="I8652" t="str">
        <f>"060013611207"</f>
        <v>060013611207</v>
      </c>
    </row>
    <row r="8653" spans="1:9" x14ac:dyDescent="0.25">
      <c r="A8653" t="s">
        <v>7546</v>
      </c>
      <c r="B8653" t="s">
        <v>13</v>
      </c>
      <c r="C8653">
        <v>40.25</v>
      </c>
      <c r="D8653">
        <v>41.04</v>
      </c>
      <c r="E8653" t="s">
        <v>17</v>
      </c>
      <c r="F8653">
        <v>23.6</v>
      </c>
      <c r="G8653">
        <v>22.9</v>
      </c>
      <c r="H8653" t="s">
        <v>17</v>
      </c>
      <c r="I8653" t="str">
        <f>"062271011650"</f>
        <v>062271011650</v>
      </c>
    </row>
    <row r="8654" spans="1:9" x14ac:dyDescent="0.25">
      <c r="A8654" t="s">
        <v>7547</v>
      </c>
      <c r="B8654" t="s">
        <v>13</v>
      </c>
      <c r="C8654">
        <v>15.8</v>
      </c>
      <c r="D8654">
        <v>12.12</v>
      </c>
      <c r="E8654" t="s">
        <v>17</v>
      </c>
      <c r="F8654">
        <v>30.19</v>
      </c>
      <c r="G8654">
        <v>32.340000000000003</v>
      </c>
      <c r="H8654" t="s">
        <v>17</v>
      </c>
      <c r="I8654" t="str">
        <f>"063384012139"</f>
        <v>063384012139</v>
      </c>
    </row>
    <row r="8655" spans="1:9" x14ac:dyDescent="0.25">
      <c r="A8655" t="s">
        <v>7548</v>
      </c>
      <c r="B8655" t="s">
        <v>13</v>
      </c>
      <c r="C8655">
        <v>15.33</v>
      </c>
      <c r="D8655">
        <v>22.13</v>
      </c>
      <c r="E8655" t="s">
        <v>17</v>
      </c>
      <c r="F8655">
        <v>23.68</v>
      </c>
      <c r="G8655">
        <v>19.88</v>
      </c>
      <c r="H8655" t="s">
        <v>17</v>
      </c>
      <c r="I8655" t="str">
        <f>"062271012441"</f>
        <v>062271012441</v>
      </c>
    </row>
    <row r="8656" spans="1:9" x14ac:dyDescent="0.25">
      <c r="A8656" t="s">
        <v>7549</v>
      </c>
      <c r="B8656" t="s">
        <v>13</v>
      </c>
      <c r="C8656">
        <v>10</v>
      </c>
      <c r="D8656">
        <v>10.5</v>
      </c>
      <c r="E8656" t="s">
        <v>17</v>
      </c>
      <c r="F8656">
        <v>25.2</v>
      </c>
      <c r="G8656">
        <v>25.81</v>
      </c>
      <c r="H8656" t="s">
        <v>17</v>
      </c>
      <c r="I8656" t="str">
        <f>"063132012112"</f>
        <v>063132012112</v>
      </c>
    </row>
    <row r="8657" spans="1:9" x14ac:dyDescent="0.25">
      <c r="A8657" t="s">
        <v>7550</v>
      </c>
      <c r="B8657" t="s">
        <v>13</v>
      </c>
      <c r="C8657">
        <v>23</v>
      </c>
      <c r="D8657">
        <v>26.04</v>
      </c>
      <c r="E8657" t="s">
        <v>17</v>
      </c>
      <c r="F8657">
        <v>18.13</v>
      </c>
      <c r="G8657">
        <v>18.36</v>
      </c>
      <c r="H8657" t="s">
        <v>17</v>
      </c>
      <c r="I8657" t="str">
        <f>"062271012814"</f>
        <v>062271012814</v>
      </c>
    </row>
    <row r="8658" spans="1:9" x14ac:dyDescent="0.25">
      <c r="A8658" t="s">
        <v>7551</v>
      </c>
      <c r="B8658" t="s">
        <v>13</v>
      </c>
      <c r="C8658">
        <v>20.5</v>
      </c>
      <c r="D8658">
        <v>25.02</v>
      </c>
      <c r="E8658" t="s">
        <v>17</v>
      </c>
      <c r="F8658">
        <v>21.85</v>
      </c>
      <c r="G8658">
        <v>19.34</v>
      </c>
      <c r="H8658" t="s">
        <v>17</v>
      </c>
      <c r="I8658" t="str">
        <f>"062271012623"</f>
        <v>062271012623</v>
      </c>
    </row>
    <row r="8659" spans="1:9" x14ac:dyDescent="0.25">
      <c r="A8659" t="s">
        <v>7552</v>
      </c>
      <c r="B8659" t="s">
        <v>13</v>
      </c>
      <c r="C8659">
        <v>10</v>
      </c>
      <c r="D8659">
        <v>10</v>
      </c>
      <c r="E8659" t="s">
        <v>17</v>
      </c>
      <c r="F8659">
        <v>21.4</v>
      </c>
      <c r="G8659">
        <v>21.8</v>
      </c>
      <c r="H8659" t="s">
        <v>17</v>
      </c>
      <c r="I8659" t="str">
        <f>"061455007497"</f>
        <v>061455007497</v>
      </c>
    </row>
    <row r="8660" spans="1:9" x14ac:dyDescent="0.25">
      <c r="A8660" t="s">
        <v>7553</v>
      </c>
      <c r="B8660" t="s">
        <v>13</v>
      </c>
      <c r="C8660">
        <v>23</v>
      </c>
      <c r="D8660">
        <v>23</v>
      </c>
      <c r="E8660" t="s">
        <v>17</v>
      </c>
      <c r="F8660">
        <v>25.48</v>
      </c>
      <c r="G8660">
        <v>24.78</v>
      </c>
      <c r="H8660" t="s">
        <v>17</v>
      </c>
      <c r="I8660" t="str">
        <f>"064215006913"</f>
        <v>064215006913</v>
      </c>
    </row>
    <row r="8661" spans="1:9" x14ac:dyDescent="0.25">
      <c r="A8661" t="s">
        <v>7554</v>
      </c>
      <c r="B8661" t="s">
        <v>13</v>
      </c>
      <c r="C8661">
        <v>114.7</v>
      </c>
      <c r="D8661">
        <v>121.69</v>
      </c>
      <c r="E8661" t="s">
        <v>17</v>
      </c>
      <c r="F8661">
        <v>27.72</v>
      </c>
      <c r="G8661">
        <v>27.38</v>
      </c>
      <c r="H8661" t="s">
        <v>17</v>
      </c>
      <c r="I8661" t="str">
        <f>"062547003808"</f>
        <v>062547003808</v>
      </c>
    </row>
    <row r="8662" spans="1:9" x14ac:dyDescent="0.25">
      <c r="A8662" t="s">
        <v>7555</v>
      </c>
      <c r="B8662" t="s">
        <v>13</v>
      </c>
      <c r="C8662">
        <v>9.5</v>
      </c>
      <c r="D8662" t="s">
        <v>14</v>
      </c>
      <c r="E8662" t="s">
        <v>14</v>
      </c>
      <c r="F8662">
        <v>28.95</v>
      </c>
      <c r="G8662" t="s">
        <v>14</v>
      </c>
      <c r="H8662" t="s">
        <v>14</v>
      </c>
      <c r="I8662" t="str">
        <f>"062271013162"</f>
        <v>062271013162</v>
      </c>
    </row>
    <row r="8663" spans="1:9" x14ac:dyDescent="0.25">
      <c r="A8663" t="s">
        <v>7556</v>
      </c>
      <c r="B8663" t="s">
        <v>13</v>
      </c>
      <c r="C8663">
        <v>10.5</v>
      </c>
      <c r="D8663">
        <v>8</v>
      </c>
      <c r="E8663" t="s">
        <v>17</v>
      </c>
      <c r="F8663">
        <v>24</v>
      </c>
      <c r="G8663">
        <v>26.25</v>
      </c>
      <c r="H8663" t="s">
        <v>17</v>
      </c>
      <c r="I8663" t="str">
        <f>"064308012745"</f>
        <v>064308012745</v>
      </c>
    </row>
    <row r="8664" spans="1:9" x14ac:dyDescent="0.25">
      <c r="A8664" t="s">
        <v>7557</v>
      </c>
      <c r="B8664" t="s">
        <v>13</v>
      </c>
      <c r="C8664" t="s">
        <v>17</v>
      </c>
      <c r="D8664" t="s">
        <v>17</v>
      </c>
      <c r="E8664" t="s">
        <v>17</v>
      </c>
      <c r="F8664" t="s">
        <v>17</v>
      </c>
      <c r="G8664" t="s">
        <v>17</v>
      </c>
      <c r="H8664" t="s">
        <v>17</v>
      </c>
      <c r="I8664" t="str">
        <f>"069107812775"</f>
        <v>069107812775</v>
      </c>
    </row>
    <row r="8665" spans="1:9" x14ac:dyDescent="0.25">
      <c r="A8665" t="s">
        <v>7558</v>
      </c>
      <c r="B8665" t="s">
        <v>13</v>
      </c>
      <c r="C8665">
        <v>27</v>
      </c>
      <c r="D8665">
        <v>25.05</v>
      </c>
      <c r="E8665" t="s">
        <v>17</v>
      </c>
      <c r="F8665">
        <v>24.11</v>
      </c>
      <c r="G8665">
        <v>23.71</v>
      </c>
      <c r="H8665" t="s">
        <v>17</v>
      </c>
      <c r="I8665" t="str">
        <f>"061185001322"</f>
        <v>061185001322</v>
      </c>
    </row>
    <row r="8666" spans="1:9" x14ac:dyDescent="0.25">
      <c r="A8666" t="s">
        <v>7559</v>
      </c>
      <c r="B8666" t="s">
        <v>13</v>
      </c>
      <c r="C8666">
        <v>16.5</v>
      </c>
      <c r="D8666">
        <v>19.5</v>
      </c>
      <c r="E8666" t="s">
        <v>17</v>
      </c>
      <c r="F8666">
        <v>29.27</v>
      </c>
      <c r="G8666">
        <v>26.77</v>
      </c>
      <c r="H8666" t="s">
        <v>17</v>
      </c>
      <c r="I8666" t="str">
        <f>"063543006051"</f>
        <v>063543006051</v>
      </c>
    </row>
    <row r="8667" spans="1:9" x14ac:dyDescent="0.25">
      <c r="A8667" t="s">
        <v>7560</v>
      </c>
      <c r="B8667" t="s">
        <v>13</v>
      </c>
      <c r="C8667" t="s">
        <v>17</v>
      </c>
      <c r="D8667" t="s">
        <v>17</v>
      </c>
      <c r="E8667" t="s">
        <v>17</v>
      </c>
      <c r="F8667" t="s">
        <v>17</v>
      </c>
      <c r="G8667" t="s">
        <v>17</v>
      </c>
      <c r="H8667" t="s">
        <v>17</v>
      </c>
      <c r="I8667" t="str">
        <f>"060015907446"</f>
        <v>060015907446</v>
      </c>
    </row>
    <row r="8668" spans="1:9" x14ac:dyDescent="0.25">
      <c r="A8668" t="s">
        <v>7561</v>
      </c>
      <c r="B8668" t="s">
        <v>13</v>
      </c>
      <c r="C8668" t="str">
        <f>"0.85"</f>
        <v>0.85</v>
      </c>
      <c r="D8668" t="str">
        <f>"0.75"</f>
        <v>0.75</v>
      </c>
      <c r="E8668" t="s">
        <v>17</v>
      </c>
      <c r="F8668">
        <v>16.47</v>
      </c>
      <c r="G8668">
        <v>17.329999999999998</v>
      </c>
      <c r="H8668" t="s">
        <v>17</v>
      </c>
      <c r="I8668" t="str">
        <f>"060015904089"</f>
        <v>060015904089</v>
      </c>
    </row>
    <row r="8669" spans="1:9" x14ac:dyDescent="0.25">
      <c r="A8669" t="s">
        <v>7562</v>
      </c>
      <c r="B8669" t="s">
        <v>13</v>
      </c>
      <c r="C8669">
        <v>1</v>
      </c>
      <c r="D8669">
        <v>1</v>
      </c>
      <c r="E8669" t="s">
        <v>17</v>
      </c>
      <c r="F8669">
        <v>7</v>
      </c>
      <c r="G8669">
        <v>7</v>
      </c>
      <c r="H8669" t="s">
        <v>17</v>
      </c>
      <c r="I8669" t="str">
        <f>"060015910426"</f>
        <v>060015910426</v>
      </c>
    </row>
    <row r="8670" spans="1:9" x14ac:dyDescent="0.25">
      <c r="A8670" t="s">
        <v>7563</v>
      </c>
      <c r="B8670" t="s">
        <v>13</v>
      </c>
      <c r="C8670">
        <v>6.84</v>
      </c>
      <c r="D8670">
        <v>6.84</v>
      </c>
      <c r="E8670" t="s">
        <v>17</v>
      </c>
      <c r="F8670">
        <v>15.64</v>
      </c>
      <c r="G8670">
        <v>14.91</v>
      </c>
      <c r="H8670" t="s">
        <v>17</v>
      </c>
      <c r="I8670" t="str">
        <f>"060015908834"</f>
        <v>060015908834</v>
      </c>
    </row>
    <row r="8671" spans="1:9" x14ac:dyDescent="0.25">
      <c r="A8671" t="s">
        <v>7564</v>
      </c>
      <c r="B8671" t="s">
        <v>13</v>
      </c>
      <c r="C8671">
        <v>8</v>
      </c>
      <c r="D8671">
        <v>4</v>
      </c>
      <c r="E8671" t="s">
        <v>17</v>
      </c>
      <c r="F8671">
        <v>6.5</v>
      </c>
      <c r="G8671">
        <v>5.5</v>
      </c>
      <c r="H8671" t="s">
        <v>17</v>
      </c>
      <c r="I8671" t="str">
        <f>"069107812680"</f>
        <v>069107812680</v>
      </c>
    </row>
    <row r="8672" spans="1:9" x14ac:dyDescent="0.25">
      <c r="A8672" t="s">
        <v>7565</v>
      </c>
      <c r="B8672" t="s">
        <v>13</v>
      </c>
      <c r="C8672">
        <v>35.409999999999997</v>
      </c>
      <c r="D8672">
        <v>35.299999999999997</v>
      </c>
      <c r="E8672" t="s">
        <v>17</v>
      </c>
      <c r="F8672">
        <v>22.28</v>
      </c>
      <c r="G8672">
        <v>22.01</v>
      </c>
      <c r="H8672" t="s">
        <v>17</v>
      </c>
      <c r="I8672" t="str">
        <f>"060004308369"</f>
        <v>060004308369</v>
      </c>
    </row>
    <row r="8673" spans="1:9" x14ac:dyDescent="0.25">
      <c r="A8673" t="s">
        <v>7566</v>
      </c>
      <c r="B8673" t="s">
        <v>13</v>
      </c>
      <c r="C8673">
        <v>27.14</v>
      </c>
      <c r="D8673">
        <v>28.53</v>
      </c>
      <c r="E8673" t="s">
        <v>17</v>
      </c>
      <c r="F8673">
        <v>21.74</v>
      </c>
      <c r="G8673">
        <v>21.1</v>
      </c>
      <c r="H8673" t="s">
        <v>17</v>
      </c>
      <c r="I8673" t="str">
        <f>"060004306173"</f>
        <v>060004306173</v>
      </c>
    </row>
    <row r="8674" spans="1:9" x14ac:dyDescent="0.25">
      <c r="A8674" t="s">
        <v>7567</v>
      </c>
      <c r="B8674" t="s">
        <v>13</v>
      </c>
      <c r="C8674">
        <v>31</v>
      </c>
      <c r="D8674">
        <v>29</v>
      </c>
      <c r="E8674" t="s">
        <v>17</v>
      </c>
      <c r="F8674">
        <v>22.94</v>
      </c>
      <c r="G8674">
        <v>23.07</v>
      </c>
      <c r="H8674" t="s">
        <v>17</v>
      </c>
      <c r="I8674" t="str">
        <f>"063432010380"</f>
        <v>063432010380</v>
      </c>
    </row>
    <row r="8675" spans="1:9" x14ac:dyDescent="0.25">
      <c r="A8675" t="s">
        <v>7568</v>
      </c>
      <c r="B8675" t="s">
        <v>13</v>
      </c>
      <c r="C8675">
        <v>82.06</v>
      </c>
      <c r="D8675">
        <v>88.29</v>
      </c>
      <c r="E8675" t="s">
        <v>17</v>
      </c>
      <c r="F8675">
        <v>27.69</v>
      </c>
      <c r="G8675">
        <v>26.91</v>
      </c>
      <c r="H8675" t="s">
        <v>17</v>
      </c>
      <c r="I8675" t="str">
        <f>"063432002688"</f>
        <v>063432002688</v>
      </c>
    </row>
    <row r="8676" spans="1:9" x14ac:dyDescent="0.25">
      <c r="A8676" t="s">
        <v>7569</v>
      </c>
      <c r="B8676" t="s">
        <v>13</v>
      </c>
      <c r="C8676">
        <v>5</v>
      </c>
      <c r="D8676">
        <v>4.5</v>
      </c>
      <c r="E8676" t="s">
        <v>17</v>
      </c>
      <c r="F8676">
        <v>8.1999999999999993</v>
      </c>
      <c r="G8676">
        <v>8.89</v>
      </c>
      <c r="H8676" t="s">
        <v>17</v>
      </c>
      <c r="I8676" t="str">
        <f>"069107812743"</f>
        <v>069107812743</v>
      </c>
    </row>
    <row r="8677" spans="1:9" x14ac:dyDescent="0.25">
      <c r="A8677" t="s">
        <v>7570</v>
      </c>
      <c r="B8677" t="s">
        <v>13</v>
      </c>
      <c r="C8677">
        <v>19.100000000000001</v>
      </c>
      <c r="D8677">
        <v>19.149999999999999</v>
      </c>
      <c r="E8677" t="s">
        <v>17</v>
      </c>
      <c r="F8677">
        <v>25.92</v>
      </c>
      <c r="G8677">
        <v>25.74</v>
      </c>
      <c r="H8677" t="s">
        <v>17</v>
      </c>
      <c r="I8677" t="str">
        <f>"060907000928"</f>
        <v>060907000928</v>
      </c>
    </row>
    <row r="8678" spans="1:9" x14ac:dyDescent="0.25">
      <c r="A8678" t="s">
        <v>7571</v>
      </c>
      <c r="B8678" t="s">
        <v>13</v>
      </c>
      <c r="C8678">
        <v>30.4</v>
      </c>
      <c r="D8678">
        <v>33</v>
      </c>
      <c r="E8678" t="s">
        <v>17</v>
      </c>
      <c r="F8678">
        <v>23.59</v>
      </c>
      <c r="G8678">
        <v>21.76</v>
      </c>
      <c r="H8678" t="s">
        <v>17</v>
      </c>
      <c r="I8678" t="str">
        <f>"062691004074"</f>
        <v>062691004074</v>
      </c>
    </row>
    <row r="8679" spans="1:9" x14ac:dyDescent="0.25">
      <c r="A8679" t="s">
        <v>7572</v>
      </c>
      <c r="B8679" t="s">
        <v>13</v>
      </c>
      <c r="C8679">
        <v>24.04</v>
      </c>
      <c r="D8679">
        <v>24.33</v>
      </c>
      <c r="E8679" t="s">
        <v>17</v>
      </c>
      <c r="F8679">
        <v>26.83</v>
      </c>
      <c r="G8679">
        <v>26.8</v>
      </c>
      <c r="H8679" t="s">
        <v>17</v>
      </c>
      <c r="I8679" t="str">
        <f>"063942006571"</f>
        <v>063942006571</v>
      </c>
    </row>
    <row r="8680" spans="1:9" x14ac:dyDescent="0.25">
      <c r="A8680" t="s">
        <v>7573</v>
      </c>
      <c r="B8680" t="s">
        <v>13</v>
      </c>
      <c r="C8680">
        <v>54.24</v>
      </c>
      <c r="D8680">
        <v>55.27</v>
      </c>
      <c r="E8680" t="s">
        <v>17</v>
      </c>
      <c r="F8680">
        <v>18.75</v>
      </c>
      <c r="G8680">
        <v>18.78</v>
      </c>
      <c r="H8680" t="s">
        <v>17</v>
      </c>
      <c r="I8680" t="str">
        <f>"062553003843"</f>
        <v>062553003843</v>
      </c>
    </row>
    <row r="8681" spans="1:9" x14ac:dyDescent="0.25">
      <c r="A8681" t="s">
        <v>7574</v>
      </c>
      <c r="B8681" t="s">
        <v>13</v>
      </c>
      <c r="C8681">
        <v>40.340000000000003</v>
      </c>
      <c r="D8681">
        <v>41</v>
      </c>
      <c r="E8681" t="s">
        <v>17</v>
      </c>
      <c r="F8681">
        <v>20.3</v>
      </c>
      <c r="G8681">
        <v>19.760000000000002</v>
      </c>
      <c r="H8681" t="s">
        <v>17</v>
      </c>
      <c r="I8681" t="str">
        <f>"062553003341"</f>
        <v>062553003341</v>
      </c>
    </row>
    <row r="8682" spans="1:9" x14ac:dyDescent="0.25">
      <c r="A8682" t="s">
        <v>7575</v>
      </c>
      <c r="B8682" t="s">
        <v>13</v>
      </c>
      <c r="C8682">
        <v>28.5</v>
      </c>
      <c r="D8682">
        <v>21.75</v>
      </c>
      <c r="E8682" t="s">
        <v>14</v>
      </c>
      <c r="F8682">
        <v>23.58</v>
      </c>
      <c r="G8682">
        <v>23.82</v>
      </c>
      <c r="H8682" t="s">
        <v>14</v>
      </c>
      <c r="I8682" t="str">
        <f>"060141012551"</f>
        <v>060141012551</v>
      </c>
    </row>
    <row r="8683" spans="1:9" x14ac:dyDescent="0.25">
      <c r="A8683" t="s">
        <v>7575</v>
      </c>
      <c r="B8683" t="s">
        <v>13</v>
      </c>
      <c r="C8683" t="s">
        <v>14</v>
      </c>
      <c r="D8683" t="s">
        <v>14</v>
      </c>
      <c r="E8683" t="s">
        <v>17</v>
      </c>
      <c r="F8683" t="s">
        <v>14</v>
      </c>
      <c r="G8683" t="s">
        <v>14</v>
      </c>
      <c r="H8683" t="s">
        <v>17</v>
      </c>
      <c r="I8683" t="str">
        <f>"062082012551"</f>
        <v>062082012551</v>
      </c>
    </row>
    <row r="8684" spans="1:9" x14ac:dyDescent="0.25">
      <c r="A8684" t="s">
        <v>7576</v>
      </c>
      <c r="B8684" t="s">
        <v>13</v>
      </c>
      <c r="C8684">
        <v>13.8</v>
      </c>
      <c r="D8684">
        <v>13.2</v>
      </c>
      <c r="E8684" t="s">
        <v>17</v>
      </c>
      <c r="F8684">
        <v>19.93</v>
      </c>
      <c r="G8684">
        <v>20.3</v>
      </c>
      <c r="H8684" t="s">
        <v>17</v>
      </c>
      <c r="I8684" t="str">
        <f>"063618005457"</f>
        <v>063618005457</v>
      </c>
    </row>
    <row r="8685" spans="1:9" x14ac:dyDescent="0.25">
      <c r="A8685" t="s">
        <v>7577</v>
      </c>
      <c r="B8685" t="s">
        <v>13</v>
      </c>
      <c r="C8685">
        <v>19</v>
      </c>
      <c r="D8685">
        <v>20</v>
      </c>
      <c r="E8685" t="s">
        <v>17</v>
      </c>
      <c r="F8685">
        <v>22.47</v>
      </c>
      <c r="G8685">
        <v>21.45</v>
      </c>
      <c r="H8685" t="s">
        <v>17</v>
      </c>
      <c r="I8685" t="str">
        <f>"062271003338"</f>
        <v>062271003338</v>
      </c>
    </row>
    <row r="8686" spans="1:9" x14ac:dyDescent="0.25">
      <c r="A8686" t="s">
        <v>7578</v>
      </c>
      <c r="B8686" t="s">
        <v>13</v>
      </c>
      <c r="C8686" t="s">
        <v>14</v>
      </c>
      <c r="D8686" t="s">
        <v>14</v>
      </c>
      <c r="E8686" t="s">
        <v>17</v>
      </c>
      <c r="F8686" t="s">
        <v>14</v>
      </c>
      <c r="G8686" t="s">
        <v>14</v>
      </c>
      <c r="H8686" t="s">
        <v>17</v>
      </c>
      <c r="I8686" t="str">
        <f>"062895011100"</f>
        <v>062895011100</v>
      </c>
    </row>
    <row r="8687" spans="1:9" x14ac:dyDescent="0.25">
      <c r="A8687" t="s">
        <v>7579</v>
      </c>
      <c r="B8687" t="s">
        <v>13</v>
      </c>
      <c r="C8687">
        <v>5.31</v>
      </c>
      <c r="D8687">
        <v>18</v>
      </c>
      <c r="E8687" t="s">
        <v>17</v>
      </c>
      <c r="F8687">
        <v>64.97</v>
      </c>
      <c r="G8687">
        <v>21.28</v>
      </c>
      <c r="H8687" t="s">
        <v>17</v>
      </c>
      <c r="I8687" t="str">
        <f>"063621006180"</f>
        <v>063621006180</v>
      </c>
    </row>
    <row r="8688" spans="1:9" x14ac:dyDescent="0.25">
      <c r="A8688" t="s">
        <v>7580</v>
      </c>
      <c r="B8688" t="s">
        <v>13</v>
      </c>
      <c r="C8688">
        <v>84.82</v>
      </c>
      <c r="D8688">
        <v>84.64</v>
      </c>
      <c r="E8688" t="s">
        <v>17</v>
      </c>
      <c r="F8688">
        <v>29.96</v>
      </c>
      <c r="G8688">
        <v>28.63</v>
      </c>
      <c r="H8688" t="s">
        <v>17</v>
      </c>
      <c r="I8688" t="str">
        <f>"063531010990"</f>
        <v>063531010990</v>
      </c>
    </row>
    <row r="8689" spans="1:9" x14ac:dyDescent="0.25">
      <c r="A8689" t="s">
        <v>7581</v>
      </c>
      <c r="B8689" t="s">
        <v>13</v>
      </c>
      <c r="C8689">
        <v>1.9</v>
      </c>
      <c r="D8689">
        <v>2</v>
      </c>
      <c r="E8689" t="s">
        <v>17</v>
      </c>
      <c r="F8689">
        <v>16.32</v>
      </c>
      <c r="G8689">
        <v>16</v>
      </c>
      <c r="H8689" t="s">
        <v>17</v>
      </c>
      <c r="I8689" t="str">
        <f>"063624006181"</f>
        <v>063624006181</v>
      </c>
    </row>
    <row r="8690" spans="1:9" x14ac:dyDescent="0.25">
      <c r="A8690" t="s">
        <v>7582</v>
      </c>
      <c r="B8690" t="s">
        <v>13</v>
      </c>
      <c r="C8690">
        <v>31.5</v>
      </c>
      <c r="D8690">
        <v>30.5</v>
      </c>
      <c r="E8690" t="s">
        <v>17</v>
      </c>
      <c r="F8690">
        <v>21.37</v>
      </c>
      <c r="G8690">
        <v>23.34</v>
      </c>
      <c r="H8690" t="s">
        <v>17</v>
      </c>
      <c r="I8690" t="str">
        <f>"063213004973"</f>
        <v>063213004973</v>
      </c>
    </row>
    <row r="8691" spans="1:9" x14ac:dyDescent="0.25">
      <c r="A8691" t="s">
        <v>7583</v>
      </c>
      <c r="B8691" t="s">
        <v>13</v>
      </c>
      <c r="C8691">
        <v>1</v>
      </c>
      <c r="D8691">
        <v>1</v>
      </c>
      <c r="E8691" t="s">
        <v>17</v>
      </c>
      <c r="F8691">
        <v>3</v>
      </c>
      <c r="G8691">
        <v>6</v>
      </c>
      <c r="H8691" t="s">
        <v>17</v>
      </c>
      <c r="I8691" t="str">
        <f>"062250011291"</f>
        <v>062250011291</v>
      </c>
    </row>
    <row r="8692" spans="1:9" x14ac:dyDescent="0.25">
      <c r="A8692" t="s">
        <v>7584</v>
      </c>
      <c r="B8692" t="s">
        <v>13</v>
      </c>
      <c r="C8692">
        <v>23.65</v>
      </c>
      <c r="D8692">
        <v>24.4</v>
      </c>
      <c r="E8692" t="s">
        <v>17</v>
      </c>
      <c r="F8692">
        <v>26.17</v>
      </c>
      <c r="G8692">
        <v>25.66</v>
      </c>
      <c r="H8692" t="s">
        <v>17</v>
      </c>
      <c r="I8692" t="str">
        <f>"061527001957"</f>
        <v>061527001957</v>
      </c>
    </row>
    <row r="8693" spans="1:9" x14ac:dyDescent="0.25">
      <c r="A8693" t="s">
        <v>7585</v>
      </c>
      <c r="B8693" t="s">
        <v>13</v>
      </c>
      <c r="C8693">
        <v>13</v>
      </c>
      <c r="D8693">
        <v>12</v>
      </c>
      <c r="E8693" t="s">
        <v>17</v>
      </c>
      <c r="F8693">
        <v>18.54</v>
      </c>
      <c r="G8693">
        <v>21.83</v>
      </c>
      <c r="H8693" t="s">
        <v>17</v>
      </c>
      <c r="I8693" t="str">
        <f>"062271003339"</f>
        <v>062271003339</v>
      </c>
    </row>
    <row r="8694" spans="1:9" x14ac:dyDescent="0.25">
      <c r="A8694" t="s">
        <v>7586</v>
      </c>
      <c r="B8694" t="s">
        <v>13</v>
      </c>
      <c r="C8694">
        <v>28</v>
      </c>
      <c r="D8694">
        <v>30</v>
      </c>
      <c r="E8694" t="s">
        <v>17</v>
      </c>
      <c r="F8694">
        <v>23.11</v>
      </c>
      <c r="G8694">
        <v>21.27</v>
      </c>
      <c r="H8694" t="s">
        <v>17</v>
      </c>
      <c r="I8694" t="str">
        <f>"062217008739"</f>
        <v>062217008739</v>
      </c>
    </row>
    <row r="8695" spans="1:9" x14ac:dyDescent="0.25">
      <c r="A8695" t="s">
        <v>7587</v>
      </c>
      <c r="B8695" t="s">
        <v>13</v>
      </c>
      <c r="C8695">
        <v>74.55</v>
      </c>
      <c r="D8695">
        <v>79.739999999999995</v>
      </c>
      <c r="E8695" t="s">
        <v>17</v>
      </c>
      <c r="F8695">
        <v>22.45</v>
      </c>
      <c r="G8695">
        <v>21.11</v>
      </c>
      <c r="H8695" t="s">
        <v>17</v>
      </c>
      <c r="I8695" t="str">
        <f>"063627006188"</f>
        <v>063627006188</v>
      </c>
    </row>
    <row r="8696" spans="1:9" x14ac:dyDescent="0.25">
      <c r="A8696" t="s">
        <v>7588</v>
      </c>
      <c r="B8696" t="s">
        <v>13</v>
      </c>
      <c r="C8696">
        <v>5</v>
      </c>
      <c r="D8696">
        <v>5</v>
      </c>
      <c r="E8696" t="s">
        <v>17</v>
      </c>
      <c r="F8696">
        <v>21.6</v>
      </c>
      <c r="G8696">
        <v>25.8</v>
      </c>
      <c r="H8696" t="s">
        <v>17</v>
      </c>
      <c r="I8696" t="str">
        <f>"063627008476"</f>
        <v>063627008476</v>
      </c>
    </row>
    <row r="8697" spans="1:9" x14ac:dyDescent="0.25">
      <c r="A8697" t="s">
        <v>7589</v>
      </c>
      <c r="B8697" t="s">
        <v>13</v>
      </c>
      <c r="C8697">
        <v>27.55</v>
      </c>
      <c r="D8697">
        <v>28.3</v>
      </c>
      <c r="E8697" t="s">
        <v>17</v>
      </c>
      <c r="F8697">
        <v>16.079999999999998</v>
      </c>
      <c r="G8697">
        <v>16.43</v>
      </c>
      <c r="H8697" t="s">
        <v>17</v>
      </c>
      <c r="I8697" t="str">
        <f>"063459005730"</f>
        <v>063459005730</v>
      </c>
    </row>
    <row r="8698" spans="1:9" x14ac:dyDescent="0.25">
      <c r="A8698" t="s">
        <v>7590</v>
      </c>
      <c r="B8698" t="s">
        <v>13</v>
      </c>
      <c r="C8698">
        <v>29</v>
      </c>
      <c r="D8698">
        <v>27.6</v>
      </c>
      <c r="E8698" t="s">
        <v>17</v>
      </c>
      <c r="F8698">
        <v>16.66</v>
      </c>
      <c r="G8698">
        <v>18.8</v>
      </c>
      <c r="H8698" t="s">
        <v>17</v>
      </c>
      <c r="I8698" t="str">
        <f>"061336001526"</f>
        <v>061336001526</v>
      </c>
    </row>
    <row r="8699" spans="1:9" x14ac:dyDescent="0.25">
      <c r="A8699" t="s">
        <v>7591</v>
      </c>
      <c r="B8699" t="s">
        <v>13</v>
      </c>
      <c r="C8699">
        <v>11</v>
      </c>
      <c r="D8699">
        <v>9</v>
      </c>
      <c r="E8699" t="s">
        <v>17</v>
      </c>
      <c r="F8699">
        <v>24.27</v>
      </c>
      <c r="G8699">
        <v>21.56</v>
      </c>
      <c r="H8699" t="s">
        <v>17</v>
      </c>
      <c r="I8699" t="str">
        <f>"063633006192"</f>
        <v>063633006192</v>
      </c>
    </row>
    <row r="8700" spans="1:9" x14ac:dyDescent="0.25">
      <c r="A8700" t="s">
        <v>7592</v>
      </c>
      <c r="B8700" t="s">
        <v>13</v>
      </c>
      <c r="C8700">
        <v>20.010000000000002</v>
      </c>
      <c r="D8700">
        <v>20</v>
      </c>
      <c r="E8700" t="s">
        <v>17</v>
      </c>
      <c r="F8700">
        <v>25.74</v>
      </c>
      <c r="G8700">
        <v>26.5</v>
      </c>
      <c r="H8700" t="s">
        <v>17</v>
      </c>
      <c r="I8700" t="str">
        <f>"062580001009"</f>
        <v>062580001009</v>
      </c>
    </row>
    <row r="8701" spans="1:9" x14ac:dyDescent="0.25">
      <c r="A8701" t="s">
        <v>7593</v>
      </c>
      <c r="B8701" t="s">
        <v>13</v>
      </c>
      <c r="C8701">
        <v>1.8</v>
      </c>
      <c r="D8701">
        <v>2</v>
      </c>
      <c r="E8701" t="s">
        <v>17</v>
      </c>
      <c r="F8701">
        <v>10.56</v>
      </c>
      <c r="G8701">
        <v>12.5</v>
      </c>
      <c r="H8701" t="s">
        <v>17</v>
      </c>
      <c r="I8701" t="str">
        <f>"060006312193"</f>
        <v>060006312193</v>
      </c>
    </row>
    <row r="8702" spans="1:9" x14ac:dyDescent="0.25">
      <c r="A8702" t="s">
        <v>7594</v>
      </c>
      <c r="B8702" t="s">
        <v>13</v>
      </c>
      <c r="C8702">
        <v>2</v>
      </c>
      <c r="D8702">
        <v>1</v>
      </c>
      <c r="E8702" t="s">
        <v>14</v>
      </c>
      <c r="F8702">
        <v>2.5</v>
      </c>
      <c r="G8702">
        <v>3</v>
      </c>
      <c r="H8702" t="s">
        <v>14</v>
      </c>
      <c r="I8702" t="str">
        <f>"063560012904"</f>
        <v>063560012904</v>
      </c>
    </row>
    <row r="8703" spans="1:9" x14ac:dyDescent="0.25">
      <c r="A8703" t="s">
        <v>7595</v>
      </c>
      <c r="B8703" t="s">
        <v>13</v>
      </c>
      <c r="C8703">
        <v>5.05</v>
      </c>
      <c r="D8703">
        <v>4.45</v>
      </c>
      <c r="E8703" t="s">
        <v>17</v>
      </c>
      <c r="F8703">
        <v>9.11</v>
      </c>
      <c r="G8703">
        <v>11.46</v>
      </c>
      <c r="H8703" t="s">
        <v>17</v>
      </c>
      <c r="I8703" t="str">
        <f>"064251011675"</f>
        <v>064251011675</v>
      </c>
    </row>
    <row r="8704" spans="1:9" x14ac:dyDescent="0.25">
      <c r="A8704" t="s">
        <v>7596</v>
      </c>
      <c r="B8704" t="s">
        <v>13</v>
      </c>
      <c r="C8704">
        <v>5</v>
      </c>
      <c r="D8704">
        <v>3</v>
      </c>
      <c r="E8704" t="s">
        <v>14</v>
      </c>
      <c r="F8704">
        <v>11.8</v>
      </c>
      <c r="G8704">
        <v>18.670000000000002</v>
      </c>
      <c r="H8704" t="s">
        <v>14</v>
      </c>
      <c r="I8704" t="str">
        <f>"063639013017"</f>
        <v>063639013017</v>
      </c>
    </row>
    <row r="8705" spans="1:9" x14ac:dyDescent="0.25">
      <c r="A8705" t="s">
        <v>7597</v>
      </c>
      <c r="B8705" t="s">
        <v>13</v>
      </c>
      <c r="C8705">
        <v>16</v>
      </c>
      <c r="D8705">
        <v>15</v>
      </c>
      <c r="E8705" t="s">
        <v>14</v>
      </c>
      <c r="F8705">
        <v>22.38</v>
      </c>
      <c r="G8705">
        <v>21.2</v>
      </c>
      <c r="H8705" t="s">
        <v>14</v>
      </c>
      <c r="I8705" t="str">
        <f>"063525012753"</f>
        <v>063525012753</v>
      </c>
    </row>
    <row r="8706" spans="1:9" x14ac:dyDescent="0.25">
      <c r="A8706" t="s">
        <v>7597</v>
      </c>
      <c r="B8706" t="s">
        <v>13</v>
      </c>
      <c r="C8706">
        <v>29.85</v>
      </c>
      <c r="D8706">
        <v>32.880000000000003</v>
      </c>
      <c r="E8706" t="s">
        <v>17</v>
      </c>
      <c r="F8706">
        <v>26.1</v>
      </c>
      <c r="G8706">
        <v>23.66</v>
      </c>
      <c r="H8706" t="s">
        <v>17</v>
      </c>
      <c r="I8706" t="str">
        <f>"062145010810"</f>
        <v>062145010810</v>
      </c>
    </row>
    <row r="8707" spans="1:9" x14ac:dyDescent="0.25">
      <c r="A8707" t="s">
        <v>7597</v>
      </c>
      <c r="B8707" t="s">
        <v>13</v>
      </c>
      <c r="C8707">
        <v>17.5</v>
      </c>
      <c r="D8707">
        <v>21.5</v>
      </c>
      <c r="E8707" t="s">
        <v>17</v>
      </c>
      <c r="F8707">
        <v>25.49</v>
      </c>
      <c r="G8707">
        <v>21.77</v>
      </c>
      <c r="H8707" t="s">
        <v>17</v>
      </c>
      <c r="I8707" t="str">
        <f>"064215006914"</f>
        <v>064215006914</v>
      </c>
    </row>
    <row r="8708" spans="1:9" x14ac:dyDescent="0.25">
      <c r="A8708" t="s">
        <v>7597</v>
      </c>
      <c r="B8708" t="s">
        <v>13</v>
      </c>
      <c r="C8708">
        <v>14</v>
      </c>
      <c r="D8708">
        <v>15</v>
      </c>
      <c r="E8708" t="s">
        <v>17</v>
      </c>
      <c r="F8708">
        <v>21.57</v>
      </c>
      <c r="G8708">
        <v>22.27</v>
      </c>
      <c r="H8708" t="s">
        <v>17</v>
      </c>
      <c r="I8708" t="str">
        <f>"063636006193"</f>
        <v>063636006193</v>
      </c>
    </row>
    <row r="8709" spans="1:9" x14ac:dyDescent="0.25">
      <c r="A8709" t="s">
        <v>7597</v>
      </c>
      <c r="B8709" t="s">
        <v>13</v>
      </c>
      <c r="C8709">
        <v>18</v>
      </c>
      <c r="D8709">
        <v>19.350000000000001</v>
      </c>
      <c r="E8709" t="s">
        <v>17</v>
      </c>
      <c r="F8709">
        <v>24</v>
      </c>
      <c r="G8709">
        <v>22.27</v>
      </c>
      <c r="H8709" t="s">
        <v>17</v>
      </c>
      <c r="I8709" t="str">
        <f>"063264005081"</f>
        <v>063264005081</v>
      </c>
    </row>
    <row r="8710" spans="1:9" x14ac:dyDescent="0.25">
      <c r="A8710" t="s">
        <v>7597</v>
      </c>
      <c r="B8710" t="s">
        <v>13</v>
      </c>
      <c r="C8710">
        <v>29.7</v>
      </c>
      <c r="D8710">
        <v>28.7</v>
      </c>
      <c r="E8710" t="s">
        <v>17</v>
      </c>
      <c r="F8710">
        <v>26.46</v>
      </c>
      <c r="G8710">
        <v>27.87</v>
      </c>
      <c r="H8710" t="s">
        <v>17</v>
      </c>
      <c r="I8710" t="str">
        <f>"062361003587"</f>
        <v>062361003587</v>
      </c>
    </row>
    <row r="8711" spans="1:9" x14ac:dyDescent="0.25">
      <c r="A8711" t="s">
        <v>7597</v>
      </c>
      <c r="B8711" t="s">
        <v>13</v>
      </c>
      <c r="C8711">
        <v>20.3</v>
      </c>
      <c r="D8711">
        <v>19.5</v>
      </c>
      <c r="E8711" t="s">
        <v>17</v>
      </c>
      <c r="F8711">
        <v>28.28</v>
      </c>
      <c r="G8711">
        <v>29.49</v>
      </c>
      <c r="H8711" t="s">
        <v>17</v>
      </c>
      <c r="I8711" t="str">
        <f>"062637007319"</f>
        <v>062637007319</v>
      </c>
    </row>
    <row r="8712" spans="1:9" x14ac:dyDescent="0.25">
      <c r="A8712" t="s">
        <v>7597</v>
      </c>
      <c r="B8712" t="s">
        <v>13</v>
      </c>
      <c r="C8712">
        <v>17</v>
      </c>
      <c r="D8712">
        <v>17.7</v>
      </c>
      <c r="E8712" t="s">
        <v>17</v>
      </c>
      <c r="F8712">
        <v>29.88</v>
      </c>
      <c r="G8712">
        <v>28.93</v>
      </c>
      <c r="H8712" t="s">
        <v>17</v>
      </c>
      <c r="I8712" t="str">
        <f>"063384005281"</f>
        <v>063384005281</v>
      </c>
    </row>
    <row r="8713" spans="1:9" x14ac:dyDescent="0.25">
      <c r="A8713" t="s">
        <v>7597</v>
      </c>
      <c r="B8713" t="s">
        <v>13</v>
      </c>
      <c r="C8713">
        <v>11</v>
      </c>
      <c r="D8713">
        <v>12</v>
      </c>
      <c r="E8713" t="s">
        <v>17</v>
      </c>
      <c r="F8713">
        <v>22.36</v>
      </c>
      <c r="G8713">
        <v>21.92</v>
      </c>
      <c r="H8713" t="s">
        <v>17</v>
      </c>
      <c r="I8713" t="str">
        <f>"063432005548"</f>
        <v>063432005548</v>
      </c>
    </row>
    <row r="8714" spans="1:9" x14ac:dyDescent="0.25">
      <c r="A8714" t="s">
        <v>7597</v>
      </c>
      <c r="B8714" t="s">
        <v>13</v>
      </c>
      <c r="C8714">
        <v>17</v>
      </c>
      <c r="D8714">
        <v>14.6</v>
      </c>
      <c r="E8714" t="s">
        <v>17</v>
      </c>
      <c r="F8714">
        <v>23.53</v>
      </c>
      <c r="G8714">
        <v>26.71</v>
      </c>
      <c r="H8714" t="s">
        <v>17</v>
      </c>
      <c r="I8714" t="str">
        <f>"062805004314"</f>
        <v>062805004314</v>
      </c>
    </row>
    <row r="8715" spans="1:9" x14ac:dyDescent="0.25">
      <c r="A8715" t="s">
        <v>7598</v>
      </c>
      <c r="B8715" t="s">
        <v>13</v>
      </c>
      <c r="C8715">
        <v>105.39</v>
      </c>
      <c r="D8715">
        <v>95.7</v>
      </c>
      <c r="E8715" t="s">
        <v>17</v>
      </c>
      <c r="F8715">
        <v>19.21</v>
      </c>
      <c r="G8715">
        <v>21.22</v>
      </c>
      <c r="H8715" t="s">
        <v>17</v>
      </c>
      <c r="I8715" t="str">
        <f>"063639006198"</f>
        <v>063639006198</v>
      </c>
    </row>
    <row r="8716" spans="1:9" x14ac:dyDescent="0.25">
      <c r="A8716" t="s">
        <v>7598</v>
      </c>
      <c r="B8716" t="s">
        <v>13</v>
      </c>
      <c r="C8716">
        <v>13.97</v>
      </c>
      <c r="D8716">
        <v>14.97</v>
      </c>
      <c r="E8716" t="s">
        <v>17</v>
      </c>
      <c r="F8716">
        <v>23.26</v>
      </c>
      <c r="G8716">
        <v>22.24</v>
      </c>
      <c r="H8716" t="s">
        <v>17</v>
      </c>
      <c r="I8716" t="str">
        <f>"064116006806"</f>
        <v>064116006806</v>
      </c>
    </row>
    <row r="8717" spans="1:9" x14ac:dyDescent="0.25">
      <c r="A8717" t="s">
        <v>7598</v>
      </c>
      <c r="B8717" t="s">
        <v>13</v>
      </c>
      <c r="C8717">
        <v>9.6</v>
      </c>
      <c r="D8717">
        <v>9</v>
      </c>
      <c r="E8717" t="s">
        <v>17</v>
      </c>
      <c r="F8717">
        <v>12.71</v>
      </c>
      <c r="G8717">
        <v>14.11</v>
      </c>
      <c r="H8717" t="s">
        <v>17</v>
      </c>
      <c r="I8717" t="str">
        <f>"062466011689"</f>
        <v>062466011689</v>
      </c>
    </row>
    <row r="8718" spans="1:9" x14ac:dyDescent="0.25">
      <c r="A8718" t="s">
        <v>7599</v>
      </c>
      <c r="B8718" t="s">
        <v>13</v>
      </c>
      <c r="C8718">
        <v>30.87</v>
      </c>
      <c r="D8718">
        <v>30.71</v>
      </c>
      <c r="E8718" t="s">
        <v>17</v>
      </c>
      <c r="F8718">
        <v>26.17</v>
      </c>
      <c r="G8718">
        <v>25.85</v>
      </c>
      <c r="H8718" t="s">
        <v>17</v>
      </c>
      <c r="I8718" t="str">
        <f>"063204004929"</f>
        <v>063204004929</v>
      </c>
    </row>
    <row r="8719" spans="1:9" x14ac:dyDescent="0.25">
      <c r="A8719" t="s">
        <v>7599</v>
      </c>
      <c r="B8719" t="s">
        <v>13</v>
      </c>
      <c r="C8719">
        <v>43.8</v>
      </c>
      <c r="D8719">
        <v>43.55</v>
      </c>
      <c r="E8719" t="s">
        <v>17</v>
      </c>
      <c r="F8719">
        <v>25.18</v>
      </c>
      <c r="G8719">
        <v>26.15</v>
      </c>
      <c r="H8719" t="s">
        <v>17</v>
      </c>
      <c r="I8719" t="str">
        <f>"060964001023"</f>
        <v>060964001023</v>
      </c>
    </row>
    <row r="8720" spans="1:9" x14ac:dyDescent="0.25">
      <c r="A8720" t="s">
        <v>7599</v>
      </c>
      <c r="B8720" t="s">
        <v>13</v>
      </c>
      <c r="C8720">
        <v>35.200000000000003</v>
      </c>
      <c r="D8720">
        <v>38.119999999999997</v>
      </c>
      <c r="E8720" t="s">
        <v>17</v>
      </c>
      <c r="F8720">
        <v>28.01</v>
      </c>
      <c r="G8720">
        <v>24.87</v>
      </c>
      <c r="H8720" t="s">
        <v>17</v>
      </c>
      <c r="I8720" t="str">
        <f>"060363007099"</f>
        <v>060363007099</v>
      </c>
    </row>
    <row r="8721" spans="1:9" x14ac:dyDescent="0.25">
      <c r="A8721" t="s">
        <v>7599</v>
      </c>
      <c r="B8721" t="s">
        <v>13</v>
      </c>
      <c r="C8721">
        <v>23.23</v>
      </c>
      <c r="D8721">
        <v>24.12</v>
      </c>
      <c r="E8721" t="s">
        <v>17</v>
      </c>
      <c r="F8721">
        <v>21.74</v>
      </c>
      <c r="G8721">
        <v>21.1</v>
      </c>
      <c r="H8721" t="s">
        <v>17</v>
      </c>
      <c r="I8721" t="str">
        <f>"060006411825"</f>
        <v>060006411825</v>
      </c>
    </row>
    <row r="8722" spans="1:9" x14ac:dyDescent="0.25">
      <c r="A8722" t="s">
        <v>7599</v>
      </c>
      <c r="B8722" t="s">
        <v>13</v>
      </c>
      <c r="C8722">
        <v>34.6</v>
      </c>
      <c r="D8722">
        <v>41.5</v>
      </c>
      <c r="E8722" t="s">
        <v>17</v>
      </c>
      <c r="F8722">
        <v>22.6</v>
      </c>
      <c r="G8722">
        <v>20.27</v>
      </c>
      <c r="H8722" t="s">
        <v>17</v>
      </c>
      <c r="I8722" t="str">
        <f>"061455001765"</f>
        <v>061455001765</v>
      </c>
    </row>
    <row r="8723" spans="1:9" x14ac:dyDescent="0.25">
      <c r="A8723" t="s">
        <v>7599</v>
      </c>
      <c r="B8723" t="s">
        <v>13</v>
      </c>
      <c r="C8723">
        <v>33.86</v>
      </c>
      <c r="D8723">
        <v>33.28</v>
      </c>
      <c r="E8723" t="s">
        <v>17</v>
      </c>
      <c r="F8723">
        <v>26.64</v>
      </c>
      <c r="G8723">
        <v>26.89</v>
      </c>
      <c r="H8723" t="s">
        <v>17</v>
      </c>
      <c r="I8723" t="str">
        <f>"062637008916"</f>
        <v>062637008916</v>
      </c>
    </row>
    <row r="8724" spans="1:9" x14ac:dyDescent="0.25">
      <c r="A8724" t="s">
        <v>7599</v>
      </c>
      <c r="B8724" t="s">
        <v>13</v>
      </c>
      <c r="C8724">
        <v>47.01</v>
      </c>
      <c r="D8724">
        <v>48</v>
      </c>
      <c r="E8724" t="s">
        <v>17</v>
      </c>
      <c r="F8724">
        <v>25.68</v>
      </c>
      <c r="G8724">
        <v>25.69</v>
      </c>
      <c r="H8724" t="s">
        <v>17</v>
      </c>
      <c r="I8724" t="str">
        <f>"061392001602"</f>
        <v>061392001602</v>
      </c>
    </row>
    <row r="8725" spans="1:9" x14ac:dyDescent="0.25">
      <c r="A8725" t="s">
        <v>7600</v>
      </c>
      <c r="B8725" t="s">
        <v>13</v>
      </c>
      <c r="C8725">
        <v>2</v>
      </c>
      <c r="D8725" t="s">
        <v>14</v>
      </c>
      <c r="E8725" t="s">
        <v>14</v>
      </c>
      <c r="F8725">
        <v>18</v>
      </c>
      <c r="G8725" t="s">
        <v>14</v>
      </c>
      <c r="H8725" t="s">
        <v>14</v>
      </c>
      <c r="I8725" t="str">
        <f>"063639013050"</f>
        <v>063639013050</v>
      </c>
    </row>
    <row r="8726" spans="1:9" x14ac:dyDescent="0.25">
      <c r="A8726" t="s">
        <v>7601</v>
      </c>
      <c r="B8726" t="s">
        <v>13</v>
      </c>
      <c r="C8726">
        <v>14</v>
      </c>
      <c r="D8726">
        <v>15</v>
      </c>
      <c r="E8726" t="s">
        <v>17</v>
      </c>
      <c r="F8726">
        <v>20.14</v>
      </c>
      <c r="G8726">
        <v>18.73</v>
      </c>
      <c r="H8726" t="s">
        <v>17</v>
      </c>
      <c r="I8726" t="str">
        <f>"063441005636"</f>
        <v>063441005636</v>
      </c>
    </row>
    <row r="8727" spans="1:9" x14ac:dyDescent="0.25">
      <c r="A8727" t="s">
        <v>7602</v>
      </c>
      <c r="B8727" t="s">
        <v>13</v>
      </c>
      <c r="C8727">
        <v>83.23</v>
      </c>
      <c r="D8727">
        <v>86.11</v>
      </c>
      <c r="E8727" t="s">
        <v>17</v>
      </c>
      <c r="F8727">
        <v>23.15</v>
      </c>
      <c r="G8727">
        <v>23.35</v>
      </c>
      <c r="H8727" t="s">
        <v>17</v>
      </c>
      <c r="I8727" t="str">
        <f>"063432005549"</f>
        <v>063432005549</v>
      </c>
    </row>
    <row r="8728" spans="1:9" x14ac:dyDescent="0.25">
      <c r="A8728" t="s">
        <v>7603</v>
      </c>
      <c r="B8728" t="s">
        <v>13</v>
      </c>
      <c r="C8728">
        <v>22</v>
      </c>
      <c r="D8728">
        <v>23.5</v>
      </c>
      <c r="E8728" t="s">
        <v>17</v>
      </c>
      <c r="F8728">
        <v>26.05</v>
      </c>
      <c r="G8728">
        <v>26.21</v>
      </c>
      <c r="H8728" t="s">
        <v>17</v>
      </c>
      <c r="I8728" t="str">
        <f>"062271003343"</f>
        <v>062271003343</v>
      </c>
    </row>
    <row r="8729" spans="1:9" x14ac:dyDescent="0.25">
      <c r="A8729" t="s">
        <v>7604</v>
      </c>
      <c r="B8729" t="s">
        <v>13</v>
      </c>
      <c r="C8729">
        <v>20</v>
      </c>
      <c r="D8729">
        <v>20.5</v>
      </c>
      <c r="E8729" t="s">
        <v>17</v>
      </c>
      <c r="F8729">
        <v>29.55</v>
      </c>
      <c r="G8729">
        <v>30.29</v>
      </c>
      <c r="H8729" t="s">
        <v>17</v>
      </c>
      <c r="I8729" t="str">
        <f>"062865004451"</f>
        <v>062865004451</v>
      </c>
    </row>
    <row r="8730" spans="1:9" x14ac:dyDescent="0.25">
      <c r="A8730" t="s">
        <v>7604</v>
      </c>
      <c r="B8730" t="s">
        <v>13</v>
      </c>
      <c r="C8730">
        <v>22</v>
      </c>
      <c r="D8730">
        <v>23</v>
      </c>
      <c r="E8730" t="s">
        <v>17</v>
      </c>
      <c r="F8730">
        <v>28.91</v>
      </c>
      <c r="G8730">
        <v>26.04</v>
      </c>
      <c r="H8730" t="s">
        <v>17</v>
      </c>
      <c r="I8730" t="str">
        <f>"062580008909"</f>
        <v>062580008909</v>
      </c>
    </row>
    <row r="8731" spans="1:9" x14ac:dyDescent="0.25">
      <c r="A8731" t="s">
        <v>7605</v>
      </c>
      <c r="B8731" t="s">
        <v>13</v>
      </c>
      <c r="C8731">
        <v>89.51</v>
      </c>
      <c r="D8731">
        <v>91.5</v>
      </c>
      <c r="E8731" t="s">
        <v>17</v>
      </c>
      <c r="F8731">
        <v>26.62</v>
      </c>
      <c r="G8731">
        <v>27.07</v>
      </c>
      <c r="H8731" t="s">
        <v>17</v>
      </c>
      <c r="I8731" t="str">
        <f>"063697007876"</f>
        <v>063697007876</v>
      </c>
    </row>
    <row r="8732" spans="1:9" x14ac:dyDescent="0.25">
      <c r="A8732" t="s">
        <v>7606</v>
      </c>
      <c r="B8732" t="s">
        <v>13</v>
      </c>
      <c r="C8732">
        <v>48.5</v>
      </c>
      <c r="D8732">
        <v>51.49</v>
      </c>
      <c r="E8732" t="s">
        <v>17</v>
      </c>
      <c r="F8732">
        <v>26.93</v>
      </c>
      <c r="G8732">
        <v>26.57</v>
      </c>
      <c r="H8732" t="s">
        <v>17</v>
      </c>
      <c r="I8732" t="str">
        <f>"063386005314"</f>
        <v>063386005314</v>
      </c>
    </row>
    <row r="8733" spans="1:9" x14ac:dyDescent="0.25">
      <c r="A8733" t="s">
        <v>7607</v>
      </c>
      <c r="B8733" t="s">
        <v>13</v>
      </c>
      <c r="C8733">
        <v>35</v>
      </c>
      <c r="D8733">
        <v>36.83</v>
      </c>
      <c r="E8733" t="s">
        <v>17</v>
      </c>
      <c r="F8733">
        <v>22.63</v>
      </c>
      <c r="G8733">
        <v>21.15</v>
      </c>
      <c r="H8733" t="s">
        <v>17</v>
      </c>
      <c r="I8733" t="str">
        <f>"063417005386"</f>
        <v>063417005386</v>
      </c>
    </row>
    <row r="8734" spans="1:9" x14ac:dyDescent="0.25">
      <c r="A8734" t="s">
        <v>7607</v>
      </c>
      <c r="B8734" t="s">
        <v>13</v>
      </c>
      <c r="C8734">
        <v>38.619999999999997</v>
      </c>
      <c r="D8734">
        <v>34</v>
      </c>
      <c r="E8734" t="s">
        <v>17</v>
      </c>
      <c r="F8734">
        <v>19.190000000000001</v>
      </c>
      <c r="G8734">
        <v>20.59</v>
      </c>
      <c r="H8734" t="s">
        <v>17</v>
      </c>
      <c r="I8734" t="str">
        <f>"062847004411"</f>
        <v>062847004411</v>
      </c>
    </row>
    <row r="8735" spans="1:9" x14ac:dyDescent="0.25">
      <c r="A8735" t="s">
        <v>7608</v>
      </c>
      <c r="B8735" t="s">
        <v>13</v>
      </c>
      <c r="C8735">
        <v>21</v>
      </c>
      <c r="D8735">
        <v>21</v>
      </c>
      <c r="E8735" t="s">
        <v>17</v>
      </c>
      <c r="F8735">
        <v>19.86</v>
      </c>
      <c r="G8735">
        <v>19.760000000000002</v>
      </c>
      <c r="H8735" t="s">
        <v>17</v>
      </c>
      <c r="I8735" t="str">
        <f>"063432005550"</f>
        <v>063432005550</v>
      </c>
    </row>
    <row r="8736" spans="1:9" x14ac:dyDescent="0.25">
      <c r="A8736" t="s">
        <v>7609</v>
      </c>
      <c r="B8736" t="s">
        <v>13</v>
      </c>
      <c r="C8736">
        <v>17.29</v>
      </c>
      <c r="D8736">
        <v>20.56</v>
      </c>
      <c r="E8736" t="s">
        <v>17</v>
      </c>
      <c r="F8736">
        <v>22.56</v>
      </c>
      <c r="G8736">
        <v>22.03</v>
      </c>
      <c r="H8736" t="s">
        <v>17</v>
      </c>
      <c r="I8736" t="str">
        <f>"062682004062"</f>
        <v>062682004062</v>
      </c>
    </row>
    <row r="8737" spans="1:9" x14ac:dyDescent="0.25">
      <c r="A8737" t="s">
        <v>7610</v>
      </c>
      <c r="B8737" t="s">
        <v>13</v>
      </c>
      <c r="C8737">
        <v>19.5</v>
      </c>
      <c r="D8737">
        <v>19</v>
      </c>
      <c r="E8737" t="s">
        <v>17</v>
      </c>
      <c r="F8737">
        <v>24.77</v>
      </c>
      <c r="G8737">
        <v>24.95</v>
      </c>
      <c r="H8737" t="s">
        <v>17</v>
      </c>
      <c r="I8737" t="str">
        <f>"062271003344"</f>
        <v>062271003344</v>
      </c>
    </row>
    <row r="8738" spans="1:9" x14ac:dyDescent="0.25">
      <c r="A8738" t="s">
        <v>7611</v>
      </c>
      <c r="B8738" t="s">
        <v>13</v>
      </c>
      <c r="C8738">
        <v>53</v>
      </c>
      <c r="D8738">
        <v>56.01</v>
      </c>
      <c r="E8738" t="s">
        <v>17</v>
      </c>
      <c r="F8738">
        <v>20.77</v>
      </c>
      <c r="G8738">
        <v>21.32</v>
      </c>
      <c r="H8738" t="s">
        <v>17</v>
      </c>
      <c r="I8738" t="str">
        <f>"062271003345"</f>
        <v>062271003345</v>
      </c>
    </row>
    <row r="8739" spans="1:9" x14ac:dyDescent="0.25">
      <c r="A8739" t="s">
        <v>7612</v>
      </c>
      <c r="B8739" t="s">
        <v>13</v>
      </c>
      <c r="C8739">
        <v>23</v>
      </c>
      <c r="D8739">
        <v>22.01</v>
      </c>
      <c r="E8739" t="s">
        <v>17</v>
      </c>
      <c r="F8739">
        <v>23.17</v>
      </c>
      <c r="G8739">
        <v>25.44</v>
      </c>
      <c r="H8739" t="s">
        <v>17</v>
      </c>
      <c r="I8739" t="str">
        <f>"062271003346"</f>
        <v>062271003346</v>
      </c>
    </row>
    <row r="8740" spans="1:9" x14ac:dyDescent="0.25">
      <c r="A8740" t="s">
        <v>7613</v>
      </c>
      <c r="B8740" t="s">
        <v>13</v>
      </c>
      <c r="C8740" t="s">
        <v>17</v>
      </c>
      <c r="D8740" t="s">
        <v>17</v>
      </c>
      <c r="E8740" t="s">
        <v>17</v>
      </c>
      <c r="F8740" t="s">
        <v>17</v>
      </c>
      <c r="G8740" t="s">
        <v>17</v>
      </c>
      <c r="H8740" t="s">
        <v>17</v>
      </c>
      <c r="I8740" t="str">
        <f>"060681011752"</f>
        <v>060681011752</v>
      </c>
    </row>
    <row r="8741" spans="1:9" x14ac:dyDescent="0.25">
      <c r="A8741" t="s">
        <v>7614</v>
      </c>
      <c r="B8741" t="s">
        <v>13</v>
      </c>
      <c r="C8741">
        <v>23</v>
      </c>
      <c r="D8741">
        <v>26.6</v>
      </c>
      <c r="E8741" t="s">
        <v>17</v>
      </c>
      <c r="F8741">
        <v>24.3</v>
      </c>
      <c r="G8741">
        <v>22.03</v>
      </c>
      <c r="H8741" t="s">
        <v>17</v>
      </c>
      <c r="I8741" t="str">
        <f>"062513003750"</f>
        <v>062513003750</v>
      </c>
    </row>
    <row r="8742" spans="1:9" x14ac:dyDescent="0.25">
      <c r="A8742" t="s">
        <v>7615</v>
      </c>
      <c r="B8742" t="s">
        <v>13</v>
      </c>
      <c r="C8742">
        <v>10.5</v>
      </c>
      <c r="D8742">
        <v>13.31</v>
      </c>
      <c r="E8742" t="s">
        <v>17</v>
      </c>
      <c r="F8742">
        <v>21.9</v>
      </c>
      <c r="G8742">
        <v>18.63</v>
      </c>
      <c r="H8742" t="s">
        <v>17</v>
      </c>
      <c r="I8742" t="str">
        <f>"060210009112"</f>
        <v>060210009112</v>
      </c>
    </row>
    <row r="8743" spans="1:9" x14ac:dyDescent="0.25">
      <c r="A8743" t="s">
        <v>7615</v>
      </c>
      <c r="B8743" t="s">
        <v>13</v>
      </c>
      <c r="C8743">
        <v>20.67</v>
      </c>
      <c r="D8743">
        <v>19.5</v>
      </c>
      <c r="E8743" t="s">
        <v>17</v>
      </c>
      <c r="F8743">
        <v>27.91</v>
      </c>
      <c r="G8743">
        <v>28.21</v>
      </c>
      <c r="H8743" t="s">
        <v>17</v>
      </c>
      <c r="I8743" t="str">
        <f>"061392009546"</f>
        <v>061392009546</v>
      </c>
    </row>
    <row r="8744" spans="1:9" x14ac:dyDescent="0.25">
      <c r="A8744" t="s">
        <v>7616</v>
      </c>
      <c r="B8744" t="s">
        <v>13</v>
      </c>
      <c r="C8744">
        <v>53.4</v>
      </c>
      <c r="D8744">
        <v>45.5</v>
      </c>
      <c r="E8744" t="s">
        <v>17</v>
      </c>
      <c r="F8744">
        <v>27.92</v>
      </c>
      <c r="G8744">
        <v>26.77</v>
      </c>
      <c r="H8744" t="s">
        <v>17</v>
      </c>
      <c r="I8744" t="str">
        <f>"061111012319"</f>
        <v>061111012319</v>
      </c>
    </row>
    <row r="8745" spans="1:9" x14ac:dyDescent="0.25">
      <c r="A8745" t="s">
        <v>7617</v>
      </c>
      <c r="B8745" t="s">
        <v>13</v>
      </c>
      <c r="C8745">
        <v>42.52</v>
      </c>
      <c r="D8745">
        <v>43.78</v>
      </c>
      <c r="E8745" t="s">
        <v>17</v>
      </c>
      <c r="F8745">
        <v>23.57</v>
      </c>
      <c r="G8745">
        <v>24.42</v>
      </c>
      <c r="H8745" t="s">
        <v>17</v>
      </c>
      <c r="I8745" t="str">
        <f>"062958007529"</f>
        <v>062958007529</v>
      </c>
    </row>
    <row r="8746" spans="1:9" x14ac:dyDescent="0.25">
      <c r="A8746" t="s">
        <v>7618</v>
      </c>
      <c r="B8746" t="s">
        <v>13</v>
      </c>
      <c r="C8746">
        <v>5</v>
      </c>
      <c r="D8746">
        <v>5</v>
      </c>
      <c r="E8746" t="s">
        <v>17</v>
      </c>
      <c r="F8746">
        <v>23.2</v>
      </c>
      <c r="G8746">
        <v>28</v>
      </c>
      <c r="H8746" t="s">
        <v>17</v>
      </c>
      <c r="I8746" t="str">
        <f>"060001407287"</f>
        <v>060001407287</v>
      </c>
    </row>
    <row r="8747" spans="1:9" x14ac:dyDescent="0.25">
      <c r="A8747" t="s">
        <v>7619</v>
      </c>
      <c r="B8747" t="s">
        <v>13</v>
      </c>
      <c r="C8747">
        <v>17</v>
      </c>
      <c r="D8747">
        <v>18</v>
      </c>
      <c r="E8747" t="s">
        <v>17</v>
      </c>
      <c r="F8747">
        <v>27.24</v>
      </c>
      <c r="G8747">
        <v>26.78</v>
      </c>
      <c r="H8747" t="s">
        <v>17</v>
      </c>
      <c r="I8747" t="str">
        <f>"060342000261"</f>
        <v>060342000261</v>
      </c>
    </row>
    <row r="8748" spans="1:9" x14ac:dyDescent="0.25">
      <c r="A8748" t="s">
        <v>7619</v>
      </c>
      <c r="B8748" t="s">
        <v>13</v>
      </c>
      <c r="C8748">
        <v>8</v>
      </c>
      <c r="D8748">
        <v>10.17</v>
      </c>
      <c r="E8748" t="s">
        <v>17</v>
      </c>
      <c r="F8748">
        <v>23.63</v>
      </c>
      <c r="G8748">
        <v>22.52</v>
      </c>
      <c r="H8748" t="s">
        <v>17</v>
      </c>
      <c r="I8748" t="str">
        <f>"063642006200"</f>
        <v>063642006200</v>
      </c>
    </row>
    <row r="8749" spans="1:9" x14ac:dyDescent="0.25">
      <c r="A8749" t="s">
        <v>7620</v>
      </c>
      <c r="B8749" t="s">
        <v>13</v>
      </c>
      <c r="C8749">
        <v>56.02</v>
      </c>
      <c r="D8749">
        <v>61.82</v>
      </c>
      <c r="E8749" t="s">
        <v>17</v>
      </c>
      <c r="F8749">
        <v>25.9</v>
      </c>
      <c r="G8749">
        <v>24.7</v>
      </c>
      <c r="H8749" t="s">
        <v>17</v>
      </c>
      <c r="I8749" t="str">
        <f>"061954002352"</f>
        <v>061954002352</v>
      </c>
    </row>
    <row r="8750" spans="1:9" x14ac:dyDescent="0.25">
      <c r="A8750" t="s">
        <v>7621</v>
      </c>
      <c r="B8750" t="s">
        <v>13</v>
      </c>
      <c r="C8750">
        <v>51.01</v>
      </c>
      <c r="D8750">
        <v>52</v>
      </c>
      <c r="E8750" t="s">
        <v>17</v>
      </c>
      <c r="F8750">
        <v>20.37</v>
      </c>
      <c r="G8750">
        <v>20.54</v>
      </c>
      <c r="H8750" t="s">
        <v>17</v>
      </c>
      <c r="I8750" t="str">
        <f>"063417005387"</f>
        <v>063417005387</v>
      </c>
    </row>
    <row r="8751" spans="1:9" x14ac:dyDescent="0.25">
      <c r="A8751" t="s">
        <v>7622</v>
      </c>
      <c r="B8751" t="s">
        <v>13</v>
      </c>
      <c r="C8751">
        <v>1</v>
      </c>
      <c r="D8751">
        <v>1</v>
      </c>
      <c r="E8751" t="s">
        <v>17</v>
      </c>
      <c r="F8751">
        <v>2</v>
      </c>
      <c r="G8751">
        <v>8</v>
      </c>
      <c r="H8751" t="s">
        <v>17</v>
      </c>
      <c r="I8751" t="str">
        <f>"063645008621"</f>
        <v>063645008621</v>
      </c>
    </row>
    <row r="8752" spans="1:9" x14ac:dyDescent="0.25">
      <c r="A8752" t="s">
        <v>7623</v>
      </c>
      <c r="B8752" t="s">
        <v>13</v>
      </c>
      <c r="C8752">
        <v>8.5</v>
      </c>
      <c r="D8752">
        <v>9.6</v>
      </c>
      <c r="E8752" t="s">
        <v>17</v>
      </c>
      <c r="F8752">
        <v>25.06</v>
      </c>
      <c r="G8752">
        <v>21.77</v>
      </c>
      <c r="H8752" t="s">
        <v>17</v>
      </c>
      <c r="I8752" t="str">
        <f>"063645006202"</f>
        <v>063645006202</v>
      </c>
    </row>
    <row r="8753" spans="1:9" x14ac:dyDescent="0.25">
      <c r="A8753" t="s">
        <v>7624</v>
      </c>
      <c r="B8753" t="s">
        <v>13</v>
      </c>
      <c r="C8753">
        <v>6.73</v>
      </c>
      <c r="D8753">
        <v>7.61</v>
      </c>
      <c r="E8753" t="s">
        <v>17</v>
      </c>
      <c r="F8753">
        <v>10.25</v>
      </c>
      <c r="G8753">
        <v>8.67</v>
      </c>
      <c r="H8753" t="s">
        <v>17</v>
      </c>
      <c r="I8753" t="str">
        <f>"063645006203"</f>
        <v>063645006203</v>
      </c>
    </row>
    <row r="8754" spans="1:9" x14ac:dyDescent="0.25">
      <c r="A8754" t="s">
        <v>7625</v>
      </c>
      <c r="B8754" t="s">
        <v>13</v>
      </c>
      <c r="C8754">
        <v>14</v>
      </c>
      <c r="D8754">
        <v>13</v>
      </c>
      <c r="E8754" t="s">
        <v>17</v>
      </c>
      <c r="F8754">
        <v>22.43</v>
      </c>
      <c r="G8754">
        <v>22.38</v>
      </c>
      <c r="H8754" t="s">
        <v>17</v>
      </c>
      <c r="I8754" t="str">
        <f>"063255005059"</f>
        <v>063255005059</v>
      </c>
    </row>
    <row r="8755" spans="1:9" x14ac:dyDescent="0.25">
      <c r="A8755" t="s">
        <v>7626</v>
      </c>
      <c r="B8755" t="s">
        <v>13</v>
      </c>
      <c r="C8755">
        <v>20.059999999999999</v>
      </c>
      <c r="D8755" t="s">
        <v>14</v>
      </c>
      <c r="E8755" t="s">
        <v>14</v>
      </c>
      <c r="F8755">
        <v>28.71</v>
      </c>
      <c r="G8755" t="s">
        <v>14</v>
      </c>
      <c r="H8755" t="s">
        <v>14</v>
      </c>
      <c r="I8755" t="str">
        <f>"064116013106"</f>
        <v>064116013106</v>
      </c>
    </row>
    <row r="8756" spans="1:9" x14ac:dyDescent="0.25">
      <c r="A8756" t="s">
        <v>7627</v>
      </c>
      <c r="B8756" t="s">
        <v>13</v>
      </c>
      <c r="C8756">
        <v>43.56</v>
      </c>
      <c r="D8756">
        <v>43.24</v>
      </c>
      <c r="E8756" t="s">
        <v>17</v>
      </c>
      <c r="F8756">
        <v>29.57</v>
      </c>
      <c r="G8756">
        <v>29.69</v>
      </c>
      <c r="H8756" t="s">
        <v>17</v>
      </c>
      <c r="I8756" t="str">
        <f>"062259007306"</f>
        <v>062259007306</v>
      </c>
    </row>
    <row r="8757" spans="1:9" x14ac:dyDescent="0.25">
      <c r="A8757" t="s">
        <v>7628</v>
      </c>
      <c r="B8757" t="s">
        <v>13</v>
      </c>
      <c r="C8757">
        <v>32.5</v>
      </c>
      <c r="D8757">
        <v>34</v>
      </c>
      <c r="E8757" t="s">
        <v>17</v>
      </c>
      <c r="F8757">
        <v>24.15</v>
      </c>
      <c r="G8757">
        <v>24.41</v>
      </c>
      <c r="H8757" t="s">
        <v>17</v>
      </c>
      <c r="I8757" t="str">
        <f>"062271003347"</f>
        <v>062271003347</v>
      </c>
    </row>
    <row r="8758" spans="1:9" x14ac:dyDescent="0.25">
      <c r="A8758" t="s">
        <v>7629</v>
      </c>
      <c r="B8758" t="s">
        <v>13</v>
      </c>
      <c r="C8758">
        <v>2</v>
      </c>
      <c r="D8758">
        <v>3</v>
      </c>
      <c r="E8758" t="s">
        <v>17</v>
      </c>
      <c r="F8758">
        <v>13.5</v>
      </c>
      <c r="G8758">
        <v>13.67</v>
      </c>
      <c r="H8758" t="s">
        <v>17</v>
      </c>
      <c r="I8758" t="str">
        <f>"069103702799"</f>
        <v>069103702799</v>
      </c>
    </row>
    <row r="8759" spans="1:9" x14ac:dyDescent="0.25">
      <c r="A8759" t="s">
        <v>7630</v>
      </c>
      <c r="B8759" t="s">
        <v>13</v>
      </c>
      <c r="C8759" t="s">
        <v>17</v>
      </c>
      <c r="D8759" t="s">
        <v>17</v>
      </c>
      <c r="E8759" t="s">
        <v>17</v>
      </c>
      <c r="F8759" t="s">
        <v>17</v>
      </c>
      <c r="G8759" t="s">
        <v>17</v>
      </c>
      <c r="H8759" t="s">
        <v>17</v>
      </c>
      <c r="I8759" t="str">
        <f>"069103710178"</f>
        <v>069103710178</v>
      </c>
    </row>
    <row r="8760" spans="1:9" x14ac:dyDescent="0.25">
      <c r="A8760" t="s">
        <v>7631</v>
      </c>
      <c r="B8760" t="s">
        <v>13</v>
      </c>
      <c r="C8760">
        <v>5</v>
      </c>
      <c r="D8760">
        <v>5</v>
      </c>
      <c r="E8760" t="s">
        <v>17</v>
      </c>
      <c r="F8760">
        <v>9</v>
      </c>
      <c r="G8760">
        <v>8.6</v>
      </c>
      <c r="H8760" t="s">
        <v>17</v>
      </c>
      <c r="I8760" t="str">
        <f>"069103707220"</f>
        <v>069103707220</v>
      </c>
    </row>
    <row r="8761" spans="1:9" x14ac:dyDescent="0.25">
      <c r="A8761" t="s">
        <v>7632</v>
      </c>
      <c r="B8761" t="s">
        <v>13</v>
      </c>
      <c r="C8761">
        <v>5</v>
      </c>
      <c r="D8761">
        <v>7</v>
      </c>
      <c r="E8761" t="s">
        <v>17</v>
      </c>
      <c r="F8761">
        <v>23.8</v>
      </c>
      <c r="G8761">
        <v>20.57</v>
      </c>
      <c r="H8761" t="s">
        <v>17</v>
      </c>
      <c r="I8761" t="str">
        <f>"063657006208"</f>
        <v>063657006208</v>
      </c>
    </row>
    <row r="8762" spans="1:9" x14ac:dyDescent="0.25">
      <c r="A8762" t="s">
        <v>7632</v>
      </c>
      <c r="B8762" t="s">
        <v>13</v>
      </c>
      <c r="C8762">
        <v>29.43</v>
      </c>
      <c r="D8762">
        <v>27.9</v>
      </c>
      <c r="E8762" t="s">
        <v>17</v>
      </c>
      <c r="F8762">
        <v>22.9</v>
      </c>
      <c r="G8762">
        <v>24.55</v>
      </c>
      <c r="H8762" t="s">
        <v>17</v>
      </c>
      <c r="I8762" t="str">
        <f>"060837000829"</f>
        <v>060837000829</v>
      </c>
    </row>
    <row r="8763" spans="1:9" x14ac:dyDescent="0.25">
      <c r="A8763" t="s">
        <v>7632</v>
      </c>
      <c r="B8763" t="s">
        <v>13</v>
      </c>
      <c r="C8763">
        <v>31.85</v>
      </c>
      <c r="D8763">
        <v>30.87</v>
      </c>
      <c r="E8763" t="s">
        <v>17</v>
      </c>
      <c r="F8763">
        <v>25.71</v>
      </c>
      <c r="G8763">
        <v>27.18</v>
      </c>
      <c r="H8763" t="s">
        <v>17</v>
      </c>
      <c r="I8763" t="str">
        <f>"062361003588"</f>
        <v>062361003588</v>
      </c>
    </row>
    <row r="8764" spans="1:9" x14ac:dyDescent="0.25">
      <c r="A8764" t="s">
        <v>7633</v>
      </c>
      <c r="B8764" t="s">
        <v>13</v>
      </c>
      <c r="C8764">
        <v>64.53</v>
      </c>
      <c r="D8764">
        <v>63.59</v>
      </c>
      <c r="E8764" t="s">
        <v>17</v>
      </c>
      <c r="F8764">
        <v>23.2</v>
      </c>
      <c r="G8764">
        <v>23.29</v>
      </c>
      <c r="H8764" t="s">
        <v>17</v>
      </c>
      <c r="I8764" t="str">
        <f>"063660006213"</f>
        <v>063660006213</v>
      </c>
    </row>
    <row r="8765" spans="1:9" x14ac:dyDescent="0.25">
      <c r="A8765" t="s">
        <v>7634</v>
      </c>
      <c r="B8765" t="s">
        <v>13</v>
      </c>
      <c r="C8765">
        <v>1</v>
      </c>
      <c r="D8765">
        <v>1</v>
      </c>
      <c r="E8765" t="s">
        <v>17</v>
      </c>
      <c r="F8765">
        <v>23</v>
      </c>
      <c r="G8765">
        <v>16</v>
      </c>
      <c r="H8765" t="s">
        <v>17</v>
      </c>
      <c r="I8765" t="str">
        <f>"069103712305"</f>
        <v>069103712305</v>
      </c>
    </row>
    <row r="8766" spans="1:9" x14ac:dyDescent="0.25">
      <c r="A8766" t="s">
        <v>7635</v>
      </c>
      <c r="B8766" t="s">
        <v>13</v>
      </c>
      <c r="C8766">
        <v>33.92</v>
      </c>
      <c r="D8766">
        <v>36.799999999999997</v>
      </c>
      <c r="E8766" t="s">
        <v>17</v>
      </c>
      <c r="F8766">
        <v>22.2</v>
      </c>
      <c r="G8766">
        <v>21.25</v>
      </c>
      <c r="H8766" t="s">
        <v>17</v>
      </c>
      <c r="I8766" t="str">
        <f>"061495011804"</f>
        <v>061495011804</v>
      </c>
    </row>
    <row r="8767" spans="1:9" x14ac:dyDescent="0.25">
      <c r="A8767" t="s">
        <v>7636</v>
      </c>
      <c r="B8767" t="s">
        <v>13</v>
      </c>
      <c r="C8767">
        <v>13</v>
      </c>
      <c r="D8767">
        <v>14.1</v>
      </c>
      <c r="E8767" t="s">
        <v>17</v>
      </c>
      <c r="F8767">
        <v>26.31</v>
      </c>
      <c r="G8767">
        <v>22.55</v>
      </c>
      <c r="H8767" t="s">
        <v>17</v>
      </c>
      <c r="I8767" t="str">
        <f>"061281001444"</f>
        <v>061281001444</v>
      </c>
    </row>
    <row r="8768" spans="1:9" x14ac:dyDescent="0.25">
      <c r="A8768" t="s">
        <v>7637</v>
      </c>
      <c r="B8768" t="s">
        <v>13</v>
      </c>
      <c r="C8768">
        <v>2</v>
      </c>
      <c r="D8768">
        <v>2</v>
      </c>
      <c r="E8768" t="s">
        <v>17</v>
      </c>
      <c r="F8768">
        <v>23</v>
      </c>
      <c r="G8768">
        <v>22.5</v>
      </c>
      <c r="H8768" t="s">
        <v>17</v>
      </c>
      <c r="I8768" t="str">
        <f>"063660012130"</f>
        <v>063660012130</v>
      </c>
    </row>
    <row r="8769" spans="1:9" x14ac:dyDescent="0.25">
      <c r="A8769" t="s">
        <v>7638</v>
      </c>
      <c r="B8769" t="s">
        <v>13</v>
      </c>
      <c r="C8769">
        <v>13.65</v>
      </c>
      <c r="D8769">
        <v>14</v>
      </c>
      <c r="E8769" t="s">
        <v>17</v>
      </c>
      <c r="F8769">
        <v>18.170000000000002</v>
      </c>
      <c r="G8769">
        <v>15.71</v>
      </c>
      <c r="H8769" t="s">
        <v>17</v>
      </c>
      <c r="I8769" t="str">
        <f>"063660008391"</f>
        <v>063660008391</v>
      </c>
    </row>
    <row r="8770" spans="1:9" x14ac:dyDescent="0.25">
      <c r="A8770" t="s">
        <v>7639</v>
      </c>
      <c r="B8770" t="s">
        <v>13</v>
      </c>
      <c r="C8770" t="s">
        <v>14</v>
      </c>
      <c r="D8770" t="s">
        <v>14</v>
      </c>
      <c r="E8770" t="s">
        <v>14</v>
      </c>
      <c r="F8770" t="s">
        <v>14</v>
      </c>
      <c r="G8770" t="s">
        <v>14</v>
      </c>
      <c r="H8770" t="s">
        <v>14</v>
      </c>
      <c r="I8770" t="str">
        <f>"061281012758"</f>
        <v>061281012758</v>
      </c>
    </row>
    <row r="8771" spans="1:9" x14ac:dyDescent="0.25">
      <c r="A8771" t="s">
        <v>7640</v>
      </c>
      <c r="B8771" t="s">
        <v>13</v>
      </c>
      <c r="C8771" t="s">
        <v>17</v>
      </c>
      <c r="D8771" t="s">
        <v>17</v>
      </c>
      <c r="E8771" t="s">
        <v>17</v>
      </c>
      <c r="F8771" t="s">
        <v>17</v>
      </c>
      <c r="G8771" t="s">
        <v>17</v>
      </c>
      <c r="H8771" t="s">
        <v>17</v>
      </c>
      <c r="I8771" t="str">
        <f>"060012511468"</f>
        <v>060012511468</v>
      </c>
    </row>
    <row r="8772" spans="1:9" x14ac:dyDescent="0.25">
      <c r="A8772" t="s">
        <v>7641</v>
      </c>
      <c r="B8772" t="s">
        <v>13</v>
      </c>
      <c r="C8772">
        <v>2</v>
      </c>
      <c r="D8772">
        <v>1.75</v>
      </c>
      <c r="E8772" t="s">
        <v>17</v>
      </c>
      <c r="F8772">
        <v>24</v>
      </c>
      <c r="G8772">
        <v>22.29</v>
      </c>
      <c r="H8772" t="s">
        <v>17</v>
      </c>
      <c r="I8772" t="str">
        <f>"060003908524"</f>
        <v>060003908524</v>
      </c>
    </row>
    <row r="8773" spans="1:9" x14ac:dyDescent="0.25">
      <c r="A8773" t="s">
        <v>7642</v>
      </c>
      <c r="B8773" t="s">
        <v>13</v>
      </c>
      <c r="C8773">
        <v>1</v>
      </c>
      <c r="D8773">
        <v>1.25</v>
      </c>
      <c r="E8773" t="s">
        <v>17</v>
      </c>
      <c r="F8773">
        <v>16</v>
      </c>
      <c r="G8773">
        <v>18.399999999999999</v>
      </c>
      <c r="H8773" t="s">
        <v>17</v>
      </c>
      <c r="I8773" t="str">
        <f>"060003911971"</f>
        <v>060003911971</v>
      </c>
    </row>
    <row r="8774" spans="1:9" x14ac:dyDescent="0.25">
      <c r="A8774" t="s">
        <v>7643</v>
      </c>
      <c r="B8774" t="s">
        <v>13</v>
      </c>
      <c r="C8774">
        <v>28</v>
      </c>
      <c r="D8774">
        <v>30.8</v>
      </c>
      <c r="E8774" t="s">
        <v>17</v>
      </c>
      <c r="F8774">
        <v>18.79</v>
      </c>
      <c r="G8774">
        <v>17.14</v>
      </c>
      <c r="H8774" t="s">
        <v>17</v>
      </c>
      <c r="I8774" t="str">
        <f>"062664004031"</f>
        <v>062664004031</v>
      </c>
    </row>
    <row r="8775" spans="1:9" x14ac:dyDescent="0.25">
      <c r="A8775" t="s">
        <v>7644</v>
      </c>
      <c r="B8775" t="s">
        <v>13</v>
      </c>
      <c r="C8775">
        <v>18</v>
      </c>
      <c r="D8775">
        <v>21</v>
      </c>
      <c r="E8775" t="s">
        <v>17</v>
      </c>
      <c r="F8775">
        <v>22.83</v>
      </c>
      <c r="G8775">
        <v>19.760000000000002</v>
      </c>
      <c r="H8775" t="s">
        <v>17</v>
      </c>
      <c r="I8775" t="str">
        <f>"063255005060"</f>
        <v>063255005060</v>
      </c>
    </row>
    <row r="8776" spans="1:9" x14ac:dyDescent="0.25">
      <c r="A8776" t="s">
        <v>7645</v>
      </c>
      <c r="B8776" t="s">
        <v>13</v>
      </c>
      <c r="C8776">
        <v>96.8</v>
      </c>
      <c r="D8776">
        <v>101.63</v>
      </c>
      <c r="E8776" t="s">
        <v>17</v>
      </c>
      <c r="F8776">
        <v>24.34</v>
      </c>
      <c r="G8776">
        <v>23.02</v>
      </c>
      <c r="H8776" t="s">
        <v>17</v>
      </c>
      <c r="I8776" t="str">
        <f>"061233007226"</f>
        <v>061233007226</v>
      </c>
    </row>
    <row r="8777" spans="1:9" x14ac:dyDescent="0.25">
      <c r="A8777" t="s">
        <v>7646</v>
      </c>
      <c r="B8777" t="s">
        <v>13</v>
      </c>
      <c r="C8777">
        <v>14.55</v>
      </c>
      <c r="D8777">
        <v>15.6</v>
      </c>
      <c r="E8777" t="s">
        <v>17</v>
      </c>
      <c r="F8777">
        <v>27.63</v>
      </c>
      <c r="G8777">
        <v>26.35</v>
      </c>
      <c r="H8777" t="s">
        <v>17</v>
      </c>
      <c r="I8777" t="str">
        <f>"062308003529"</f>
        <v>062308003529</v>
      </c>
    </row>
    <row r="8778" spans="1:9" x14ac:dyDescent="0.25">
      <c r="A8778" t="s">
        <v>7647</v>
      </c>
      <c r="B8778" t="s">
        <v>13</v>
      </c>
      <c r="C8778" t="str">
        <f>"0.60"</f>
        <v>0.60</v>
      </c>
      <c r="D8778">
        <v>1</v>
      </c>
      <c r="E8778" t="s">
        <v>17</v>
      </c>
      <c r="F8778">
        <v>3.33</v>
      </c>
      <c r="G8778">
        <v>5</v>
      </c>
      <c r="H8778" t="s">
        <v>17</v>
      </c>
      <c r="I8778" t="str">
        <f>"061407008734"</f>
        <v>061407008734</v>
      </c>
    </row>
    <row r="8779" spans="1:9" x14ac:dyDescent="0.25">
      <c r="A8779" t="s">
        <v>7648</v>
      </c>
      <c r="B8779" t="s">
        <v>13</v>
      </c>
      <c r="C8779">
        <v>22.17</v>
      </c>
      <c r="D8779">
        <v>23</v>
      </c>
      <c r="E8779" t="s">
        <v>17</v>
      </c>
      <c r="F8779">
        <v>21.24</v>
      </c>
      <c r="G8779">
        <v>22.04</v>
      </c>
      <c r="H8779" t="s">
        <v>17</v>
      </c>
      <c r="I8779" t="str">
        <f>"063375005213"</f>
        <v>063375005213</v>
      </c>
    </row>
    <row r="8780" spans="1:9" x14ac:dyDescent="0.25">
      <c r="A8780" t="s">
        <v>7649</v>
      </c>
      <c r="B8780" t="s">
        <v>13</v>
      </c>
      <c r="C8780">
        <v>24</v>
      </c>
      <c r="D8780">
        <v>25</v>
      </c>
      <c r="E8780" t="s">
        <v>17</v>
      </c>
      <c r="F8780">
        <v>21.67</v>
      </c>
      <c r="G8780">
        <v>22.48</v>
      </c>
      <c r="H8780" t="s">
        <v>17</v>
      </c>
      <c r="I8780" t="str">
        <f>"062271003348"</f>
        <v>062271003348</v>
      </c>
    </row>
    <row r="8781" spans="1:9" x14ac:dyDescent="0.25">
      <c r="A8781" t="s">
        <v>7650</v>
      </c>
      <c r="B8781" t="s">
        <v>13</v>
      </c>
      <c r="C8781">
        <v>23.64</v>
      </c>
      <c r="D8781">
        <v>33.090000000000003</v>
      </c>
      <c r="E8781" t="s">
        <v>17</v>
      </c>
      <c r="F8781">
        <v>23.39</v>
      </c>
      <c r="G8781">
        <v>23.27</v>
      </c>
      <c r="H8781" t="s">
        <v>17</v>
      </c>
      <c r="I8781" t="str">
        <f>"063351005177"</f>
        <v>063351005177</v>
      </c>
    </row>
    <row r="8782" spans="1:9" x14ac:dyDescent="0.25">
      <c r="A8782" t="s">
        <v>7651</v>
      </c>
      <c r="B8782" t="s">
        <v>13</v>
      </c>
      <c r="C8782">
        <v>3.7</v>
      </c>
      <c r="D8782">
        <v>3.7</v>
      </c>
      <c r="E8782" t="s">
        <v>17</v>
      </c>
      <c r="F8782">
        <v>23.24</v>
      </c>
      <c r="G8782">
        <v>21.08</v>
      </c>
      <c r="H8782" t="s">
        <v>17</v>
      </c>
      <c r="I8782" t="str">
        <f>"064214006899"</f>
        <v>064214006899</v>
      </c>
    </row>
    <row r="8783" spans="1:9" x14ac:dyDescent="0.25">
      <c r="A8783" t="s">
        <v>7652</v>
      </c>
      <c r="B8783" t="s">
        <v>13</v>
      </c>
      <c r="C8783">
        <v>10</v>
      </c>
      <c r="D8783">
        <v>12</v>
      </c>
      <c r="E8783" t="s">
        <v>17</v>
      </c>
      <c r="F8783">
        <v>20.8</v>
      </c>
      <c r="G8783">
        <v>17.579999999999998</v>
      </c>
      <c r="H8783" t="s">
        <v>17</v>
      </c>
      <c r="I8783" t="str">
        <f>"063441005667"</f>
        <v>063441005667</v>
      </c>
    </row>
    <row r="8784" spans="1:9" x14ac:dyDescent="0.25">
      <c r="A8784" t="s">
        <v>7652</v>
      </c>
      <c r="B8784" t="s">
        <v>13</v>
      </c>
      <c r="C8784">
        <v>21</v>
      </c>
      <c r="D8784">
        <v>20</v>
      </c>
      <c r="E8784" t="s">
        <v>17</v>
      </c>
      <c r="F8784">
        <v>27.52</v>
      </c>
      <c r="G8784">
        <v>28.05</v>
      </c>
      <c r="H8784" t="s">
        <v>17</v>
      </c>
      <c r="I8784" t="str">
        <f>"061970002376"</f>
        <v>061970002376</v>
      </c>
    </row>
    <row r="8785" spans="1:9" x14ac:dyDescent="0.25">
      <c r="A8785" t="s">
        <v>7653</v>
      </c>
      <c r="B8785" t="s">
        <v>13</v>
      </c>
      <c r="C8785">
        <v>48</v>
      </c>
      <c r="D8785">
        <v>47.5</v>
      </c>
      <c r="E8785" t="s">
        <v>17</v>
      </c>
      <c r="F8785">
        <v>23.1</v>
      </c>
      <c r="G8785">
        <v>22.84</v>
      </c>
      <c r="H8785" t="s">
        <v>17</v>
      </c>
      <c r="I8785" t="str">
        <f>"062271003349"</f>
        <v>062271003349</v>
      </c>
    </row>
    <row r="8786" spans="1:9" x14ac:dyDescent="0.25">
      <c r="A8786" t="s">
        <v>7654</v>
      </c>
      <c r="B8786" t="s">
        <v>13</v>
      </c>
      <c r="C8786">
        <v>22.5</v>
      </c>
      <c r="D8786">
        <v>20.5</v>
      </c>
      <c r="E8786" t="s">
        <v>17</v>
      </c>
      <c r="F8786">
        <v>24.04</v>
      </c>
      <c r="G8786">
        <v>25.27</v>
      </c>
      <c r="H8786" t="s">
        <v>17</v>
      </c>
      <c r="I8786" t="str">
        <f>"064098006767"</f>
        <v>064098006767</v>
      </c>
    </row>
    <row r="8787" spans="1:9" x14ac:dyDescent="0.25">
      <c r="A8787" t="s">
        <v>7655</v>
      </c>
      <c r="B8787" t="s">
        <v>13</v>
      </c>
      <c r="C8787">
        <v>22</v>
      </c>
      <c r="D8787">
        <v>22</v>
      </c>
      <c r="E8787" t="s">
        <v>17</v>
      </c>
      <c r="F8787">
        <v>18.23</v>
      </c>
      <c r="G8787">
        <v>18.77</v>
      </c>
      <c r="H8787" t="s">
        <v>17</v>
      </c>
      <c r="I8787" t="str">
        <f>"063441005668"</f>
        <v>063441005668</v>
      </c>
    </row>
    <row r="8788" spans="1:9" x14ac:dyDescent="0.25">
      <c r="A8788" t="s">
        <v>7655</v>
      </c>
      <c r="B8788" t="s">
        <v>13</v>
      </c>
      <c r="C8788">
        <v>35</v>
      </c>
      <c r="D8788">
        <v>33</v>
      </c>
      <c r="E8788" t="s">
        <v>17</v>
      </c>
      <c r="F8788">
        <v>17.77</v>
      </c>
      <c r="G8788">
        <v>16.97</v>
      </c>
      <c r="H8788" t="s">
        <v>17</v>
      </c>
      <c r="I8788" t="str">
        <f>"063432005551"</f>
        <v>063432005551</v>
      </c>
    </row>
    <row r="8789" spans="1:9" x14ac:dyDescent="0.25">
      <c r="A8789" t="s">
        <v>7656</v>
      </c>
      <c r="B8789" t="s">
        <v>13</v>
      </c>
      <c r="C8789">
        <v>66</v>
      </c>
      <c r="D8789">
        <v>69.03</v>
      </c>
      <c r="E8789" t="s">
        <v>17</v>
      </c>
      <c r="F8789">
        <v>31.36</v>
      </c>
      <c r="G8789">
        <v>30.02</v>
      </c>
      <c r="H8789" t="s">
        <v>17</v>
      </c>
      <c r="I8789" t="str">
        <f>"062271009151"</f>
        <v>062271009151</v>
      </c>
    </row>
    <row r="8790" spans="1:9" x14ac:dyDescent="0.25">
      <c r="A8790" t="s">
        <v>7657</v>
      </c>
      <c r="B8790" t="s">
        <v>13</v>
      </c>
      <c r="C8790">
        <v>21</v>
      </c>
      <c r="D8790">
        <v>22.5</v>
      </c>
      <c r="E8790" t="s">
        <v>17</v>
      </c>
      <c r="F8790">
        <v>23.33</v>
      </c>
      <c r="G8790">
        <v>21.51</v>
      </c>
      <c r="H8790" t="s">
        <v>17</v>
      </c>
      <c r="I8790" t="str">
        <f>"060720007427"</f>
        <v>060720007427</v>
      </c>
    </row>
    <row r="8791" spans="1:9" x14ac:dyDescent="0.25">
      <c r="A8791" t="s">
        <v>7658</v>
      </c>
      <c r="B8791" t="s">
        <v>13</v>
      </c>
      <c r="C8791">
        <v>33</v>
      </c>
      <c r="D8791">
        <v>33.5</v>
      </c>
      <c r="E8791" t="s">
        <v>17</v>
      </c>
      <c r="F8791">
        <v>27.85</v>
      </c>
      <c r="G8791">
        <v>26.6</v>
      </c>
      <c r="H8791" t="s">
        <v>17</v>
      </c>
      <c r="I8791" t="str">
        <f>"062271003351"</f>
        <v>062271003351</v>
      </c>
    </row>
    <row r="8792" spans="1:9" x14ac:dyDescent="0.25">
      <c r="A8792" t="s">
        <v>7659</v>
      </c>
      <c r="B8792" t="s">
        <v>13</v>
      </c>
      <c r="C8792">
        <v>9</v>
      </c>
      <c r="D8792">
        <v>9</v>
      </c>
      <c r="E8792" t="s">
        <v>17</v>
      </c>
      <c r="F8792">
        <v>23.33</v>
      </c>
      <c r="G8792">
        <v>22.33</v>
      </c>
      <c r="H8792" t="s">
        <v>17</v>
      </c>
      <c r="I8792" t="str">
        <f>"062334011160"</f>
        <v>062334011160</v>
      </c>
    </row>
    <row r="8793" spans="1:9" x14ac:dyDescent="0.25">
      <c r="A8793" t="s">
        <v>7660</v>
      </c>
      <c r="B8793" t="s">
        <v>13</v>
      </c>
      <c r="C8793">
        <v>3.2</v>
      </c>
      <c r="D8793">
        <v>3.7</v>
      </c>
      <c r="E8793" t="s">
        <v>17</v>
      </c>
      <c r="F8793">
        <v>17.5</v>
      </c>
      <c r="G8793">
        <v>12.7</v>
      </c>
      <c r="H8793" t="s">
        <v>17</v>
      </c>
      <c r="I8793" t="str">
        <f>"062334012209"</f>
        <v>062334012209</v>
      </c>
    </row>
    <row r="8794" spans="1:9" x14ac:dyDescent="0.25">
      <c r="A8794" t="s">
        <v>7661</v>
      </c>
      <c r="B8794" t="s">
        <v>13</v>
      </c>
      <c r="C8794">
        <v>2</v>
      </c>
      <c r="D8794">
        <v>2</v>
      </c>
      <c r="E8794" t="s">
        <v>17</v>
      </c>
      <c r="F8794">
        <v>18</v>
      </c>
      <c r="G8794">
        <v>19.5</v>
      </c>
      <c r="H8794" t="s">
        <v>17</v>
      </c>
      <c r="I8794" t="str">
        <f>"064256008208"</f>
        <v>064256008208</v>
      </c>
    </row>
    <row r="8795" spans="1:9" x14ac:dyDescent="0.25">
      <c r="A8795" t="s">
        <v>7662</v>
      </c>
      <c r="B8795" t="s">
        <v>13</v>
      </c>
      <c r="C8795">
        <v>38</v>
      </c>
      <c r="D8795">
        <v>39</v>
      </c>
      <c r="E8795" t="s">
        <v>17</v>
      </c>
      <c r="F8795">
        <v>22.74</v>
      </c>
      <c r="G8795">
        <v>20.82</v>
      </c>
      <c r="H8795" t="s">
        <v>17</v>
      </c>
      <c r="I8795" t="str">
        <f>"063393005329"</f>
        <v>063393005329</v>
      </c>
    </row>
    <row r="8796" spans="1:9" x14ac:dyDescent="0.25">
      <c r="A8796" t="s">
        <v>7662</v>
      </c>
      <c r="B8796" t="s">
        <v>13</v>
      </c>
      <c r="C8796">
        <v>19</v>
      </c>
      <c r="D8796">
        <v>19</v>
      </c>
      <c r="E8796" t="s">
        <v>17</v>
      </c>
      <c r="F8796">
        <v>26.11</v>
      </c>
      <c r="G8796">
        <v>27.95</v>
      </c>
      <c r="H8796" t="s">
        <v>17</v>
      </c>
      <c r="I8796" t="str">
        <f>"063867006499"</f>
        <v>063867006499</v>
      </c>
    </row>
    <row r="8797" spans="1:9" x14ac:dyDescent="0.25">
      <c r="A8797" t="s">
        <v>7663</v>
      </c>
      <c r="B8797" t="s">
        <v>13</v>
      </c>
      <c r="C8797">
        <v>4.5999999999999996</v>
      </c>
      <c r="D8797">
        <v>5.6</v>
      </c>
      <c r="E8797" t="s">
        <v>17</v>
      </c>
      <c r="F8797">
        <v>30</v>
      </c>
      <c r="G8797">
        <v>21.07</v>
      </c>
      <c r="H8797" t="s">
        <v>17</v>
      </c>
      <c r="I8797" t="str">
        <f>"060837012750"</f>
        <v>060837012750</v>
      </c>
    </row>
    <row r="8798" spans="1:9" x14ac:dyDescent="0.25">
      <c r="A8798" t="s">
        <v>7664</v>
      </c>
      <c r="B8798" t="s">
        <v>13</v>
      </c>
      <c r="C8798">
        <v>7.05</v>
      </c>
      <c r="D8798">
        <v>10.17</v>
      </c>
      <c r="E8798" t="s">
        <v>17</v>
      </c>
      <c r="F8798">
        <v>23.26</v>
      </c>
      <c r="G8798">
        <v>17.600000000000001</v>
      </c>
      <c r="H8798" t="s">
        <v>17</v>
      </c>
      <c r="I8798" t="str">
        <f>"063942006572"</f>
        <v>063942006572</v>
      </c>
    </row>
    <row r="8799" spans="1:9" x14ac:dyDescent="0.25">
      <c r="A8799" t="s">
        <v>7665</v>
      </c>
      <c r="B8799" t="s">
        <v>13</v>
      </c>
      <c r="C8799">
        <v>3.6</v>
      </c>
      <c r="D8799">
        <v>3.6</v>
      </c>
      <c r="E8799" t="s">
        <v>17</v>
      </c>
      <c r="F8799">
        <v>24.17</v>
      </c>
      <c r="G8799">
        <v>21.94</v>
      </c>
      <c r="H8799" t="s">
        <v>17</v>
      </c>
      <c r="I8799" t="str">
        <f>"063666012799"</f>
        <v>063666012799</v>
      </c>
    </row>
    <row r="8800" spans="1:9" x14ac:dyDescent="0.25">
      <c r="A8800" t="s">
        <v>7666</v>
      </c>
      <c r="B8800" t="s">
        <v>13</v>
      </c>
      <c r="C8800">
        <v>2</v>
      </c>
      <c r="D8800">
        <v>1.6</v>
      </c>
      <c r="E8800" t="s">
        <v>17</v>
      </c>
      <c r="F8800">
        <v>28</v>
      </c>
      <c r="G8800">
        <v>38.130000000000003</v>
      </c>
      <c r="H8800" t="s">
        <v>17</v>
      </c>
      <c r="I8800" t="str">
        <f>"063666006214"</f>
        <v>063666006214</v>
      </c>
    </row>
    <row r="8801" spans="1:9" x14ac:dyDescent="0.25">
      <c r="A8801" t="s">
        <v>7667</v>
      </c>
      <c r="B8801" t="s">
        <v>13</v>
      </c>
      <c r="C8801">
        <v>33.9</v>
      </c>
      <c r="D8801">
        <v>34.5</v>
      </c>
      <c r="E8801" t="s">
        <v>17</v>
      </c>
      <c r="F8801">
        <v>26.28</v>
      </c>
      <c r="G8801">
        <v>25.94</v>
      </c>
      <c r="H8801" t="s">
        <v>17</v>
      </c>
      <c r="I8801" t="str">
        <f>"061437008352"</f>
        <v>061437008352</v>
      </c>
    </row>
    <row r="8802" spans="1:9" x14ac:dyDescent="0.25">
      <c r="A8802" t="s">
        <v>7668</v>
      </c>
      <c r="B8802" t="s">
        <v>13</v>
      </c>
      <c r="C8802">
        <v>27</v>
      </c>
      <c r="D8802">
        <v>26.5</v>
      </c>
      <c r="E8802" t="s">
        <v>17</v>
      </c>
      <c r="F8802">
        <v>22.56</v>
      </c>
      <c r="G8802">
        <v>22.45</v>
      </c>
      <c r="H8802" t="s">
        <v>17</v>
      </c>
      <c r="I8802" t="str">
        <f>"062271003352"</f>
        <v>062271003352</v>
      </c>
    </row>
    <row r="8803" spans="1:9" x14ac:dyDescent="0.25">
      <c r="A8803" t="s">
        <v>7669</v>
      </c>
      <c r="B8803" t="s">
        <v>13</v>
      </c>
      <c r="C8803">
        <v>31</v>
      </c>
      <c r="D8803">
        <v>29</v>
      </c>
      <c r="E8803" t="s">
        <v>17</v>
      </c>
      <c r="F8803">
        <v>25.1</v>
      </c>
      <c r="G8803">
        <v>24.93</v>
      </c>
      <c r="H8803" t="s">
        <v>17</v>
      </c>
      <c r="I8803" t="str">
        <f>"061329010809"</f>
        <v>061329010809</v>
      </c>
    </row>
    <row r="8804" spans="1:9" x14ac:dyDescent="0.25">
      <c r="A8804" t="s">
        <v>7670</v>
      </c>
      <c r="B8804" t="s">
        <v>13</v>
      </c>
      <c r="C8804" t="s">
        <v>14</v>
      </c>
      <c r="D8804">
        <v>10</v>
      </c>
      <c r="E8804" t="s">
        <v>17</v>
      </c>
      <c r="F8804" t="s">
        <v>17</v>
      </c>
      <c r="G8804">
        <v>21.8</v>
      </c>
      <c r="H8804" t="s">
        <v>17</v>
      </c>
      <c r="I8804" t="str">
        <f>"064293010716"</f>
        <v>064293010716</v>
      </c>
    </row>
    <row r="8805" spans="1:9" x14ac:dyDescent="0.25">
      <c r="A8805" t="s">
        <v>7671</v>
      </c>
      <c r="B8805" t="s">
        <v>13</v>
      </c>
      <c r="C8805">
        <v>21</v>
      </c>
      <c r="D8805">
        <v>21.5</v>
      </c>
      <c r="E8805" t="s">
        <v>17</v>
      </c>
      <c r="F8805">
        <v>26.57</v>
      </c>
      <c r="G8805">
        <v>27.63</v>
      </c>
      <c r="H8805" t="s">
        <v>17</v>
      </c>
      <c r="I8805" t="str">
        <f>"061209001359"</f>
        <v>061209001359</v>
      </c>
    </row>
    <row r="8806" spans="1:9" x14ac:dyDescent="0.25">
      <c r="A8806" t="s">
        <v>7672</v>
      </c>
      <c r="B8806" t="s">
        <v>13</v>
      </c>
      <c r="C8806">
        <v>46.02</v>
      </c>
      <c r="D8806">
        <v>50</v>
      </c>
      <c r="E8806" t="s">
        <v>17</v>
      </c>
      <c r="F8806">
        <v>29.86</v>
      </c>
      <c r="G8806">
        <v>28.52</v>
      </c>
      <c r="H8806" t="s">
        <v>17</v>
      </c>
      <c r="I8806" t="str">
        <f>"060002909686"</f>
        <v>060002909686</v>
      </c>
    </row>
    <row r="8807" spans="1:9" x14ac:dyDescent="0.25">
      <c r="A8807" t="s">
        <v>7673</v>
      </c>
      <c r="B8807" t="s">
        <v>13</v>
      </c>
      <c r="C8807">
        <v>23.5</v>
      </c>
      <c r="D8807">
        <v>22.8</v>
      </c>
      <c r="E8807" t="s">
        <v>17</v>
      </c>
      <c r="F8807">
        <v>27.11</v>
      </c>
      <c r="G8807">
        <v>27.32</v>
      </c>
      <c r="H8807" t="s">
        <v>17</v>
      </c>
      <c r="I8807" t="str">
        <f>"063153007679"</f>
        <v>063153007679</v>
      </c>
    </row>
    <row r="8808" spans="1:9" x14ac:dyDescent="0.25">
      <c r="A8808" t="s">
        <v>7674</v>
      </c>
      <c r="B8808" t="s">
        <v>13</v>
      </c>
      <c r="C8808">
        <v>25.61</v>
      </c>
      <c r="D8808">
        <v>25.52</v>
      </c>
      <c r="E8808" t="s">
        <v>17</v>
      </c>
      <c r="F8808">
        <v>18.309999999999999</v>
      </c>
      <c r="G8808">
        <v>20.260000000000002</v>
      </c>
      <c r="H8808" t="s">
        <v>17</v>
      </c>
      <c r="I8808" t="str">
        <f>"062637003972"</f>
        <v>062637003972</v>
      </c>
    </row>
    <row r="8809" spans="1:9" x14ac:dyDescent="0.25">
      <c r="A8809" t="s">
        <v>7675</v>
      </c>
      <c r="B8809" t="s">
        <v>13</v>
      </c>
      <c r="C8809">
        <v>38.75</v>
      </c>
      <c r="D8809">
        <v>43.19</v>
      </c>
      <c r="E8809" t="s">
        <v>17</v>
      </c>
      <c r="F8809">
        <v>27.9</v>
      </c>
      <c r="G8809">
        <v>24.57</v>
      </c>
      <c r="H8809" t="s">
        <v>17</v>
      </c>
      <c r="I8809" t="str">
        <f>"060744000704"</f>
        <v>060744000704</v>
      </c>
    </row>
    <row r="8810" spans="1:9" x14ac:dyDescent="0.25">
      <c r="A8810" t="s">
        <v>7676</v>
      </c>
      <c r="B8810" t="s">
        <v>13</v>
      </c>
      <c r="C8810" t="s">
        <v>14</v>
      </c>
      <c r="D8810" t="s">
        <v>14</v>
      </c>
      <c r="E8810" t="s">
        <v>17</v>
      </c>
      <c r="F8810" t="s">
        <v>14</v>
      </c>
      <c r="G8810" t="s">
        <v>14</v>
      </c>
      <c r="H8810" t="s">
        <v>17</v>
      </c>
      <c r="I8810" t="str">
        <f>"063667003290"</f>
        <v>063667003290</v>
      </c>
    </row>
    <row r="8811" spans="1:9" x14ac:dyDescent="0.25">
      <c r="A8811" t="s">
        <v>7677</v>
      </c>
      <c r="B8811" t="s">
        <v>13</v>
      </c>
      <c r="C8811" t="s">
        <v>14</v>
      </c>
      <c r="D8811" t="s">
        <v>14</v>
      </c>
      <c r="E8811" t="s">
        <v>17</v>
      </c>
      <c r="F8811" t="s">
        <v>14</v>
      </c>
      <c r="G8811" t="s">
        <v>14</v>
      </c>
      <c r="H8811" t="s">
        <v>17</v>
      </c>
      <c r="I8811" t="str">
        <f>"063667006038"</f>
        <v>063667006038</v>
      </c>
    </row>
    <row r="8812" spans="1:9" x14ac:dyDescent="0.25">
      <c r="A8812" t="s">
        <v>7678</v>
      </c>
      <c r="B8812" t="s">
        <v>13</v>
      </c>
      <c r="C8812">
        <v>26</v>
      </c>
      <c r="D8812">
        <v>27</v>
      </c>
      <c r="E8812" t="s">
        <v>17</v>
      </c>
      <c r="F8812">
        <v>19.88</v>
      </c>
      <c r="G8812">
        <v>19.11</v>
      </c>
      <c r="H8812" t="s">
        <v>17</v>
      </c>
      <c r="I8812" t="str">
        <f>"062199007434"</f>
        <v>062199007434</v>
      </c>
    </row>
    <row r="8813" spans="1:9" x14ac:dyDescent="0.25">
      <c r="A8813" t="s">
        <v>7679</v>
      </c>
      <c r="B8813" t="s">
        <v>13</v>
      </c>
      <c r="C8813">
        <v>15</v>
      </c>
      <c r="D8813">
        <v>17</v>
      </c>
      <c r="E8813" t="s">
        <v>17</v>
      </c>
      <c r="F8813">
        <v>23.33</v>
      </c>
      <c r="G8813">
        <v>22.29</v>
      </c>
      <c r="H8813" t="s">
        <v>17</v>
      </c>
      <c r="I8813" t="str">
        <f>"062271003353"</f>
        <v>062271003353</v>
      </c>
    </row>
    <row r="8814" spans="1:9" x14ac:dyDescent="0.25">
      <c r="A8814" t="s">
        <v>7680</v>
      </c>
      <c r="B8814" t="s">
        <v>13</v>
      </c>
      <c r="C8814">
        <v>7</v>
      </c>
      <c r="D8814">
        <v>6.4</v>
      </c>
      <c r="E8814" t="s">
        <v>17</v>
      </c>
      <c r="F8814">
        <v>21.14</v>
      </c>
      <c r="G8814">
        <v>16.25</v>
      </c>
      <c r="H8814" t="s">
        <v>17</v>
      </c>
      <c r="I8814" t="str">
        <f>"063509012694"</f>
        <v>063509012694</v>
      </c>
    </row>
    <row r="8815" spans="1:9" x14ac:dyDescent="0.25">
      <c r="A8815" t="s">
        <v>7681</v>
      </c>
      <c r="B8815" t="s">
        <v>13</v>
      </c>
      <c r="C8815">
        <v>1.1000000000000001</v>
      </c>
      <c r="D8815">
        <v>1.45</v>
      </c>
      <c r="E8815" t="s">
        <v>17</v>
      </c>
      <c r="F8815">
        <v>4.55</v>
      </c>
      <c r="G8815">
        <v>9.66</v>
      </c>
      <c r="H8815" t="s">
        <v>17</v>
      </c>
      <c r="I8815" t="str">
        <f>"061068010502"</f>
        <v>061068010502</v>
      </c>
    </row>
    <row r="8816" spans="1:9" x14ac:dyDescent="0.25">
      <c r="A8816" t="s">
        <v>7682</v>
      </c>
      <c r="B8816" t="s">
        <v>13</v>
      </c>
      <c r="C8816" t="str">
        <f>"0.20"</f>
        <v>0.20</v>
      </c>
      <c r="D8816" t="str">
        <f>"0.30"</f>
        <v>0.30</v>
      </c>
      <c r="E8816" t="s">
        <v>17</v>
      </c>
      <c r="F8816">
        <v>5</v>
      </c>
      <c r="G8816">
        <v>3.33</v>
      </c>
      <c r="H8816" t="s">
        <v>17</v>
      </c>
      <c r="I8816" t="str">
        <f>"061068007981"</f>
        <v>061068007981</v>
      </c>
    </row>
    <row r="8817" spans="1:9" x14ac:dyDescent="0.25">
      <c r="A8817" t="s">
        <v>7683</v>
      </c>
      <c r="B8817" t="s">
        <v>13</v>
      </c>
      <c r="C8817">
        <v>49.5</v>
      </c>
      <c r="D8817">
        <v>48</v>
      </c>
      <c r="E8817" t="s">
        <v>17</v>
      </c>
      <c r="F8817">
        <v>35.03</v>
      </c>
      <c r="G8817">
        <v>38.83</v>
      </c>
      <c r="H8817" t="s">
        <v>17</v>
      </c>
      <c r="I8817" t="str">
        <f>"064119011401"</f>
        <v>064119011401</v>
      </c>
    </row>
    <row r="8818" spans="1:9" x14ac:dyDescent="0.25">
      <c r="A8818" t="s">
        <v>7684</v>
      </c>
      <c r="B8818" t="s">
        <v>13</v>
      </c>
      <c r="C8818" t="s">
        <v>17</v>
      </c>
      <c r="D8818" t="s">
        <v>14</v>
      </c>
      <c r="E8818" t="s">
        <v>14</v>
      </c>
      <c r="F8818" t="s">
        <v>17</v>
      </c>
      <c r="G8818" t="s">
        <v>14</v>
      </c>
      <c r="H8818" t="s">
        <v>14</v>
      </c>
      <c r="I8818" t="str">
        <f>"062688012922"</f>
        <v>062688012922</v>
      </c>
    </row>
    <row r="8819" spans="1:9" x14ac:dyDescent="0.25">
      <c r="A8819" t="s">
        <v>7685</v>
      </c>
      <c r="B8819" t="s">
        <v>13</v>
      </c>
      <c r="C8819" t="str">
        <f>"0.80"</f>
        <v>0.80</v>
      </c>
      <c r="D8819">
        <v>1.1000000000000001</v>
      </c>
      <c r="E8819" t="s">
        <v>17</v>
      </c>
      <c r="F8819">
        <v>6.25</v>
      </c>
      <c r="G8819">
        <v>7.27</v>
      </c>
      <c r="H8819" t="s">
        <v>17</v>
      </c>
      <c r="I8819" t="str">
        <f>"062244011943"</f>
        <v>062244011943</v>
      </c>
    </row>
    <row r="8820" spans="1:9" x14ac:dyDescent="0.25">
      <c r="A8820" t="s">
        <v>7686</v>
      </c>
      <c r="B8820" t="s">
        <v>13</v>
      </c>
      <c r="C8820">
        <v>18.03</v>
      </c>
      <c r="D8820">
        <v>19.05</v>
      </c>
      <c r="E8820" t="s">
        <v>17</v>
      </c>
      <c r="F8820">
        <v>27.29</v>
      </c>
      <c r="G8820">
        <v>23.73</v>
      </c>
      <c r="H8820" t="s">
        <v>17</v>
      </c>
      <c r="I8820" t="str">
        <f>"063918006546"</f>
        <v>063918006546</v>
      </c>
    </row>
    <row r="8821" spans="1:9" x14ac:dyDescent="0.25">
      <c r="A8821" t="s">
        <v>7687</v>
      </c>
      <c r="B8821" t="s">
        <v>13</v>
      </c>
      <c r="C8821">
        <v>39.94</v>
      </c>
      <c r="D8821">
        <v>37.94</v>
      </c>
      <c r="E8821" t="s">
        <v>17</v>
      </c>
      <c r="F8821">
        <v>15.62</v>
      </c>
      <c r="G8821">
        <v>17.37</v>
      </c>
      <c r="H8821" t="s">
        <v>17</v>
      </c>
      <c r="I8821" t="str">
        <f>"061455011846"</f>
        <v>061455011846</v>
      </c>
    </row>
    <row r="8822" spans="1:9" x14ac:dyDescent="0.25">
      <c r="A8822" t="s">
        <v>7688</v>
      </c>
      <c r="B8822" t="s">
        <v>13</v>
      </c>
      <c r="C8822" t="s">
        <v>17</v>
      </c>
      <c r="D8822" t="s">
        <v>17</v>
      </c>
      <c r="E8822" t="s">
        <v>17</v>
      </c>
      <c r="F8822" t="s">
        <v>17</v>
      </c>
      <c r="G8822" t="s">
        <v>17</v>
      </c>
      <c r="H8822" t="s">
        <v>17</v>
      </c>
      <c r="I8822" t="str">
        <f>"063828011826"</f>
        <v>063828011826</v>
      </c>
    </row>
    <row r="8823" spans="1:9" x14ac:dyDescent="0.25">
      <c r="A8823" t="s">
        <v>7689</v>
      </c>
      <c r="B8823" t="s">
        <v>13</v>
      </c>
      <c r="C8823" t="str">
        <f>"0.60"</f>
        <v>0.60</v>
      </c>
      <c r="D8823">
        <v>1.2</v>
      </c>
      <c r="E8823" t="s">
        <v>17</v>
      </c>
      <c r="F8823">
        <v>3.33</v>
      </c>
      <c r="G8823">
        <v>1.67</v>
      </c>
      <c r="H8823" t="s">
        <v>17</v>
      </c>
      <c r="I8823" t="str">
        <f>"069112012428"</f>
        <v>069112012428</v>
      </c>
    </row>
    <row r="8824" spans="1:9" x14ac:dyDescent="0.25">
      <c r="A8824" t="s">
        <v>7690</v>
      </c>
      <c r="B8824" t="s">
        <v>13</v>
      </c>
      <c r="C8824">
        <v>1.5</v>
      </c>
      <c r="D8824">
        <v>2.2000000000000002</v>
      </c>
      <c r="E8824" t="s">
        <v>17</v>
      </c>
      <c r="F8824" t="s">
        <v>14</v>
      </c>
      <c r="G8824" t="s">
        <v>17</v>
      </c>
      <c r="H8824" t="s">
        <v>17</v>
      </c>
      <c r="I8824" t="str">
        <f>"069112008098"</f>
        <v>069112008098</v>
      </c>
    </row>
    <row r="8825" spans="1:9" x14ac:dyDescent="0.25">
      <c r="A8825" t="s">
        <v>7691</v>
      </c>
      <c r="B8825" t="s">
        <v>13</v>
      </c>
      <c r="C8825" t="s">
        <v>17</v>
      </c>
      <c r="D8825" t="s">
        <v>17</v>
      </c>
      <c r="E8825" t="s">
        <v>17</v>
      </c>
      <c r="F8825" t="s">
        <v>17</v>
      </c>
      <c r="G8825" t="s">
        <v>17</v>
      </c>
      <c r="H8825" t="s">
        <v>17</v>
      </c>
      <c r="I8825" t="str">
        <f>"063678010327"</f>
        <v>063678010327</v>
      </c>
    </row>
    <row r="8826" spans="1:9" x14ac:dyDescent="0.25">
      <c r="A8826" t="s">
        <v>7692</v>
      </c>
      <c r="B8826" t="s">
        <v>13</v>
      </c>
      <c r="C8826" t="s">
        <v>17</v>
      </c>
      <c r="D8826" t="s">
        <v>14</v>
      </c>
      <c r="E8826" t="s">
        <v>14</v>
      </c>
      <c r="F8826" t="s">
        <v>17</v>
      </c>
      <c r="G8826" t="s">
        <v>14</v>
      </c>
      <c r="H8826" t="s">
        <v>14</v>
      </c>
      <c r="I8826" t="str">
        <f>"062910013250"</f>
        <v>062910013250</v>
      </c>
    </row>
    <row r="8827" spans="1:9" x14ac:dyDescent="0.25">
      <c r="A8827" t="s">
        <v>7693</v>
      </c>
      <c r="B8827" t="s">
        <v>13</v>
      </c>
      <c r="C8827">
        <v>26.91</v>
      </c>
      <c r="D8827">
        <v>29</v>
      </c>
      <c r="E8827" t="s">
        <v>17</v>
      </c>
      <c r="F8827">
        <v>26.83</v>
      </c>
      <c r="G8827">
        <v>29.38</v>
      </c>
      <c r="H8827" t="s">
        <v>17</v>
      </c>
      <c r="I8827" t="str">
        <f>"062088002513"</f>
        <v>062088002513</v>
      </c>
    </row>
    <row r="8828" spans="1:9" x14ac:dyDescent="0.25">
      <c r="A8828" t="s">
        <v>7693</v>
      </c>
      <c r="B8828" t="s">
        <v>13</v>
      </c>
      <c r="C8828" t="s">
        <v>14</v>
      </c>
      <c r="D8828" t="s">
        <v>14</v>
      </c>
      <c r="E8828" t="s">
        <v>17</v>
      </c>
      <c r="F8828" t="s">
        <v>14</v>
      </c>
      <c r="G8828" t="s">
        <v>14</v>
      </c>
      <c r="H8828" t="s">
        <v>17</v>
      </c>
      <c r="I8828" t="str">
        <f>"063680500407"</f>
        <v>063680500407</v>
      </c>
    </row>
    <row r="8829" spans="1:9" x14ac:dyDescent="0.25">
      <c r="A8829" t="s">
        <v>7693</v>
      </c>
      <c r="B8829" t="s">
        <v>13</v>
      </c>
      <c r="C8829" t="s">
        <v>17</v>
      </c>
      <c r="D8829">
        <v>1</v>
      </c>
      <c r="E8829" t="s">
        <v>17</v>
      </c>
      <c r="F8829" t="s">
        <v>17</v>
      </c>
      <c r="G8829">
        <v>16</v>
      </c>
      <c r="H8829" t="s">
        <v>17</v>
      </c>
      <c r="I8829" t="str">
        <f>"061035001161"</f>
        <v>061035001161</v>
      </c>
    </row>
    <row r="8830" spans="1:9" x14ac:dyDescent="0.25">
      <c r="A8830" t="s">
        <v>7693</v>
      </c>
      <c r="B8830" t="s">
        <v>13</v>
      </c>
      <c r="C8830">
        <v>20.5</v>
      </c>
      <c r="D8830">
        <v>22</v>
      </c>
      <c r="E8830" t="s">
        <v>17</v>
      </c>
      <c r="F8830">
        <v>24.05</v>
      </c>
      <c r="G8830">
        <v>21.45</v>
      </c>
      <c r="H8830" t="s">
        <v>17</v>
      </c>
      <c r="I8830" t="str">
        <f>"063078004787"</f>
        <v>063078004787</v>
      </c>
    </row>
    <row r="8831" spans="1:9" x14ac:dyDescent="0.25">
      <c r="A8831" t="s">
        <v>7693</v>
      </c>
      <c r="B8831" t="s">
        <v>13</v>
      </c>
      <c r="C8831">
        <v>19.100000000000001</v>
      </c>
      <c r="D8831">
        <v>19.100000000000001</v>
      </c>
      <c r="E8831" t="s">
        <v>17</v>
      </c>
      <c r="F8831">
        <v>27.49</v>
      </c>
      <c r="G8831">
        <v>26.6</v>
      </c>
      <c r="H8831" t="s">
        <v>17</v>
      </c>
      <c r="I8831" t="str">
        <f>"060001308764"</f>
        <v>060001308764</v>
      </c>
    </row>
    <row r="8832" spans="1:9" x14ac:dyDescent="0.25">
      <c r="A8832" t="s">
        <v>7694</v>
      </c>
      <c r="B8832" t="s">
        <v>13</v>
      </c>
      <c r="C8832">
        <v>8.1999999999999993</v>
      </c>
      <c r="D8832">
        <v>4.2</v>
      </c>
      <c r="E8832" t="s">
        <v>17</v>
      </c>
      <c r="F8832">
        <v>19.63</v>
      </c>
      <c r="G8832">
        <v>25.71</v>
      </c>
      <c r="H8832" t="s">
        <v>17</v>
      </c>
      <c r="I8832" t="str">
        <f>"063877012628"</f>
        <v>063877012628</v>
      </c>
    </row>
    <row r="8833" spans="1:9" x14ac:dyDescent="0.25">
      <c r="A8833" t="s">
        <v>7695</v>
      </c>
      <c r="B8833" t="s">
        <v>13</v>
      </c>
      <c r="C8833">
        <v>4</v>
      </c>
      <c r="D8833" t="s">
        <v>14</v>
      </c>
      <c r="E8833" t="s">
        <v>14</v>
      </c>
      <c r="F8833">
        <v>23.5</v>
      </c>
      <c r="G8833" t="s">
        <v>14</v>
      </c>
      <c r="H8833" t="s">
        <v>14</v>
      </c>
      <c r="I8833" t="str">
        <f>"062394013041"</f>
        <v>062394013041</v>
      </c>
    </row>
    <row r="8834" spans="1:9" x14ac:dyDescent="0.25">
      <c r="A8834" t="s">
        <v>7696</v>
      </c>
      <c r="B8834" t="s">
        <v>13</v>
      </c>
      <c r="C8834" t="str">
        <f>"0.80"</f>
        <v>0.80</v>
      </c>
      <c r="D8834" t="str">
        <f>"0.50"</f>
        <v>0.50</v>
      </c>
      <c r="E8834" t="s">
        <v>17</v>
      </c>
      <c r="F8834">
        <v>20</v>
      </c>
      <c r="G8834">
        <v>34</v>
      </c>
      <c r="H8834" t="s">
        <v>17</v>
      </c>
      <c r="I8834" t="str">
        <f>"062688002269"</f>
        <v>062688002269</v>
      </c>
    </row>
    <row r="8835" spans="1:9" x14ac:dyDescent="0.25">
      <c r="A8835" t="s">
        <v>7697</v>
      </c>
      <c r="B8835" t="s">
        <v>13</v>
      </c>
      <c r="C8835">
        <v>13</v>
      </c>
      <c r="D8835">
        <v>14.5</v>
      </c>
      <c r="E8835" t="s">
        <v>17</v>
      </c>
      <c r="F8835">
        <v>24.69</v>
      </c>
      <c r="G8835">
        <v>26.14</v>
      </c>
      <c r="H8835" t="s">
        <v>17</v>
      </c>
      <c r="I8835" t="str">
        <f>"063360005187"</f>
        <v>063360005187</v>
      </c>
    </row>
    <row r="8836" spans="1:9" x14ac:dyDescent="0.25">
      <c r="A8836" t="s">
        <v>7698</v>
      </c>
      <c r="B8836" t="s">
        <v>13</v>
      </c>
      <c r="C8836">
        <v>25</v>
      </c>
      <c r="D8836">
        <v>27</v>
      </c>
      <c r="E8836" t="s">
        <v>17</v>
      </c>
      <c r="F8836">
        <v>21.6</v>
      </c>
      <c r="G8836">
        <v>21.48</v>
      </c>
      <c r="H8836" t="s">
        <v>17</v>
      </c>
      <c r="I8836" t="str">
        <f>"063417007345"</f>
        <v>063417007345</v>
      </c>
    </row>
    <row r="8837" spans="1:9" x14ac:dyDescent="0.25">
      <c r="A8837" t="s">
        <v>7698</v>
      </c>
      <c r="B8837" t="s">
        <v>13</v>
      </c>
      <c r="C8837">
        <v>64.760000000000005</v>
      </c>
      <c r="D8837">
        <v>62.15</v>
      </c>
      <c r="E8837" t="s">
        <v>17</v>
      </c>
      <c r="F8837">
        <v>21.99</v>
      </c>
      <c r="G8837">
        <v>22.83</v>
      </c>
      <c r="H8837" t="s">
        <v>17</v>
      </c>
      <c r="I8837" t="str">
        <f>"062361004002"</f>
        <v>062361004002</v>
      </c>
    </row>
    <row r="8838" spans="1:9" x14ac:dyDescent="0.25">
      <c r="A8838" t="s">
        <v>7698</v>
      </c>
      <c r="B8838" t="s">
        <v>13</v>
      </c>
      <c r="C8838">
        <v>24.48</v>
      </c>
      <c r="D8838">
        <v>27.17</v>
      </c>
      <c r="E8838" t="s">
        <v>17</v>
      </c>
      <c r="F8838">
        <v>21.28</v>
      </c>
      <c r="G8838">
        <v>21.6</v>
      </c>
      <c r="H8838" t="s">
        <v>17</v>
      </c>
      <c r="I8838" t="str">
        <f>"063680500401"</f>
        <v>063680500401</v>
      </c>
    </row>
    <row r="8839" spans="1:9" x14ac:dyDescent="0.25">
      <c r="A8839" t="s">
        <v>7698</v>
      </c>
      <c r="B8839" t="s">
        <v>13</v>
      </c>
      <c r="C8839">
        <v>16.899999999999999</v>
      </c>
      <c r="D8839">
        <v>17.2</v>
      </c>
      <c r="E8839" t="s">
        <v>17</v>
      </c>
      <c r="F8839">
        <v>16.27</v>
      </c>
      <c r="G8839">
        <v>17.440000000000001</v>
      </c>
      <c r="H8839" t="s">
        <v>17</v>
      </c>
      <c r="I8839" t="str">
        <f>"060360000283"</f>
        <v>060360000283</v>
      </c>
    </row>
    <row r="8840" spans="1:9" x14ac:dyDescent="0.25">
      <c r="A8840" t="s">
        <v>7698</v>
      </c>
      <c r="B8840" t="s">
        <v>13</v>
      </c>
      <c r="C8840">
        <v>4.17</v>
      </c>
      <c r="D8840">
        <v>4.17</v>
      </c>
      <c r="E8840" t="s">
        <v>17</v>
      </c>
      <c r="F8840">
        <v>18.940000000000001</v>
      </c>
      <c r="G8840">
        <v>21.34</v>
      </c>
      <c r="H8840" t="s">
        <v>17</v>
      </c>
      <c r="I8840" t="str">
        <f>"061380007710"</f>
        <v>061380007710</v>
      </c>
    </row>
    <row r="8841" spans="1:9" x14ac:dyDescent="0.25">
      <c r="A8841" t="s">
        <v>7699</v>
      </c>
      <c r="B8841" t="s">
        <v>13</v>
      </c>
      <c r="C8841">
        <v>1</v>
      </c>
      <c r="D8841" t="str">
        <f>"0.85"</f>
        <v>0.85</v>
      </c>
      <c r="E8841" t="s">
        <v>17</v>
      </c>
      <c r="F8841">
        <v>19</v>
      </c>
      <c r="G8841">
        <v>20</v>
      </c>
      <c r="H8841" t="s">
        <v>17</v>
      </c>
      <c r="I8841" t="str">
        <f>"062353010259"</f>
        <v>062353010259</v>
      </c>
    </row>
    <row r="8842" spans="1:9" x14ac:dyDescent="0.25">
      <c r="A8842" t="s">
        <v>7699</v>
      </c>
      <c r="B8842" t="s">
        <v>13</v>
      </c>
      <c r="C8842">
        <v>3</v>
      </c>
      <c r="D8842">
        <v>3</v>
      </c>
      <c r="E8842" t="s">
        <v>17</v>
      </c>
      <c r="F8842">
        <v>12.67</v>
      </c>
      <c r="G8842">
        <v>14</v>
      </c>
      <c r="H8842" t="s">
        <v>17</v>
      </c>
      <c r="I8842" t="str">
        <f>"063877006517"</f>
        <v>063877006517</v>
      </c>
    </row>
    <row r="8843" spans="1:9" x14ac:dyDescent="0.25">
      <c r="A8843" t="s">
        <v>7700</v>
      </c>
      <c r="B8843" t="s">
        <v>13</v>
      </c>
      <c r="C8843">
        <v>7</v>
      </c>
      <c r="D8843">
        <v>8</v>
      </c>
      <c r="E8843" t="s">
        <v>17</v>
      </c>
      <c r="F8843">
        <v>9</v>
      </c>
      <c r="G8843">
        <v>7.75</v>
      </c>
      <c r="H8843" t="s">
        <v>17</v>
      </c>
      <c r="I8843" t="str">
        <f>"063072012821"</f>
        <v>063072012821</v>
      </c>
    </row>
    <row r="8844" spans="1:9" x14ac:dyDescent="0.25">
      <c r="A8844" t="s">
        <v>7701</v>
      </c>
      <c r="B8844" t="s">
        <v>13</v>
      </c>
      <c r="C8844">
        <v>8.58</v>
      </c>
      <c r="D8844">
        <v>10.16</v>
      </c>
      <c r="E8844" t="s">
        <v>17</v>
      </c>
      <c r="F8844">
        <v>34.85</v>
      </c>
      <c r="G8844">
        <v>31.79</v>
      </c>
      <c r="H8844" t="s">
        <v>17</v>
      </c>
      <c r="I8844" t="str">
        <f>"063072004909"</f>
        <v>063072004909</v>
      </c>
    </row>
    <row r="8845" spans="1:9" x14ac:dyDescent="0.25">
      <c r="A8845" t="s">
        <v>7702</v>
      </c>
      <c r="B8845" t="s">
        <v>13</v>
      </c>
      <c r="C8845">
        <v>3.02</v>
      </c>
      <c r="D8845">
        <v>4.96</v>
      </c>
      <c r="E8845" t="s">
        <v>17</v>
      </c>
      <c r="F8845">
        <v>17.88</v>
      </c>
      <c r="G8845">
        <v>11.69</v>
      </c>
      <c r="H8845" t="s">
        <v>17</v>
      </c>
      <c r="I8845" t="str">
        <f>"062394006039"</f>
        <v>062394006039</v>
      </c>
    </row>
    <row r="8846" spans="1:9" x14ac:dyDescent="0.25">
      <c r="A8846" t="s">
        <v>7703</v>
      </c>
      <c r="B8846" t="s">
        <v>13</v>
      </c>
      <c r="C8846">
        <v>21.97</v>
      </c>
      <c r="D8846">
        <v>20.97</v>
      </c>
      <c r="E8846" t="s">
        <v>17</v>
      </c>
      <c r="F8846">
        <v>22.35</v>
      </c>
      <c r="G8846">
        <v>22.46</v>
      </c>
      <c r="H8846" t="s">
        <v>17</v>
      </c>
      <c r="I8846" t="str">
        <f>"062064008873"</f>
        <v>062064008873</v>
      </c>
    </row>
    <row r="8847" spans="1:9" x14ac:dyDescent="0.25">
      <c r="A8847" t="s">
        <v>7704</v>
      </c>
      <c r="B8847" t="s">
        <v>13</v>
      </c>
      <c r="C8847">
        <v>10.85</v>
      </c>
      <c r="D8847">
        <v>10.25</v>
      </c>
      <c r="E8847" t="s">
        <v>14</v>
      </c>
      <c r="F8847">
        <v>19.079999999999998</v>
      </c>
      <c r="G8847">
        <v>20.88</v>
      </c>
      <c r="H8847" t="s">
        <v>14</v>
      </c>
      <c r="I8847" t="str">
        <f>"063680512899"</f>
        <v>063680512899</v>
      </c>
    </row>
    <row r="8848" spans="1:9" x14ac:dyDescent="0.25">
      <c r="A8848" t="s">
        <v>7705</v>
      </c>
      <c r="B8848" t="s">
        <v>13</v>
      </c>
      <c r="C8848">
        <v>25.68</v>
      </c>
      <c r="D8848">
        <v>25.83</v>
      </c>
      <c r="E8848" t="s">
        <v>17</v>
      </c>
      <c r="F8848">
        <v>26.91</v>
      </c>
      <c r="G8848">
        <v>27.64</v>
      </c>
      <c r="H8848" t="s">
        <v>17</v>
      </c>
      <c r="I8848" t="str">
        <f>"061392010611"</f>
        <v>061392010611</v>
      </c>
    </row>
    <row r="8849" spans="1:9" x14ac:dyDescent="0.25">
      <c r="A8849" t="s">
        <v>7706</v>
      </c>
      <c r="B8849" t="s">
        <v>13</v>
      </c>
      <c r="C8849">
        <v>32</v>
      </c>
      <c r="D8849">
        <v>33</v>
      </c>
      <c r="E8849" t="s">
        <v>17</v>
      </c>
      <c r="F8849">
        <v>20.47</v>
      </c>
      <c r="G8849">
        <v>20.3</v>
      </c>
      <c r="H8849" t="s">
        <v>17</v>
      </c>
      <c r="I8849" t="str">
        <f>"062922004515"</f>
        <v>062922004515</v>
      </c>
    </row>
    <row r="8850" spans="1:9" x14ac:dyDescent="0.25">
      <c r="A8850" t="s">
        <v>7707</v>
      </c>
      <c r="B8850" t="s">
        <v>13</v>
      </c>
      <c r="C8850">
        <v>41.7</v>
      </c>
      <c r="D8850">
        <v>41.5</v>
      </c>
      <c r="E8850" t="s">
        <v>17</v>
      </c>
      <c r="F8850">
        <v>25.88</v>
      </c>
      <c r="G8850">
        <v>26.22</v>
      </c>
      <c r="H8850" t="s">
        <v>17</v>
      </c>
      <c r="I8850" t="str">
        <f>"062994004687"</f>
        <v>062994004687</v>
      </c>
    </row>
    <row r="8851" spans="1:9" x14ac:dyDescent="0.25">
      <c r="A8851" t="s">
        <v>7708</v>
      </c>
      <c r="B8851" t="s">
        <v>13</v>
      </c>
      <c r="C8851" t="s">
        <v>17</v>
      </c>
      <c r="D8851" t="s">
        <v>17</v>
      </c>
      <c r="E8851" t="s">
        <v>17</v>
      </c>
      <c r="F8851" t="s">
        <v>17</v>
      </c>
      <c r="G8851" t="s">
        <v>17</v>
      </c>
      <c r="H8851" t="s">
        <v>17</v>
      </c>
      <c r="I8851" t="str">
        <f>"060000901478"</f>
        <v>060000901478</v>
      </c>
    </row>
    <row r="8852" spans="1:9" x14ac:dyDescent="0.25">
      <c r="A8852" t="s">
        <v>7709</v>
      </c>
      <c r="B8852" t="s">
        <v>13</v>
      </c>
      <c r="C8852" t="s">
        <v>17</v>
      </c>
      <c r="D8852" t="s">
        <v>14</v>
      </c>
      <c r="E8852" t="s">
        <v>14</v>
      </c>
      <c r="F8852" t="s">
        <v>17</v>
      </c>
      <c r="G8852" t="s">
        <v>14</v>
      </c>
      <c r="H8852" t="s">
        <v>14</v>
      </c>
      <c r="I8852" t="str">
        <f>"062994013343"</f>
        <v>062994013343</v>
      </c>
    </row>
    <row r="8853" spans="1:9" x14ac:dyDescent="0.25">
      <c r="A8853" t="s">
        <v>7710</v>
      </c>
      <c r="B8853" t="s">
        <v>13</v>
      </c>
      <c r="C8853">
        <v>27.6</v>
      </c>
      <c r="D8853">
        <v>28.2</v>
      </c>
      <c r="E8853" t="s">
        <v>17</v>
      </c>
      <c r="F8853">
        <v>23.73</v>
      </c>
      <c r="G8853">
        <v>21.56</v>
      </c>
      <c r="H8853" t="s">
        <v>17</v>
      </c>
      <c r="I8853" t="str">
        <f>"062169002581"</f>
        <v>062169002581</v>
      </c>
    </row>
    <row r="8854" spans="1:9" x14ac:dyDescent="0.25">
      <c r="A8854" t="s">
        <v>7710</v>
      </c>
      <c r="B8854" t="s">
        <v>13</v>
      </c>
      <c r="C8854">
        <v>41.9</v>
      </c>
      <c r="D8854">
        <v>41.9</v>
      </c>
      <c r="E8854" t="s">
        <v>17</v>
      </c>
      <c r="F8854">
        <v>21.15</v>
      </c>
      <c r="G8854">
        <v>21.48</v>
      </c>
      <c r="H8854" t="s">
        <v>17</v>
      </c>
      <c r="I8854" t="str">
        <f>"063315005158"</f>
        <v>063315005158</v>
      </c>
    </row>
    <row r="8855" spans="1:9" x14ac:dyDescent="0.25">
      <c r="A8855" t="s">
        <v>7710</v>
      </c>
      <c r="B8855" t="s">
        <v>13</v>
      </c>
      <c r="C8855">
        <v>30.1</v>
      </c>
      <c r="D8855">
        <v>31.84</v>
      </c>
      <c r="E8855" t="s">
        <v>17</v>
      </c>
      <c r="F8855">
        <v>25.45</v>
      </c>
      <c r="G8855">
        <v>24.5</v>
      </c>
      <c r="H8855" t="s">
        <v>17</v>
      </c>
      <c r="I8855" t="str">
        <f>"060363000318"</f>
        <v>060363000318</v>
      </c>
    </row>
    <row r="8856" spans="1:9" x14ac:dyDescent="0.25">
      <c r="A8856" t="s">
        <v>7711</v>
      </c>
      <c r="B8856" t="s">
        <v>13</v>
      </c>
      <c r="C8856">
        <v>5.0999999999999996</v>
      </c>
      <c r="D8856">
        <v>5</v>
      </c>
      <c r="E8856" t="s">
        <v>17</v>
      </c>
      <c r="F8856">
        <v>16.86</v>
      </c>
      <c r="G8856">
        <v>20.8</v>
      </c>
      <c r="H8856" t="s">
        <v>17</v>
      </c>
      <c r="I8856" t="str">
        <f>"069102311840"</f>
        <v>069102311840</v>
      </c>
    </row>
    <row r="8857" spans="1:9" x14ac:dyDescent="0.25">
      <c r="A8857" t="s">
        <v>7712</v>
      </c>
      <c r="B8857" t="s">
        <v>13</v>
      </c>
      <c r="C8857">
        <v>23.54</v>
      </c>
      <c r="D8857">
        <v>24</v>
      </c>
      <c r="E8857" t="s">
        <v>17</v>
      </c>
      <c r="F8857">
        <v>29.61</v>
      </c>
      <c r="G8857">
        <v>27.54</v>
      </c>
      <c r="H8857" t="s">
        <v>17</v>
      </c>
      <c r="I8857" t="str">
        <f>"063462005819"</f>
        <v>063462005819</v>
      </c>
    </row>
    <row r="8858" spans="1:9" x14ac:dyDescent="0.25">
      <c r="A8858" t="s">
        <v>7713</v>
      </c>
      <c r="B8858" t="s">
        <v>13</v>
      </c>
      <c r="C8858">
        <v>29.84</v>
      </c>
      <c r="D8858">
        <v>25.83</v>
      </c>
      <c r="E8858" t="s">
        <v>17</v>
      </c>
      <c r="F8858">
        <v>27.58</v>
      </c>
      <c r="G8858">
        <v>25.78</v>
      </c>
      <c r="H8858" t="s">
        <v>17</v>
      </c>
      <c r="I8858" t="str">
        <f>"061650012317"</f>
        <v>061650012317</v>
      </c>
    </row>
    <row r="8859" spans="1:9" x14ac:dyDescent="0.25">
      <c r="A8859" t="s">
        <v>7714</v>
      </c>
      <c r="B8859" t="s">
        <v>13</v>
      </c>
      <c r="C8859">
        <v>24</v>
      </c>
      <c r="D8859">
        <v>24.17</v>
      </c>
      <c r="E8859" t="s">
        <v>17</v>
      </c>
      <c r="F8859">
        <v>21.42</v>
      </c>
      <c r="G8859">
        <v>22.92</v>
      </c>
      <c r="H8859" t="s">
        <v>17</v>
      </c>
      <c r="I8859" t="str">
        <f>"062271003354"</f>
        <v>062271003354</v>
      </c>
    </row>
    <row r="8860" spans="1:9" x14ac:dyDescent="0.25">
      <c r="A8860" t="s">
        <v>7715</v>
      </c>
      <c r="B8860" t="s">
        <v>13</v>
      </c>
      <c r="C8860" t="str">
        <f>"0.63"</f>
        <v>0.63</v>
      </c>
      <c r="D8860" t="str">
        <f>"0.62"</f>
        <v>0.62</v>
      </c>
      <c r="E8860" t="s">
        <v>17</v>
      </c>
      <c r="F8860">
        <v>9.52</v>
      </c>
      <c r="G8860">
        <v>3.23</v>
      </c>
      <c r="H8860" t="s">
        <v>17</v>
      </c>
      <c r="I8860" t="str">
        <f>"063678007445"</f>
        <v>063678007445</v>
      </c>
    </row>
    <row r="8861" spans="1:9" x14ac:dyDescent="0.25">
      <c r="A8861" t="s">
        <v>7716</v>
      </c>
      <c r="B8861" t="s">
        <v>13</v>
      </c>
      <c r="C8861">
        <v>45</v>
      </c>
      <c r="D8861">
        <v>40.799999999999997</v>
      </c>
      <c r="E8861" t="s">
        <v>17</v>
      </c>
      <c r="F8861">
        <v>20.8</v>
      </c>
      <c r="G8861">
        <v>22.99</v>
      </c>
      <c r="H8861" t="s">
        <v>17</v>
      </c>
      <c r="I8861" t="str">
        <f>"063531006007"</f>
        <v>063531006007</v>
      </c>
    </row>
    <row r="8862" spans="1:9" x14ac:dyDescent="0.25">
      <c r="A8862" t="s">
        <v>7717</v>
      </c>
      <c r="B8862" t="s">
        <v>13</v>
      </c>
      <c r="C8862">
        <v>5.44</v>
      </c>
      <c r="D8862">
        <v>4.6100000000000003</v>
      </c>
      <c r="E8862" t="s">
        <v>17</v>
      </c>
      <c r="F8862">
        <v>17.649999999999999</v>
      </c>
      <c r="G8862">
        <v>20.61</v>
      </c>
      <c r="H8862" t="s">
        <v>17</v>
      </c>
      <c r="I8862" t="str">
        <f>"060001109068"</f>
        <v>060001109068</v>
      </c>
    </row>
    <row r="8863" spans="1:9" x14ac:dyDescent="0.25">
      <c r="A8863" t="s">
        <v>7718</v>
      </c>
      <c r="B8863" t="s">
        <v>13</v>
      </c>
      <c r="C8863">
        <v>13</v>
      </c>
      <c r="D8863">
        <v>14.9</v>
      </c>
      <c r="E8863" t="s">
        <v>17</v>
      </c>
      <c r="F8863">
        <v>23.38</v>
      </c>
      <c r="G8863">
        <v>21.21</v>
      </c>
      <c r="H8863" t="s">
        <v>17</v>
      </c>
      <c r="I8863" t="str">
        <f>"063129009423"</f>
        <v>063129009423</v>
      </c>
    </row>
    <row r="8864" spans="1:9" x14ac:dyDescent="0.25">
      <c r="A8864" t="s">
        <v>7719</v>
      </c>
      <c r="B8864" t="s">
        <v>13</v>
      </c>
      <c r="C8864">
        <v>17</v>
      </c>
      <c r="D8864">
        <v>17</v>
      </c>
      <c r="E8864" t="s">
        <v>17</v>
      </c>
      <c r="F8864">
        <v>27.06</v>
      </c>
      <c r="G8864">
        <v>28</v>
      </c>
      <c r="H8864" t="s">
        <v>17</v>
      </c>
      <c r="I8864" t="str">
        <f>"060133205107"</f>
        <v>060133205107</v>
      </c>
    </row>
    <row r="8865" spans="1:9" x14ac:dyDescent="0.25">
      <c r="A8865" t="s">
        <v>7719</v>
      </c>
      <c r="B8865" t="s">
        <v>13</v>
      </c>
      <c r="C8865">
        <v>26.79</v>
      </c>
      <c r="D8865">
        <v>23.9</v>
      </c>
      <c r="E8865" t="s">
        <v>17</v>
      </c>
      <c r="F8865">
        <v>23.89</v>
      </c>
      <c r="G8865">
        <v>26.36</v>
      </c>
      <c r="H8865" t="s">
        <v>17</v>
      </c>
      <c r="I8865" t="str">
        <f>"060837000830"</f>
        <v>060837000830</v>
      </c>
    </row>
    <row r="8866" spans="1:9" x14ac:dyDescent="0.25">
      <c r="A8866" t="s">
        <v>7719</v>
      </c>
      <c r="B8866" t="s">
        <v>13</v>
      </c>
      <c r="C8866">
        <v>14.83</v>
      </c>
      <c r="D8866">
        <v>12.83</v>
      </c>
      <c r="E8866" t="s">
        <v>17</v>
      </c>
      <c r="F8866">
        <v>24.95</v>
      </c>
      <c r="G8866">
        <v>26.27</v>
      </c>
      <c r="H8866" t="s">
        <v>17</v>
      </c>
      <c r="I8866" t="str">
        <f>"060006811682"</f>
        <v>060006811682</v>
      </c>
    </row>
    <row r="8867" spans="1:9" x14ac:dyDescent="0.25">
      <c r="A8867" t="s">
        <v>7719</v>
      </c>
      <c r="B8867" t="s">
        <v>13</v>
      </c>
      <c r="C8867">
        <v>31</v>
      </c>
      <c r="D8867">
        <v>31</v>
      </c>
      <c r="E8867" t="s">
        <v>17</v>
      </c>
      <c r="F8867">
        <v>22.42</v>
      </c>
      <c r="G8867">
        <v>22.81</v>
      </c>
      <c r="H8867" t="s">
        <v>17</v>
      </c>
      <c r="I8867" t="str">
        <f>"060006211500"</f>
        <v>060006211500</v>
      </c>
    </row>
    <row r="8868" spans="1:9" x14ac:dyDescent="0.25">
      <c r="A8868" t="s">
        <v>7720</v>
      </c>
      <c r="B8868" t="s">
        <v>13</v>
      </c>
      <c r="C8868">
        <v>2</v>
      </c>
      <c r="D8868">
        <v>2</v>
      </c>
      <c r="E8868" t="s">
        <v>17</v>
      </c>
      <c r="F8868">
        <v>4.5</v>
      </c>
      <c r="G8868">
        <v>4.5</v>
      </c>
      <c r="H8868" t="s">
        <v>17</v>
      </c>
      <c r="I8868" t="str">
        <f>"069102511859"</f>
        <v>069102511859</v>
      </c>
    </row>
    <row r="8869" spans="1:9" x14ac:dyDescent="0.25">
      <c r="A8869" t="s">
        <v>7721</v>
      </c>
      <c r="B8869" t="s">
        <v>13</v>
      </c>
      <c r="C8869" t="s">
        <v>17</v>
      </c>
      <c r="D8869" t="s">
        <v>14</v>
      </c>
      <c r="E8869" t="s">
        <v>14</v>
      </c>
      <c r="F8869" t="s">
        <v>17</v>
      </c>
      <c r="G8869" t="s">
        <v>14</v>
      </c>
      <c r="H8869" t="s">
        <v>14</v>
      </c>
      <c r="I8869" t="str">
        <f>"063680013291"</f>
        <v>063680013291</v>
      </c>
    </row>
    <row r="8870" spans="1:9" x14ac:dyDescent="0.25">
      <c r="A8870" t="s">
        <v>7722</v>
      </c>
      <c r="B8870" t="s">
        <v>13</v>
      </c>
      <c r="C8870">
        <v>33</v>
      </c>
      <c r="D8870">
        <v>33</v>
      </c>
      <c r="E8870" t="s">
        <v>17</v>
      </c>
      <c r="F8870">
        <v>22.24</v>
      </c>
      <c r="G8870">
        <v>22.48</v>
      </c>
      <c r="H8870" t="s">
        <v>17</v>
      </c>
      <c r="I8870" t="str">
        <f>"060327000246"</f>
        <v>060327000246</v>
      </c>
    </row>
    <row r="8871" spans="1:9" x14ac:dyDescent="0.25">
      <c r="A8871" t="s">
        <v>7722</v>
      </c>
      <c r="B8871" t="s">
        <v>13</v>
      </c>
      <c r="C8871">
        <v>19</v>
      </c>
      <c r="D8871">
        <v>17</v>
      </c>
      <c r="E8871" t="s">
        <v>17</v>
      </c>
      <c r="F8871">
        <v>27.16</v>
      </c>
      <c r="G8871">
        <v>26.76</v>
      </c>
      <c r="H8871" t="s">
        <v>17</v>
      </c>
      <c r="I8871" t="str">
        <f>"060903000916"</f>
        <v>060903000916</v>
      </c>
    </row>
    <row r="8872" spans="1:9" x14ac:dyDescent="0.25">
      <c r="A8872" t="s">
        <v>7722</v>
      </c>
      <c r="B8872" t="s">
        <v>13</v>
      </c>
      <c r="C8872">
        <v>25</v>
      </c>
      <c r="D8872">
        <v>26</v>
      </c>
      <c r="E8872" t="s">
        <v>17</v>
      </c>
      <c r="F8872">
        <v>28.84</v>
      </c>
      <c r="G8872">
        <v>27.04</v>
      </c>
      <c r="H8872" t="s">
        <v>17</v>
      </c>
      <c r="I8872" t="str">
        <f>"062334003553"</f>
        <v>062334003553</v>
      </c>
    </row>
    <row r="8873" spans="1:9" x14ac:dyDescent="0.25">
      <c r="A8873" t="s">
        <v>7722</v>
      </c>
      <c r="B8873" t="s">
        <v>13</v>
      </c>
      <c r="C8873">
        <v>15</v>
      </c>
      <c r="D8873">
        <v>15</v>
      </c>
      <c r="E8873" t="s">
        <v>17</v>
      </c>
      <c r="F8873">
        <v>30.93</v>
      </c>
      <c r="G8873">
        <v>32.799999999999997</v>
      </c>
      <c r="H8873" t="s">
        <v>17</v>
      </c>
      <c r="I8873" t="str">
        <f>"063066004770"</f>
        <v>063066004770</v>
      </c>
    </row>
    <row r="8874" spans="1:9" x14ac:dyDescent="0.25">
      <c r="A8874" t="s">
        <v>7722</v>
      </c>
      <c r="B8874" t="s">
        <v>13</v>
      </c>
      <c r="C8874">
        <v>26</v>
      </c>
      <c r="D8874">
        <v>25</v>
      </c>
      <c r="E8874" t="s">
        <v>17</v>
      </c>
      <c r="F8874">
        <v>27.96</v>
      </c>
      <c r="G8874">
        <v>28.12</v>
      </c>
      <c r="H8874" t="s">
        <v>17</v>
      </c>
      <c r="I8874" t="str">
        <f>"069113511232"</f>
        <v>069113511232</v>
      </c>
    </row>
    <row r="8875" spans="1:9" x14ac:dyDescent="0.25">
      <c r="A8875" t="s">
        <v>7722</v>
      </c>
      <c r="B8875" t="s">
        <v>13</v>
      </c>
      <c r="C8875">
        <v>10</v>
      </c>
      <c r="D8875">
        <v>10</v>
      </c>
      <c r="E8875" t="s">
        <v>17</v>
      </c>
      <c r="F8875">
        <v>22.8</v>
      </c>
      <c r="G8875">
        <v>22.7</v>
      </c>
      <c r="H8875" t="s">
        <v>17</v>
      </c>
      <c r="I8875" t="str">
        <f>"062271003355"</f>
        <v>062271003355</v>
      </c>
    </row>
    <row r="8876" spans="1:9" x14ac:dyDescent="0.25">
      <c r="A8876" t="s">
        <v>7722</v>
      </c>
      <c r="B8876" t="s">
        <v>13</v>
      </c>
      <c r="C8876">
        <v>20.5</v>
      </c>
      <c r="D8876">
        <v>22</v>
      </c>
      <c r="E8876" t="s">
        <v>17</v>
      </c>
      <c r="F8876">
        <v>29.02</v>
      </c>
      <c r="G8876">
        <v>27.5</v>
      </c>
      <c r="H8876" t="s">
        <v>17</v>
      </c>
      <c r="I8876" t="str">
        <f>"062019002416"</f>
        <v>062019002416</v>
      </c>
    </row>
    <row r="8877" spans="1:9" x14ac:dyDescent="0.25">
      <c r="A8877" t="s">
        <v>7722</v>
      </c>
      <c r="B8877" t="s">
        <v>13</v>
      </c>
      <c r="C8877" t="s">
        <v>14</v>
      </c>
      <c r="D8877" t="s">
        <v>14</v>
      </c>
      <c r="E8877" t="s">
        <v>17</v>
      </c>
      <c r="F8877" t="s">
        <v>14</v>
      </c>
      <c r="G8877" t="s">
        <v>14</v>
      </c>
      <c r="H8877" t="s">
        <v>17</v>
      </c>
      <c r="I8877" t="str">
        <f>"064059006707"</f>
        <v>064059006707</v>
      </c>
    </row>
    <row r="8878" spans="1:9" x14ac:dyDescent="0.25">
      <c r="A8878" t="s">
        <v>7722</v>
      </c>
      <c r="B8878" t="s">
        <v>13</v>
      </c>
      <c r="C8878">
        <v>14.1</v>
      </c>
      <c r="D8878">
        <v>14</v>
      </c>
      <c r="E8878" t="s">
        <v>17</v>
      </c>
      <c r="F8878">
        <v>29.43</v>
      </c>
      <c r="G8878">
        <v>28.5</v>
      </c>
      <c r="H8878" t="s">
        <v>17</v>
      </c>
      <c r="I8878" t="str">
        <f>"060001609093"</f>
        <v>060001609093</v>
      </c>
    </row>
    <row r="8879" spans="1:9" x14ac:dyDescent="0.25">
      <c r="A8879" t="s">
        <v>7722</v>
      </c>
      <c r="B8879" t="s">
        <v>13</v>
      </c>
      <c r="C8879">
        <v>23</v>
      </c>
      <c r="D8879">
        <v>24</v>
      </c>
      <c r="E8879" t="s">
        <v>17</v>
      </c>
      <c r="F8879">
        <v>22.09</v>
      </c>
      <c r="G8879">
        <v>22.46</v>
      </c>
      <c r="H8879" t="s">
        <v>17</v>
      </c>
      <c r="I8879" t="str">
        <f>"060985001065"</f>
        <v>060985001065</v>
      </c>
    </row>
    <row r="8880" spans="1:9" x14ac:dyDescent="0.25">
      <c r="A8880" t="s">
        <v>7723</v>
      </c>
      <c r="B8880" t="s">
        <v>13</v>
      </c>
      <c r="C8880">
        <v>11.98</v>
      </c>
      <c r="D8880">
        <v>10.99</v>
      </c>
      <c r="E8880" t="s">
        <v>17</v>
      </c>
      <c r="F8880">
        <v>9.35</v>
      </c>
      <c r="G8880">
        <v>10.65</v>
      </c>
      <c r="H8880" t="s">
        <v>17</v>
      </c>
      <c r="I8880" t="str">
        <f>"064119006823"</f>
        <v>064119006823</v>
      </c>
    </row>
    <row r="8881" spans="1:9" x14ac:dyDescent="0.25">
      <c r="A8881" t="s">
        <v>7723</v>
      </c>
      <c r="B8881" t="s">
        <v>13</v>
      </c>
      <c r="C8881">
        <v>12.81</v>
      </c>
      <c r="D8881">
        <v>17.8</v>
      </c>
      <c r="E8881" t="s">
        <v>17</v>
      </c>
      <c r="F8881">
        <v>7.96</v>
      </c>
      <c r="G8881">
        <v>10.51</v>
      </c>
      <c r="H8881" t="s">
        <v>17</v>
      </c>
      <c r="I8881" t="str">
        <f>"063993004203"</f>
        <v>063993004203</v>
      </c>
    </row>
    <row r="8882" spans="1:9" x14ac:dyDescent="0.25">
      <c r="A8882" t="s">
        <v>7723</v>
      </c>
      <c r="B8882" t="s">
        <v>13</v>
      </c>
      <c r="C8882">
        <v>86.91</v>
      </c>
      <c r="D8882">
        <v>85.75</v>
      </c>
      <c r="E8882" t="s">
        <v>17</v>
      </c>
      <c r="F8882">
        <v>22.87</v>
      </c>
      <c r="G8882">
        <v>23.53</v>
      </c>
      <c r="H8882" t="s">
        <v>17</v>
      </c>
      <c r="I8882" t="str">
        <f>"060369000338"</f>
        <v>060369000338</v>
      </c>
    </row>
    <row r="8883" spans="1:9" x14ac:dyDescent="0.25">
      <c r="A8883" t="s">
        <v>7724</v>
      </c>
      <c r="B8883" t="s">
        <v>13</v>
      </c>
      <c r="C8883">
        <v>14.43</v>
      </c>
      <c r="D8883">
        <v>13.5</v>
      </c>
      <c r="E8883" t="s">
        <v>17</v>
      </c>
      <c r="F8883">
        <v>25.99</v>
      </c>
      <c r="G8883">
        <v>30.74</v>
      </c>
      <c r="H8883" t="s">
        <v>17</v>
      </c>
      <c r="I8883" t="str">
        <f>"064248000496"</f>
        <v>064248000496</v>
      </c>
    </row>
    <row r="8884" spans="1:9" x14ac:dyDescent="0.25">
      <c r="A8884" t="s">
        <v>7725</v>
      </c>
      <c r="B8884" t="s">
        <v>13</v>
      </c>
      <c r="C8884">
        <v>6.4</v>
      </c>
      <c r="D8884">
        <v>7</v>
      </c>
      <c r="E8884" t="s">
        <v>17</v>
      </c>
      <c r="F8884">
        <v>9.3800000000000008</v>
      </c>
      <c r="G8884">
        <v>10</v>
      </c>
      <c r="H8884" t="s">
        <v>17</v>
      </c>
      <c r="I8884" t="str">
        <f>"060006501243"</f>
        <v>060006501243</v>
      </c>
    </row>
    <row r="8885" spans="1:9" x14ac:dyDescent="0.25">
      <c r="A8885" t="s">
        <v>7726</v>
      </c>
      <c r="B8885" t="s">
        <v>13</v>
      </c>
      <c r="C8885">
        <v>46.47</v>
      </c>
      <c r="D8885">
        <v>48</v>
      </c>
      <c r="E8885" t="s">
        <v>17</v>
      </c>
      <c r="F8885">
        <v>25.01</v>
      </c>
      <c r="G8885">
        <v>24.9</v>
      </c>
      <c r="H8885" t="s">
        <v>17</v>
      </c>
      <c r="I8885" t="str">
        <f>"064251006962"</f>
        <v>064251006962</v>
      </c>
    </row>
    <row r="8886" spans="1:9" x14ac:dyDescent="0.25">
      <c r="A8886" t="s">
        <v>7726</v>
      </c>
      <c r="B8886" t="s">
        <v>13</v>
      </c>
      <c r="C8886">
        <v>30.65</v>
      </c>
      <c r="D8886">
        <v>30.75</v>
      </c>
      <c r="E8886" t="s">
        <v>17</v>
      </c>
      <c r="F8886">
        <v>26.26</v>
      </c>
      <c r="G8886">
        <v>26.05</v>
      </c>
      <c r="H8886" t="s">
        <v>17</v>
      </c>
      <c r="I8886" t="str">
        <f>"060369000339"</f>
        <v>060369000339</v>
      </c>
    </row>
    <row r="8887" spans="1:9" x14ac:dyDescent="0.25">
      <c r="A8887" t="s">
        <v>7727</v>
      </c>
      <c r="B8887" t="s">
        <v>13</v>
      </c>
      <c r="C8887">
        <v>39.15</v>
      </c>
      <c r="D8887">
        <v>41.4</v>
      </c>
      <c r="E8887" t="s">
        <v>17</v>
      </c>
      <c r="F8887">
        <v>26.21</v>
      </c>
      <c r="G8887">
        <v>26.26</v>
      </c>
      <c r="H8887" t="s">
        <v>17</v>
      </c>
      <c r="I8887" t="str">
        <f>"061005001104"</f>
        <v>061005001104</v>
      </c>
    </row>
    <row r="8888" spans="1:9" x14ac:dyDescent="0.25">
      <c r="A8888" t="s">
        <v>7727</v>
      </c>
      <c r="B8888" t="s">
        <v>13</v>
      </c>
      <c r="C8888">
        <v>14.5</v>
      </c>
      <c r="D8888">
        <v>15.5</v>
      </c>
      <c r="E8888" t="s">
        <v>17</v>
      </c>
      <c r="F8888">
        <v>26.21</v>
      </c>
      <c r="G8888">
        <v>24.26</v>
      </c>
      <c r="H8888" t="s">
        <v>17</v>
      </c>
      <c r="I8888" t="str">
        <f>"061632502062"</f>
        <v>061632502062</v>
      </c>
    </row>
    <row r="8889" spans="1:9" x14ac:dyDescent="0.25">
      <c r="A8889" t="s">
        <v>7727</v>
      </c>
      <c r="B8889" t="s">
        <v>13</v>
      </c>
      <c r="C8889">
        <v>41</v>
      </c>
      <c r="D8889">
        <v>38.880000000000003</v>
      </c>
      <c r="E8889" t="s">
        <v>17</v>
      </c>
      <c r="F8889">
        <v>28.93</v>
      </c>
      <c r="G8889">
        <v>27.96</v>
      </c>
      <c r="H8889" t="s">
        <v>17</v>
      </c>
      <c r="I8889" t="str">
        <f>"068450007375"</f>
        <v>068450007375</v>
      </c>
    </row>
    <row r="8890" spans="1:9" x14ac:dyDescent="0.25">
      <c r="A8890" t="s">
        <v>7728</v>
      </c>
      <c r="B8890" t="s">
        <v>13</v>
      </c>
      <c r="C8890">
        <v>20.2</v>
      </c>
      <c r="D8890">
        <v>22.6</v>
      </c>
      <c r="E8890" t="s">
        <v>17</v>
      </c>
      <c r="F8890">
        <v>21.88</v>
      </c>
      <c r="G8890">
        <v>20.75</v>
      </c>
      <c r="H8890" t="s">
        <v>17</v>
      </c>
      <c r="I8890" t="str">
        <f>"061233001413"</f>
        <v>061233001413</v>
      </c>
    </row>
    <row r="8891" spans="1:9" x14ac:dyDescent="0.25">
      <c r="A8891" t="s">
        <v>7729</v>
      </c>
      <c r="B8891" t="s">
        <v>13</v>
      </c>
      <c r="C8891">
        <v>44</v>
      </c>
      <c r="D8891">
        <v>41</v>
      </c>
      <c r="E8891" t="s">
        <v>17</v>
      </c>
      <c r="F8891">
        <v>26.09</v>
      </c>
      <c r="G8891">
        <v>26.83</v>
      </c>
      <c r="H8891" t="s">
        <v>17</v>
      </c>
      <c r="I8891" t="str">
        <f>"060480000466"</f>
        <v>060480000466</v>
      </c>
    </row>
    <row r="8892" spans="1:9" x14ac:dyDescent="0.25">
      <c r="A8892" t="s">
        <v>7730</v>
      </c>
      <c r="B8892" t="s">
        <v>13</v>
      </c>
      <c r="C8892">
        <v>25</v>
      </c>
      <c r="D8892">
        <v>26</v>
      </c>
      <c r="E8892" t="s">
        <v>17</v>
      </c>
      <c r="F8892">
        <v>29</v>
      </c>
      <c r="G8892">
        <v>28.31</v>
      </c>
      <c r="H8892" t="s">
        <v>17</v>
      </c>
      <c r="I8892" t="str">
        <f>"062250002757"</f>
        <v>062250002757</v>
      </c>
    </row>
    <row r="8893" spans="1:9" x14ac:dyDescent="0.25">
      <c r="A8893" t="s">
        <v>7731</v>
      </c>
      <c r="B8893" t="s">
        <v>13</v>
      </c>
      <c r="C8893">
        <v>24</v>
      </c>
      <c r="D8893">
        <v>23</v>
      </c>
      <c r="E8893" t="s">
        <v>17</v>
      </c>
      <c r="F8893">
        <v>26.75</v>
      </c>
      <c r="G8893">
        <v>27.13</v>
      </c>
      <c r="H8893" t="s">
        <v>17</v>
      </c>
      <c r="I8893" t="str">
        <f>"061970012257"</f>
        <v>061970012257</v>
      </c>
    </row>
    <row r="8894" spans="1:9" x14ac:dyDescent="0.25">
      <c r="A8894" t="s">
        <v>7732</v>
      </c>
      <c r="B8894" t="s">
        <v>13</v>
      </c>
      <c r="C8894" t="s">
        <v>17</v>
      </c>
      <c r="D8894" t="s">
        <v>17</v>
      </c>
      <c r="E8894" t="s">
        <v>17</v>
      </c>
      <c r="F8894" t="s">
        <v>17</v>
      </c>
      <c r="G8894" t="s">
        <v>17</v>
      </c>
      <c r="H8894" t="s">
        <v>17</v>
      </c>
      <c r="I8894" t="str">
        <f>"060013511457"</f>
        <v>060013511457</v>
      </c>
    </row>
    <row r="8895" spans="1:9" x14ac:dyDescent="0.25">
      <c r="A8895" t="s">
        <v>7733</v>
      </c>
      <c r="B8895" t="s">
        <v>13</v>
      </c>
      <c r="C8895">
        <v>16</v>
      </c>
      <c r="D8895">
        <v>8.3699999999999992</v>
      </c>
      <c r="E8895" t="s">
        <v>14</v>
      </c>
      <c r="F8895">
        <v>12.94</v>
      </c>
      <c r="G8895">
        <v>19.47</v>
      </c>
      <c r="H8895" t="s">
        <v>14</v>
      </c>
      <c r="I8895" t="str">
        <f>"069103512654"</f>
        <v>069103512654</v>
      </c>
    </row>
    <row r="8896" spans="1:9" x14ac:dyDescent="0.25">
      <c r="A8896" t="s">
        <v>7734</v>
      </c>
      <c r="B8896" t="s">
        <v>13</v>
      </c>
      <c r="C8896">
        <v>25</v>
      </c>
      <c r="D8896">
        <v>24.77</v>
      </c>
      <c r="E8896" t="s">
        <v>17</v>
      </c>
      <c r="F8896">
        <v>24.6</v>
      </c>
      <c r="G8896">
        <v>25.23</v>
      </c>
      <c r="H8896" t="s">
        <v>17</v>
      </c>
      <c r="I8896" t="str">
        <f>"060627000291"</f>
        <v>060627000291</v>
      </c>
    </row>
    <row r="8897" spans="1:9" x14ac:dyDescent="0.25">
      <c r="A8897" t="s">
        <v>7735</v>
      </c>
      <c r="B8897" t="s">
        <v>13</v>
      </c>
      <c r="C8897">
        <v>93.56</v>
      </c>
      <c r="D8897">
        <v>93.47</v>
      </c>
      <c r="E8897" t="s">
        <v>17</v>
      </c>
      <c r="F8897">
        <v>25.3</v>
      </c>
      <c r="G8897">
        <v>25.33</v>
      </c>
      <c r="H8897" t="s">
        <v>17</v>
      </c>
      <c r="I8897" t="str">
        <f>"061182001309"</f>
        <v>061182001309</v>
      </c>
    </row>
    <row r="8898" spans="1:9" x14ac:dyDescent="0.25">
      <c r="A8898" t="s">
        <v>7736</v>
      </c>
      <c r="B8898" t="s">
        <v>13</v>
      </c>
      <c r="C8898">
        <v>1.57</v>
      </c>
      <c r="D8898">
        <v>1.57</v>
      </c>
      <c r="E8898" t="s">
        <v>17</v>
      </c>
      <c r="F8898">
        <v>6.37</v>
      </c>
      <c r="G8898">
        <v>8.92</v>
      </c>
      <c r="H8898" t="s">
        <v>17</v>
      </c>
      <c r="I8898" t="str">
        <f>"063681006244"</f>
        <v>063681006244</v>
      </c>
    </row>
    <row r="8899" spans="1:9" x14ac:dyDescent="0.25">
      <c r="A8899" t="s">
        <v>7737</v>
      </c>
      <c r="B8899" t="s">
        <v>13</v>
      </c>
      <c r="C8899">
        <v>26</v>
      </c>
      <c r="D8899">
        <v>25</v>
      </c>
      <c r="E8899" t="s">
        <v>17</v>
      </c>
      <c r="F8899">
        <v>20.77</v>
      </c>
      <c r="G8899">
        <v>21.64</v>
      </c>
      <c r="H8899" t="s">
        <v>17</v>
      </c>
      <c r="I8899" t="str">
        <f>"063432005552"</f>
        <v>063432005552</v>
      </c>
    </row>
    <row r="8900" spans="1:9" x14ac:dyDescent="0.25">
      <c r="A8900" t="s">
        <v>7738</v>
      </c>
      <c r="B8900" t="s">
        <v>13</v>
      </c>
      <c r="C8900">
        <v>29.5</v>
      </c>
      <c r="D8900">
        <v>31.21</v>
      </c>
      <c r="E8900" t="s">
        <v>17</v>
      </c>
      <c r="F8900">
        <v>25.93</v>
      </c>
      <c r="G8900">
        <v>25.54</v>
      </c>
      <c r="H8900" t="s">
        <v>17</v>
      </c>
      <c r="I8900" t="str">
        <f>"061314004054"</f>
        <v>061314004054</v>
      </c>
    </row>
    <row r="8901" spans="1:9" x14ac:dyDescent="0.25">
      <c r="A8901" t="s">
        <v>7739</v>
      </c>
      <c r="B8901" t="s">
        <v>13</v>
      </c>
      <c r="C8901" t="s">
        <v>17</v>
      </c>
      <c r="D8901" t="s">
        <v>14</v>
      </c>
      <c r="E8901" t="s">
        <v>14</v>
      </c>
      <c r="F8901" t="s">
        <v>17</v>
      </c>
      <c r="G8901" t="s">
        <v>14</v>
      </c>
      <c r="H8901" t="s">
        <v>14</v>
      </c>
      <c r="I8901" t="str">
        <f>"061674013531"</f>
        <v>061674013531</v>
      </c>
    </row>
    <row r="8902" spans="1:9" x14ac:dyDescent="0.25">
      <c r="A8902" t="s">
        <v>7740</v>
      </c>
      <c r="B8902" t="s">
        <v>13</v>
      </c>
      <c r="C8902">
        <v>11</v>
      </c>
      <c r="D8902">
        <v>13.2</v>
      </c>
      <c r="E8902" t="s">
        <v>17</v>
      </c>
      <c r="F8902">
        <v>12.45</v>
      </c>
      <c r="G8902">
        <v>10.45</v>
      </c>
      <c r="H8902" t="s">
        <v>17</v>
      </c>
      <c r="I8902" t="str">
        <f>"062688009953"</f>
        <v>062688009953</v>
      </c>
    </row>
    <row r="8903" spans="1:9" x14ac:dyDescent="0.25">
      <c r="A8903" t="s">
        <v>7741</v>
      </c>
      <c r="B8903" t="s">
        <v>13</v>
      </c>
      <c r="C8903">
        <v>20</v>
      </c>
      <c r="D8903">
        <v>20</v>
      </c>
      <c r="E8903" t="s">
        <v>17</v>
      </c>
      <c r="F8903">
        <v>26.7</v>
      </c>
      <c r="G8903">
        <v>26.35</v>
      </c>
      <c r="H8903" t="s">
        <v>17</v>
      </c>
      <c r="I8903" t="str">
        <f>"062970004622"</f>
        <v>062970004622</v>
      </c>
    </row>
    <row r="8904" spans="1:9" x14ac:dyDescent="0.25">
      <c r="A8904" t="s">
        <v>7742</v>
      </c>
      <c r="B8904" t="s">
        <v>13</v>
      </c>
      <c r="C8904">
        <v>16</v>
      </c>
      <c r="D8904">
        <v>15.5</v>
      </c>
      <c r="E8904" t="s">
        <v>17</v>
      </c>
      <c r="F8904">
        <v>19.63</v>
      </c>
      <c r="G8904">
        <v>20.45</v>
      </c>
      <c r="H8904" t="s">
        <v>17</v>
      </c>
      <c r="I8904" t="str">
        <f>"060987001074"</f>
        <v>060987001074</v>
      </c>
    </row>
    <row r="8905" spans="1:9" x14ac:dyDescent="0.25">
      <c r="A8905" t="s">
        <v>7743</v>
      </c>
      <c r="B8905" t="s">
        <v>13</v>
      </c>
      <c r="C8905">
        <v>3.7</v>
      </c>
      <c r="D8905">
        <v>2.9</v>
      </c>
      <c r="E8905" t="s">
        <v>17</v>
      </c>
      <c r="F8905">
        <v>13.78</v>
      </c>
      <c r="G8905">
        <v>10</v>
      </c>
      <c r="H8905" t="s">
        <v>17</v>
      </c>
      <c r="I8905" t="str">
        <f>"063682010616"</f>
        <v>063682010616</v>
      </c>
    </row>
    <row r="8906" spans="1:9" x14ac:dyDescent="0.25">
      <c r="A8906" t="s">
        <v>7744</v>
      </c>
      <c r="B8906" t="s">
        <v>13</v>
      </c>
      <c r="C8906" t="str">
        <f>"0.20"</f>
        <v>0.20</v>
      </c>
      <c r="D8906">
        <v>1</v>
      </c>
      <c r="E8906" t="s">
        <v>17</v>
      </c>
      <c r="F8906">
        <v>10</v>
      </c>
      <c r="G8906">
        <v>5</v>
      </c>
      <c r="H8906" t="s">
        <v>17</v>
      </c>
      <c r="I8906" t="str">
        <f>"063682012326"</f>
        <v>063682012326</v>
      </c>
    </row>
    <row r="8907" spans="1:9" x14ac:dyDescent="0.25">
      <c r="A8907" t="s">
        <v>7745</v>
      </c>
      <c r="B8907" t="s">
        <v>13</v>
      </c>
      <c r="C8907">
        <v>26</v>
      </c>
      <c r="D8907">
        <v>26</v>
      </c>
      <c r="E8907" t="s">
        <v>17</v>
      </c>
      <c r="F8907">
        <v>17.149999999999999</v>
      </c>
      <c r="G8907">
        <v>18.04</v>
      </c>
      <c r="H8907" t="s">
        <v>17</v>
      </c>
      <c r="I8907" t="str">
        <f>"063682007257"</f>
        <v>063682007257</v>
      </c>
    </row>
    <row r="8908" spans="1:9" x14ac:dyDescent="0.25">
      <c r="A8908" t="s">
        <v>7746</v>
      </c>
      <c r="B8908" t="s">
        <v>13</v>
      </c>
      <c r="C8908">
        <v>22</v>
      </c>
      <c r="D8908">
        <v>22.53</v>
      </c>
      <c r="E8908" t="s">
        <v>17</v>
      </c>
      <c r="F8908">
        <v>17.82</v>
      </c>
      <c r="G8908">
        <v>17.84</v>
      </c>
      <c r="H8908" t="s">
        <v>17</v>
      </c>
      <c r="I8908" t="str">
        <f>"060861000877"</f>
        <v>060861000877</v>
      </c>
    </row>
    <row r="8909" spans="1:9" x14ac:dyDescent="0.25">
      <c r="A8909" t="s">
        <v>7747</v>
      </c>
      <c r="B8909" t="s">
        <v>13</v>
      </c>
      <c r="C8909">
        <v>104.26</v>
      </c>
      <c r="D8909">
        <v>136.84</v>
      </c>
      <c r="E8909" t="s">
        <v>17</v>
      </c>
      <c r="F8909">
        <v>29.31</v>
      </c>
      <c r="G8909">
        <v>28.16</v>
      </c>
      <c r="H8909" t="s">
        <v>17</v>
      </c>
      <c r="I8909" t="str">
        <f>"063697206461"</f>
        <v>063697206461</v>
      </c>
    </row>
    <row r="8910" spans="1:9" x14ac:dyDescent="0.25">
      <c r="A8910" t="s">
        <v>7747</v>
      </c>
      <c r="B8910" t="s">
        <v>13</v>
      </c>
      <c r="C8910">
        <v>14.6</v>
      </c>
      <c r="D8910">
        <v>16</v>
      </c>
      <c r="E8910" t="s">
        <v>17</v>
      </c>
      <c r="F8910">
        <v>16.78</v>
      </c>
      <c r="G8910">
        <v>18.309999999999999</v>
      </c>
      <c r="H8910" t="s">
        <v>17</v>
      </c>
      <c r="I8910" t="str">
        <f>"063386005315"</f>
        <v>063386005315</v>
      </c>
    </row>
    <row r="8911" spans="1:9" x14ac:dyDescent="0.25">
      <c r="A8911" t="s">
        <v>7748</v>
      </c>
      <c r="B8911" t="s">
        <v>13</v>
      </c>
      <c r="C8911">
        <v>35.53</v>
      </c>
      <c r="D8911">
        <v>35.630000000000003</v>
      </c>
      <c r="E8911" t="s">
        <v>17</v>
      </c>
      <c r="F8911">
        <v>21.95</v>
      </c>
      <c r="G8911">
        <v>22.59</v>
      </c>
      <c r="H8911" t="s">
        <v>17</v>
      </c>
      <c r="I8911" t="str">
        <f>"062664004032"</f>
        <v>062664004032</v>
      </c>
    </row>
    <row r="8912" spans="1:9" x14ac:dyDescent="0.25">
      <c r="A8912" t="s">
        <v>7748</v>
      </c>
      <c r="B8912" t="s">
        <v>13</v>
      </c>
      <c r="C8912">
        <v>37</v>
      </c>
      <c r="D8912">
        <v>39</v>
      </c>
      <c r="E8912" t="s">
        <v>17</v>
      </c>
      <c r="F8912">
        <v>26.08</v>
      </c>
      <c r="G8912">
        <v>25.51</v>
      </c>
      <c r="H8912" t="s">
        <v>17</v>
      </c>
      <c r="I8912" t="str">
        <f>"061149008253"</f>
        <v>061149008253</v>
      </c>
    </row>
    <row r="8913" spans="1:9" x14ac:dyDescent="0.25">
      <c r="A8913" t="s">
        <v>7749</v>
      </c>
      <c r="B8913" t="s">
        <v>13</v>
      </c>
      <c r="C8913">
        <v>16.600000000000001</v>
      </c>
      <c r="D8913">
        <v>17.5</v>
      </c>
      <c r="E8913" t="s">
        <v>17</v>
      </c>
      <c r="F8913">
        <v>23.01</v>
      </c>
      <c r="G8913">
        <v>21.37</v>
      </c>
      <c r="H8913" t="s">
        <v>17</v>
      </c>
      <c r="I8913" t="str">
        <f>"062637003973"</f>
        <v>062637003973</v>
      </c>
    </row>
    <row r="8914" spans="1:9" x14ac:dyDescent="0.25">
      <c r="A8914" t="s">
        <v>7750</v>
      </c>
      <c r="B8914" t="s">
        <v>13</v>
      </c>
      <c r="C8914">
        <v>12</v>
      </c>
      <c r="D8914">
        <v>14</v>
      </c>
      <c r="E8914" t="s">
        <v>17</v>
      </c>
      <c r="F8914">
        <v>25.42</v>
      </c>
      <c r="G8914">
        <v>22.64</v>
      </c>
      <c r="H8914" t="s">
        <v>17</v>
      </c>
      <c r="I8914" t="str">
        <f>"063684006267"</f>
        <v>063684006267</v>
      </c>
    </row>
    <row r="8915" spans="1:9" x14ac:dyDescent="0.25">
      <c r="A8915" t="s">
        <v>7751</v>
      </c>
      <c r="B8915" t="s">
        <v>13</v>
      </c>
      <c r="C8915">
        <v>94.36</v>
      </c>
      <c r="D8915">
        <v>96.48</v>
      </c>
      <c r="E8915" t="s">
        <v>17</v>
      </c>
      <c r="F8915">
        <v>25.03</v>
      </c>
      <c r="G8915">
        <v>26.49</v>
      </c>
      <c r="H8915" t="s">
        <v>17</v>
      </c>
      <c r="I8915" t="str">
        <f>"063684006268"</f>
        <v>063684006268</v>
      </c>
    </row>
    <row r="8916" spans="1:9" x14ac:dyDescent="0.25">
      <c r="A8916" t="s">
        <v>7752</v>
      </c>
      <c r="B8916" t="s">
        <v>13</v>
      </c>
      <c r="C8916">
        <v>3</v>
      </c>
      <c r="D8916">
        <v>4</v>
      </c>
      <c r="E8916" t="s">
        <v>17</v>
      </c>
      <c r="F8916">
        <v>24.67</v>
      </c>
      <c r="G8916">
        <v>16</v>
      </c>
      <c r="H8916" t="s">
        <v>17</v>
      </c>
      <c r="I8916" t="str">
        <f>"062271003313"</f>
        <v>062271003313</v>
      </c>
    </row>
    <row r="8917" spans="1:9" x14ac:dyDescent="0.25">
      <c r="A8917" t="s">
        <v>7753</v>
      </c>
      <c r="B8917" t="s">
        <v>13</v>
      </c>
      <c r="C8917">
        <v>26.39</v>
      </c>
      <c r="D8917">
        <v>24.49</v>
      </c>
      <c r="E8917" t="s">
        <v>17</v>
      </c>
      <c r="F8917">
        <v>27.25</v>
      </c>
      <c r="G8917">
        <v>28.46</v>
      </c>
      <c r="H8917" t="s">
        <v>17</v>
      </c>
      <c r="I8917" t="str">
        <f>"063459005738"</f>
        <v>063459005738</v>
      </c>
    </row>
    <row r="8918" spans="1:9" x14ac:dyDescent="0.25">
      <c r="A8918" t="s">
        <v>7754</v>
      </c>
      <c r="B8918" t="s">
        <v>13</v>
      </c>
      <c r="C8918">
        <v>31.5</v>
      </c>
      <c r="D8918">
        <v>30</v>
      </c>
      <c r="E8918" t="s">
        <v>17</v>
      </c>
      <c r="F8918">
        <v>26.1</v>
      </c>
      <c r="G8918">
        <v>25</v>
      </c>
      <c r="H8918" t="s">
        <v>17</v>
      </c>
      <c r="I8918" t="str">
        <f>"063132004861"</f>
        <v>063132004861</v>
      </c>
    </row>
    <row r="8919" spans="1:9" x14ac:dyDescent="0.25">
      <c r="A8919" t="s">
        <v>7755</v>
      </c>
      <c r="B8919" t="s">
        <v>13</v>
      </c>
      <c r="C8919">
        <v>43.25</v>
      </c>
      <c r="D8919">
        <v>44.42</v>
      </c>
      <c r="E8919" t="s">
        <v>17</v>
      </c>
      <c r="F8919">
        <v>24.95</v>
      </c>
      <c r="G8919">
        <v>25.57</v>
      </c>
      <c r="H8919" t="s">
        <v>17</v>
      </c>
      <c r="I8919" t="str">
        <f>"063684006269"</f>
        <v>063684006269</v>
      </c>
    </row>
    <row r="8920" spans="1:9" x14ac:dyDescent="0.25">
      <c r="A8920" t="s">
        <v>7755</v>
      </c>
      <c r="B8920" t="s">
        <v>13</v>
      </c>
      <c r="C8920">
        <v>36.700000000000003</v>
      </c>
      <c r="D8920">
        <v>35.9</v>
      </c>
      <c r="E8920" t="s">
        <v>17</v>
      </c>
      <c r="F8920">
        <v>22.72</v>
      </c>
      <c r="G8920">
        <v>23.4</v>
      </c>
      <c r="H8920" t="s">
        <v>17</v>
      </c>
      <c r="I8920" t="str">
        <f>"062772004198"</f>
        <v>062772004198</v>
      </c>
    </row>
    <row r="8921" spans="1:9" x14ac:dyDescent="0.25">
      <c r="A8921" t="s">
        <v>7756</v>
      </c>
      <c r="B8921" t="s">
        <v>13</v>
      </c>
      <c r="C8921">
        <v>26</v>
      </c>
      <c r="D8921">
        <v>25</v>
      </c>
      <c r="E8921" t="s">
        <v>17</v>
      </c>
      <c r="F8921">
        <v>27.08</v>
      </c>
      <c r="G8921">
        <v>26.68</v>
      </c>
      <c r="H8921" t="s">
        <v>17</v>
      </c>
      <c r="I8921" t="str">
        <f>"060813011492"</f>
        <v>060813011492</v>
      </c>
    </row>
    <row r="8922" spans="1:9" x14ac:dyDescent="0.25">
      <c r="A8922" t="s">
        <v>7757</v>
      </c>
      <c r="B8922" t="s">
        <v>13</v>
      </c>
      <c r="C8922">
        <v>28.45</v>
      </c>
      <c r="D8922">
        <v>25.38</v>
      </c>
      <c r="E8922" t="s">
        <v>17</v>
      </c>
      <c r="F8922">
        <v>28.12</v>
      </c>
      <c r="G8922">
        <v>31.17</v>
      </c>
      <c r="H8922" t="s">
        <v>17</v>
      </c>
      <c r="I8922" t="str">
        <f>"060639009336"</f>
        <v>060639009336</v>
      </c>
    </row>
    <row r="8923" spans="1:9" x14ac:dyDescent="0.25">
      <c r="A8923" t="s">
        <v>7758</v>
      </c>
      <c r="B8923" t="s">
        <v>13</v>
      </c>
      <c r="C8923">
        <v>17.899999999999999</v>
      </c>
      <c r="D8923">
        <v>20</v>
      </c>
      <c r="E8923" t="s">
        <v>17</v>
      </c>
      <c r="F8923">
        <v>20.95</v>
      </c>
      <c r="G8923">
        <v>19</v>
      </c>
      <c r="H8923" t="s">
        <v>17</v>
      </c>
      <c r="I8923" t="str">
        <f>"063480005881"</f>
        <v>063480005881</v>
      </c>
    </row>
    <row r="8924" spans="1:9" x14ac:dyDescent="0.25">
      <c r="A8924" t="s">
        <v>7759</v>
      </c>
      <c r="B8924" t="s">
        <v>13</v>
      </c>
      <c r="C8924">
        <v>54.49</v>
      </c>
      <c r="D8924">
        <v>56.3</v>
      </c>
      <c r="E8924" t="s">
        <v>17</v>
      </c>
      <c r="F8924">
        <v>18.059999999999999</v>
      </c>
      <c r="G8924">
        <v>17.39</v>
      </c>
      <c r="H8924" t="s">
        <v>17</v>
      </c>
      <c r="I8924" t="str">
        <f>"063879006525"</f>
        <v>063879006525</v>
      </c>
    </row>
    <row r="8925" spans="1:9" x14ac:dyDescent="0.25">
      <c r="A8925" t="s">
        <v>7760</v>
      </c>
      <c r="B8925" t="s">
        <v>13</v>
      </c>
      <c r="C8925">
        <v>20.63</v>
      </c>
      <c r="D8925">
        <v>22.65</v>
      </c>
      <c r="E8925" t="s">
        <v>17</v>
      </c>
      <c r="F8925">
        <v>27.63</v>
      </c>
      <c r="G8925">
        <v>26.49</v>
      </c>
      <c r="H8925" t="s">
        <v>17</v>
      </c>
      <c r="I8925" t="str">
        <f>"063390009432"</f>
        <v>063390009432</v>
      </c>
    </row>
    <row r="8926" spans="1:9" x14ac:dyDescent="0.25">
      <c r="A8926" t="s">
        <v>7761</v>
      </c>
      <c r="B8926" t="s">
        <v>13</v>
      </c>
      <c r="C8926" t="s">
        <v>17</v>
      </c>
      <c r="D8926" t="s">
        <v>14</v>
      </c>
      <c r="E8926" t="s">
        <v>14</v>
      </c>
      <c r="F8926" t="s">
        <v>17</v>
      </c>
      <c r="G8926" t="s">
        <v>14</v>
      </c>
      <c r="H8926" t="s">
        <v>14</v>
      </c>
      <c r="I8926" t="str">
        <f>"061098013075"</f>
        <v>061098013075</v>
      </c>
    </row>
    <row r="8927" spans="1:9" x14ac:dyDescent="0.25">
      <c r="A8927" t="s">
        <v>7762</v>
      </c>
      <c r="B8927" t="s">
        <v>13</v>
      </c>
      <c r="C8927" t="s">
        <v>17</v>
      </c>
      <c r="D8927" t="s">
        <v>17</v>
      </c>
      <c r="E8927" t="s">
        <v>17</v>
      </c>
      <c r="F8927" t="s">
        <v>17</v>
      </c>
      <c r="G8927" t="s">
        <v>17</v>
      </c>
      <c r="H8927" t="s">
        <v>17</v>
      </c>
      <c r="I8927" t="str">
        <f>"060012711472"</f>
        <v>060012711472</v>
      </c>
    </row>
    <row r="8928" spans="1:9" x14ac:dyDescent="0.25">
      <c r="A8928" t="s">
        <v>7763</v>
      </c>
      <c r="B8928" t="s">
        <v>13</v>
      </c>
      <c r="C8928">
        <v>15</v>
      </c>
      <c r="D8928">
        <v>13</v>
      </c>
      <c r="E8928" t="s">
        <v>17</v>
      </c>
      <c r="F8928">
        <v>6.87</v>
      </c>
      <c r="G8928">
        <v>8.23</v>
      </c>
      <c r="H8928" t="s">
        <v>17</v>
      </c>
      <c r="I8928" t="str">
        <f>"069103807221"</f>
        <v>069103807221</v>
      </c>
    </row>
    <row r="8929" spans="1:9" x14ac:dyDescent="0.25">
      <c r="A8929" t="s">
        <v>7764</v>
      </c>
      <c r="B8929" t="s">
        <v>13</v>
      </c>
      <c r="C8929">
        <v>15.35</v>
      </c>
      <c r="D8929">
        <v>15.35</v>
      </c>
      <c r="E8929" t="s">
        <v>17</v>
      </c>
      <c r="F8929">
        <v>19.739999999999998</v>
      </c>
      <c r="G8929">
        <v>20.65</v>
      </c>
      <c r="H8929" t="s">
        <v>17</v>
      </c>
      <c r="I8929" t="str">
        <f>"062604003899"</f>
        <v>062604003899</v>
      </c>
    </row>
    <row r="8930" spans="1:9" x14ac:dyDescent="0.25">
      <c r="A8930" t="s">
        <v>7765</v>
      </c>
      <c r="B8930" t="s">
        <v>13</v>
      </c>
      <c r="C8930">
        <v>55.7</v>
      </c>
      <c r="D8930">
        <v>57.5</v>
      </c>
      <c r="E8930" t="s">
        <v>17</v>
      </c>
      <c r="F8930">
        <v>27.22</v>
      </c>
      <c r="G8930">
        <v>27.69</v>
      </c>
      <c r="H8930" t="s">
        <v>17</v>
      </c>
      <c r="I8930" t="str">
        <f>"060001711747"</f>
        <v>060001711747</v>
      </c>
    </row>
    <row r="8931" spans="1:9" x14ac:dyDescent="0.25">
      <c r="A8931" t="s">
        <v>7766</v>
      </c>
      <c r="B8931" t="s">
        <v>13</v>
      </c>
      <c r="C8931">
        <v>7</v>
      </c>
      <c r="D8931">
        <v>10.47</v>
      </c>
      <c r="E8931" t="s">
        <v>17</v>
      </c>
      <c r="F8931">
        <v>14.57</v>
      </c>
      <c r="G8931">
        <v>9.07</v>
      </c>
      <c r="H8931" t="s">
        <v>17</v>
      </c>
      <c r="I8931" t="str">
        <f>"060303010800"</f>
        <v>060303010800</v>
      </c>
    </row>
    <row r="8932" spans="1:9" x14ac:dyDescent="0.25">
      <c r="A8932" t="s">
        <v>7767</v>
      </c>
      <c r="B8932" t="s">
        <v>13</v>
      </c>
      <c r="C8932">
        <v>29</v>
      </c>
      <c r="D8932">
        <v>30.01</v>
      </c>
      <c r="E8932" t="s">
        <v>17</v>
      </c>
      <c r="F8932">
        <v>24.48</v>
      </c>
      <c r="G8932">
        <v>24.76</v>
      </c>
      <c r="H8932" t="s">
        <v>17</v>
      </c>
      <c r="I8932" t="str">
        <f>"062271003356"</f>
        <v>062271003356</v>
      </c>
    </row>
    <row r="8933" spans="1:9" x14ac:dyDescent="0.25">
      <c r="A8933" t="s">
        <v>7768</v>
      </c>
      <c r="B8933" t="s">
        <v>13</v>
      </c>
      <c r="C8933">
        <v>1.8</v>
      </c>
      <c r="D8933">
        <v>2</v>
      </c>
      <c r="E8933" t="s">
        <v>14</v>
      </c>
      <c r="F8933">
        <v>34.44</v>
      </c>
      <c r="G8933">
        <v>29</v>
      </c>
      <c r="H8933" t="s">
        <v>14</v>
      </c>
      <c r="I8933" t="str">
        <f>"063023012877"</f>
        <v>063023012877</v>
      </c>
    </row>
    <row r="8934" spans="1:9" x14ac:dyDescent="0.25">
      <c r="A8934" t="s">
        <v>7769</v>
      </c>
      <c r="B8934" t="s">
        <v>13</v>
      </c>
      <c r="C8934">
        <v>10</v>
      </c>
      <c r="D8934">
        <v>10</v>
      </c>
      <c r="E8934" t="s">
        <v>17</v>
      </c>
      <c r="F8934">
        <v>24.7</v>
      </c>
      <c r="G8934">
        <v>25.2</v>
      </c>
      <c r="H8934" t="s">
        <v>17</v>
      </c>
      <c r="I8934" t="str">
        <f>"064104007280"</f>
        <v>064104007280</v>
      </c>
    </row>
    <row r="8935" spans="1:9" x14ac:dyDescent="0.25">
      <c r="A8935" t="s">
        <v>7770</v>
      </c>
      <c r="B8935" t="s">
        <v>13</v>
      </c>
      <c r="C8935">
        <v>33.5</v>
      </c>
      <c r="D8935">
        <v>39.01</v>
      </c>
      <c r="E8935" t="s">
        <v>17</v>
      </c>
      <c r="F8935">
        <v>24.12</v>
      </c>
      <c r="G8935">
        <v>26.76</v>
      </c>
      <c r="H8935" t="s">
        <v>17</v>
      </c>
      <c r="I8935" t="str">
        <f>"062271003357"</f>
        <v>062271003357</v>
      </c>
    </row>
    <row r="8936" spans="1:9" x14ac:dyDescent="0.25">
      <c r="A8936" t="s">
        <v>7771</v>
      </c>
      <c r="B8936" t="s">
        <v>13</v>
      </c>
      <c r="C8936">
        <v>24</v>
      </c>
      <c r="D8936">
        <v>25</v>
      </c>
      <c r="E8936" t="s">
        <v>17</v>
      </c>
      <c r="F8936">
        <v>23.29</v>
      </c>
      <c r="G8936">
        <v>22.44</v>
      </c>
      <c r="H8936" t="s">
        <v>17</v>
      </c>
      <c r="I8936" t="str">
        <f>"062271003358"</f>
        <v>062271003358</v>
      </c>
    </row>
    <row r="8937" spans="1:9" x14ac:dyDescent="0.25">
      <c r="A8937" t="s">
        <v>7772</v>
      </c>
      <c r="B8937" t="s">
        <v>13</v>
      </c>
      <c r="C8937">
        <v>36.5</v>
      </c>
      <c r="D8937">
        <v>37.5</v>
      </c>
      <c r="E8937" t="s">
        <v>17</v>
      </c>
      <c r="F8937">
        <v>26.05</v>
      </c>
      <c r="G8937">
        <v>24.69</v>
      </c>
      <c r="H8937" t="s">
        <v>17</v>
      </c>
      <c r="I8937" t="str">
        <f>"062271003359"</f>
        <v>062271003359</v>
      </c>
    </row>
    <row r="8938" spans="1:9" x14ac:dyDescent="0.25">
      <c r="A8938" t="s">
        <v>7773</v>
      </c>
      <c r="B8938" t="s">
        <v>13</v>
      </c>
      <c r="C8938">
        <v>22</v>
      </c>
      <c r="D8938">
        <v>23.7</v>
      </c>
      <c r="E8938" t="s">
        <v>17</v>
      </c>
      <c r="F8938">
        <v>24.64</v>
      </c>
      <c r="G8938">
        <v>24.26</v>
      </c>
      <c r="H8938" t="s">
        <v>17</v>
      </c>
      <c r="I8938" t="str">
        <f>"061926008149"</f>
        <v>061926008149</v>
      </c>
    </row>
    <row r="8939" spans="1:9" x14ac:dyDescent="0.25">
      <c r="A8939" t="s">
        <v>7774</v>
      </c>
      <c r="B8939" t="s">
        <v>13</v>
      </c>
      <c r="C8939">
        <v>73.73</v>
      </c>
      <c r="D8939">
        <v>68.180000000000007</v>
      </c>
      <c r="E8939" t="s">
        <v>17</v>
      </c>
      <c r="F8939">
        <v>25.51</v>
      </c>
      <c r="G8939">
        <v>25.65</v>
      </c>
      <c r="H8939" t="s">
        <v>17</v>
      </c>
      <c r="I8939" t="str">
        <f>"060001511860"</f>
        <v>060001511860</v>
      </c>
    </row>
    <row r="8940" spans="1:9" x14ac:dyDescent="0.25">
      <c r="A8940" t="s">
        <v>7775</v>
      </c>
      <c r="B8940" t="s">
        <v>13</v>
      </c>
      <c r="C8940">
        <v>38</v>
      </c>
      <c r="D8940">
        <v>38</v>
      </c>
      <c r="E8940" t="s">
        <v>17</v>
      </c>
      <c r="F8940">
        <v>25.29</v>
      </c>
      <c r="G8940">
        <v>26.37</v>
      </c>
      <c r="H8940" t="s">
        <v>17</v>
      </c>
      <c r="I8940" t="str">
        <f>"063018011718"</f>
        <v>063018011718</v>
      </c>
    </row>
    <row r="8941" spans="1:9" x14ac:dyDescent="0.25">
      <c r="A8941" t="s">
        <v>7776</v>
      </c>
      <c r="B8941" t="s">
        <v>13</v>
      </c>
      <c r="C8941">
        <v>19</v>
      </c>
      <c r="D8941">
        <v>22</v>
      </c>
      <c r="E8941" t="s">
        <v>17</v>
      </c>
      <c r="F8941">
        <v>26.89</v>
      </c>
      <c r="G8941">
        <v>23.27</v>
      </c>
      <c r="H8941" t="s">
        <v>17</v>
      </c>
      <c r="I8941" t="str">
        <f>"063597006160"</f>
        <v>063597006160</v>
      </c>
    </row>
    <row r="8942" spans="1:9" x14ac:dyDescent="0.25">
      <c r="A8942" t="s">
        <v>7777</v>
      </c>
      <c r="B8942" t="s">
        <v>13</v>
      </c>
      <c r="C8942">
        <v>18.02</v>
      </c>
      <c r="D8942">
        <v>26</v>
      </c>
      <c r="E8942" t="s">
        <v>17</v>
      </c>
      <c r="F8942">
        <v>27.86</v>
      </c>
      <c r="G8942">
        <v>20.350000000000001</v>
      </c>
      <c r="H8942" t="s">
        <v>17</v>
      </c>
      <c r="I8942" t="str">
        <f>"063462005820"</f>
        <v>063462005820</v>
      </c>
    </row>
    <row r="8943" spans="1:9" x14ac:dyDescent="0.25">
      <c r="A8943" t="s">
        <v>7778</v>
      </c>
      <c r="B8943" t="s">
        <v>13</v>
      </c>
      <c r="C8943">
        <v>19</v>
      </c>
      <c r="D8943">
        <v>20</v>
      </c>
      <c r="E8943" t="s">
        <v>17</v>
      </c>
      <c r="F8943">
        <v>26.42</v>
      </c>
      <c r="G8943">
        <v>25.7</v>
      </c>
      <c r="H8943" t="s">
        <v>17</v>
      </c>
      <c r="I8943" t="str">
        <f>"061488007189"</f>
        <v>061488007189</v>
      </c>
    </row>
    <row r="8944" spans="1:9" x14ac:dyDescent="0.25">
      <c r="A8944" t="s">
        <v>7779</v>
      </c>
      <c r="B8944" t="s">
        <v>13</v>
      </c>
      <c r="C8944">
        <v>24</v>
      </c>
      <c r="D8944">
        <v>25.97</v>
      </c>
      <c r="E8944" t="s">
        <v>17</v>
      </c>
      <c r="F8944">
        <v>21.33</v>
      </c>
      <c r="G8944">
        <v>19.21</v>
      </c>
      <c r="H8944" t="s">
        <v>17</v>
      </c>
      <c r="I8944" t="str">
        <f>"063699006283"</f>
        <v>063699006283</v>
      </c>
    </row>
    <row r="8945" spans="1:9" x14ac:dyDescent="0.25">
      <c r="A8945" t="s">
        <v>7779</v>
      </c>
      <c r="B8945" t="s">
        <v>13</v>
      </c>
      <c r="C8945">
        <v>16</v>
      </c>
      <c r="D8945">
        <v>16</v>
      </c>
      <c r="E8945" t="s">
        <v>17</v>
      </c>
      <c r="F8945">
        <v>24.25</v>
      </c>
      <c r="G8945">
        <v>25.25</v>
      </c>
      <c r="H8945" t="s">
        <v>17</v>
      </c>
      <c r="I8945" t="str">
        <f>"063753006351"</f>
        <v>063753006351</v>
      </c>
    </row>
    <row r="8946" spans="1:9" x14ac:dyDescent="0.25">
      <c r="A8946" t="s">
        <v>7780</v>
      </c>
      <c r="B8946" t="s">
        <v>13</v>
      </c>
      <c r="C8946">
        <v>93.44</v>
      </c>
      <c r="D8946">
        <v>81.819999999999993</v>
      </c>
      <c r="E8946" t="s">
        <v>17</v>
      </c>
      <c r="F8946">
        <v>19.239999999999998</v>
      </c>
      <c r="G8946">
        <v>21.91</v>
      </c>
      <c r="H8946" t="s">
        <v>17</v>
      </c>
      <c r="I8946" t="str">
        <f>"062805004315"</f>
        <v>062805004315</v>
      </c>
    </row>
    <row r="8947" spans="1:9" x14ac:dyDescent="0.25">
      <c r="A8947" t="s">
        <v>7781</v>
      </c>
      <c r="B8947" t="s">
        <v>13</v>
      </c>
      <c r="C8947">
        <v>16.5</v>
      </c>
      <c r="D8947">
        <v>17</v>
      </c>
      <c r="E8947" t="s">
        <v>17</v>
      </c>
      <c r="F8947">
        <v>26.24</v>
      </c>
      <c r="G8947">
        <v>25.35</v>
      </c>
      <c r="H8947" t="s">
        <v>17</v>
      </c>
      <c r="I8947" t="str">
        <f>"060402000365"</f>
        <v>060402000365</v>
      </c>
    </row>
    <row r="8948" spans="1:9" x14ac:dyDescent="0.25">
      <c r="A8948" t="s">
        <v>7782</v>
      </c>
      <c r="B8948" t="s">
        <v>13</v>
      </c>
      <c r="C8948">
        <v>24.25</v>
      </c>
      <c r="D8948">
        <v>24.63</v>
      </c>
      <c r="E8948" t="s">
        <v>17</v>
      </c>
      <c r="F8948">
        <v>21.2</v>
      </c>
      <c r="G8948">
        <v>22.49</v>
      </c>
      <c r="H8948" t="s">
        <v>17</v>
      </c>
      <c r="I8948" t="str">
        <f>"060348009709"</f>
        <v>060348009709</v>
      </c>
    </row>
    <row r="8949" spans="1:9" x14ac:dyDescent="0.25">
      <c r="A8949" t="s">
        <v>7783</v>
      </c>
      <c r="B8949" t="s">
        <v>13</v>
      </c>
      <c r="C8949">
        <v>26</v>
      </c>
      <c r="D8949">
        <v>28.55</v>
      </c>
      <c r="E8949" t="s">
        <v>17</v>
      </c>
      <c r="F8949">
        <v>26.15</v>
      </c>
      <c r="G8949">
        <v>26.2</v>
      </c>
      <c r="H8949" t="s">
        <v>17</v>
      </c>
      <c r="I8949" t="str">
        <f>"061455001767"</f>
        <v>061455001767</v>
      </c>
    </row>
    <row r="8950" spans="1:9" x14ac:dyDescent="0.25">
      <c r="A8950" t="s">
        <v>7784</v>
      </c>
      <c r="B8950" t="s">
        <v>13</v>
      </c>
      <c r="C8950" t="s">
        <v>17</v>
      </c>
      <c r="D8950" t="s">
        <v>14</v>
      </c>
      <c r="E8950" t="s">
        <v>14</v>
      </c>
      <c r="F8950" t="s">
        <v>17</v>
      </c>
      <c r="G8950" t="s">
        <v>14</v>
      </c>
      <c r="H8950" t="s">
        <v>14</v>
      </c>
      <c r="I8950" t="str">
        <f>"062628013301"</f>
        <v>062628013301</v>
      </c>
    </row>
    <row r="8951" spans="1:9" x14ac:dyDescent="0.25">
      <c r="A8951" t="s">
        <v>7785</v>
      </c>
      <c r="B8951" t="s">
        <v>13</v>
      </c>
      <c r="C8951">
        <v>37.67</v>
      </c>
      <c r="D8951">
        <v>39</v>
      </c>
      <c r="E8951" t="s">
        <v>17</v>
      </c>
      <c r="F8951">
        <v>22.7</v>
      </c>
      <c r="G8951">
        <v>22.72</v>
      </c>
      <c r="H8951" t="s">
        <v>17</v>
      </c>
      <c r="I8951" t="str">
        <f>"060360000284"</f>
        <v>060360000284</v>
      </c>
    </row>
    <row r="8952" spans="1:9" x14ac:dyDescent="0.25">
      <c r="A8952" t="s">
        <v>7786</v>
      </c>
      <c r="B8952" t="s">
        <v>13</v>
      </c>
      <c r="C8952">
        <v>18.5</v>
      </c>
      <c r="D8952">
        <v>18.5</v>
      </c>
      <c r="E8952" t="s">
        <v>17</v>
      </c>
      <c r="F8952">
        <v>20.92</v>
      </c>
      <c r="G8952">
        <v>21.08</v>
      </c>
      <c r="H8952" t="s">
        <v>17</v>
      </c>
      <c r="I8952" t="str">
        <f>"062886004473"</f>
        <v>062886004473</v>
      </c>
    </row>
    <row r="8953" spans="1:9" x14ac:dyDescent="0.25">
      <c r="A8953" t="s">
        <v>7787</v>
      </c>
      <c r="B8953" t="s">
        <v>13</v>
      </c>
      <c r="C8953">
        <v>17.600000000000001</v>
      </c>
      <c r="D8953">
        <v>16</v>
      </c>
      <c r="E8953" t="s">
        <v>17</v>
      </c>
      <c r="F8953">
        <v>22.33</v>
      </c>
      <c r="G8953">
        <v>24.19</v>
      </c>
      <c r="H8953" t="s">
        <v>17</v>
      </c>
      <c r="I8953" t="str">
        <f>"063441005598"</f>
        <v>063441005598</v>
      </c>
    </row>
    <row r="8954" spans="1:9" x14ac:dyDescent="0.25">
      <c r="A8954" t="s">
        <v>7788</v>
      </c>
      <c r="B8954" t="s">
        <v>13</v>
      </c>
      <c r="C8954">
        <v>12.25</v>
      </c>
      <c r="D8954">
        <v>12.05</v>
      </c>
      <c r="E8954" t="s">
        <v>17</v>
      </c>
      <c r="F8954">
        <v>22.61</v>
      </c>
      <c r="G8954">
        <v>23.65</v>
      </c>
      <c r="H8954" t="s">
        <v>17</v>
      </c>
      <c r="I8954" t="str">
        <f>"060939000956"</f>
        <v>060939000956</v>
      </c>
    </row>
    <row r="8955" spans="1:9" x14ac:dyDescent="0.25">
      <c r="A8955" t="s">
        <v>7789</v>
      </c>
      <c r="B8955" t="s">
        <v>13</v>
      </c>
      <c r="C8955">
        <v>10.8</v>
      </c>
      <c r="D8955">
        <v>10.6</v>
      </c>
      <c r="E8955" t="s">
        <v>17</v>
      </c>
      <c r="F8955">
        <v>26.67</v>
      </c>
      <c r="G8955">
        <v>27.26</v>
      </c>
      <c r="H8955" t="s">
        <v>17</v>
      </c>
      <c r="I8955" t="str">
        <f>"063474002797"</f>
        <v>063474002797</v>
      </c>
    </row>
    <row r="8956" spans="1:9" x14ac:dyDescent="0.25">
      <c r="A8956" t="s">
        <v>7790</v>
      </c>
      <c r="B8956" t="s">
        <v>13</v>
      </c>
      <c r="C8956" t="s">
        <v>17</v>
      </c>
      <c r="D8956" t="s">
        <v>17</v>
      </c>
      <c r="E8956" t="s">
        <v>17</v>
      </c>
      <c r="F8956" t="s">
        <v>17</v>
      </c>
      <c r="G8956" t="s">
        <v>17</v>
      </c>
      <c r="H8956" t="s">
        <v>17</v>
      </c>
      <c r="I8956" t="str">
        <f>"063474012725"</f>
        <v>063474012725</v>
      </c>
    </row>
    <row r="8957" spans="1:9" x14ac:dyDescent="0.25">
      <c r="A8957" t="s">
        <v>7791</v>
      </c>
      <c r="B8957" t="s">
        <v>13</v>
      </c>
      <c r="C8957">
        <v>24.56</v>
      </c>
      <c r="D8957">
        <v>29.56</v>
      </c>
      <c r="E8957" t="s">
        <v>17</v>
      </c>
      <c r="F8957">
        <v>25.73</v>
      </c>
      <c r="G8957">
        <v>25.91</v>
      </c>
      <c r="H8957" t="s">
        <v>17</v>
      </c>
      <c r="I8957" t="str">
        <f>"063207004947"</f>
        <v>063207004947</v>
      </c>
    </row>
    <row r="8958" spans="1:9" x14ac:dyDescent="0.25">
      <c r="A8958" t="s">
        <v>7792</v>
      </c>
      <c r="B8958" t="s">
        <v>13</v>
      </c>
      <c r="C8958">
        <v>24</v>
      </c>
      <c r="D8958">
        <v>24.76</v>
      </c>
      <c r="E8958" t="s">
        <v>17</v>
      </c>
      <c r="F8958">
        <v>18.71</v>
      </c>
      <c r="G8958">
        <v>16.440000000000001</v>
      </c>
      <c r="H8958" t="s">
        <v>17</v>
      </c>
      <c r="I8958" t="str">
        <f>"063480005882"</f>
        <v>063480005882</v>
      </c>
    </row>
    <row r="8959" spans="1:9" x14ac:dyDescent="0.25">
      <c r="A8959" t="s">
        <v>7793</v>
      </c>
      <c r="B8959" t="s">
        <v>13</v>
      </c>
      <c r="C8959">
        <v>2</v>
      </c>
      <c r="D8959" t="s">
        <v>17</v>
      </c>
      <c r="E8959" t="s">
        <v>17</v>
      </c>
      <c r="F8959">
        <v>2</v>
      </c>
      <c r="G8959" t="s">
        <v>17</v>
      </c>
      <c r="H8959" t="s">
        <v>17</v>
      </c>
      <c r="I8959" t="str">
        <f>"069107812707"</f>
        <v>069107812707</v>
      </c>
    </row>
    <row r="8960" spans="1:9" x14ac:dyDescent="0.25">
      <c r="A8960" t="s">
        <v>7794</v>
      </c>
      <c r="B8960" t="s">
        <v>13</v>
      </c>
      <c r="C8960">
        <v>11</v>
      </c>
      <c r="D8960">
        <v>12</v>
      </c>
      <c r="E8960" t="s">
        <v>17</v>
      </c>
      <c r="F8960">
        <v>21.55</v>
      </c>
      <c r="G8960">
        <v>20.5</v>
      </c>
      <c r="H8960" t="s">
        <v>17</v>
      </c>
      <c r="I8960" t="str">
        <f>"061077001199"</f>
        <v>061077001199</v>
      </c>
    </row>
    <row r="8961" spans="1:9" x14ac:dyDescent="0.25">
      <c r="A8961" t="s">
        <v>7795</v>
      </c>
      <c r="B8961" t="s">
        <v>13</v>
      </c>
      <c r="C8961">
        <v>41</v>
      </c>
      <c r="D8961">
        <v>41</v>
      </c>
      <c r="E8961" t="s">
        <v>17</v>
      </c>
      <c r="F8961">
        <v>26.44</v>
      </c>
      <c r="G8961">
        <v>25.76</v>
      </c>
      <c r="H8961" t="s">
        <v>17</v>
      </c>
      <c r="I8961" t="str">
        <f>"060133204148"</f>
        <v>060133204148</v>
      </c>
    </row>
    <row r="8962" spans="1:9" x14ac:dyDescent="0.25">
      <c r="A8962" t="s">
        <v>7796</v>
      </c>
      <c r="B8962" t="s">
        <v>13</v>
      </c>
      <c r="C8962">
        <v>29.48</v>
      </c>
      <c r="D8962">
        <v>22.33</v>
      </c>
      <c r="E8962" t="s">
        <v>17</v>
      </c>
      <c r="F8962">
        <v>27.48</v>
      </c>
      <c r="G8962">
        <v>25.97</v>
      </c>
      <c r="H8962" t="s">
        <v>17</v>
      </c>
      <c r="I8962" t="str">
        <f>"063522005965"</f>
        <v>063522005965</v>
      </c>
    </row>
    <row r="8963" spans="1:9" x14ac:dyDescent="0.25">
      <c r="A8963" t="s">
        <v>7797</v>
      </c>
      <c r="B8963" t="s">
        <v>13</v>
      </c>
      <c r="C8963">
        <v>4.5999999999999996</v>
      </c>
      <c r="D8963">
        <v>4.5999999999999996</v>
      </c>
      <c r="E8963" t="s">
        <v>17</v>
      </c>
      <c r="F8963">
        <v>22.61</v>
      </c>
      <c r="G8963">
        <v>23.48</v>
      </c>
      <c r="H8963" t="s">
        <v>17</v>
      </c>
      <c r="I8963" t="str">
        <f>"063696006281"</f>
        <v>063696006281</v>
      </c>
    </row>
    <row r="8964" spans="1:9" x14ac:dyDescent="0.25">
      <c r="A8964" t="s">
        <v>7798</v>
      </c>
      <c r="B8964" t="s">
        <v>13</v>
      </c>
      <c r="C8964">
        <v>19.8</v>
      </c>
      <c r="D8964">
        <v>19.8</v>
      </c>
      <c r="E8964" t="s">
        <v>17</v>
      </c>
      <c r="F8964">
        <v>27.17</v>
      </c>
      <c r="G8964">
        <v>25.3</v>
      </c>
      <c r="H8964" t="s">
        <v>17</v>
      </c>
      <c r="I8964" t="str">
        <f>"062664004033"</f>
        <v>062664004033</v>
      </c>
    </row>
    <row r="8965" spans="1:9" x14ac:dyDescent="0.25">
      <c r="A8965" t="s">
        <v>7799</v>
      </c>
      <c r="B8965" t="s">
        <v>13</v>
      </c>
      <c r="C8965">
        <v>3.41</v>
      </c>
      <c r="D8965">
        <v>3.01</v>
      </c>
      <c r="E8965" t="s">
        <v>17</v>
      </c>
      <c r="F8965">
        <v>24.63</v>
      </c>
      <c r="G8965">
        <v>33.22</v>
      </c>
      <c r="H8965" t="s">
        <v>17</v>
      </c>
      <c r="I8965" t="str">
        <f>"063697001140"</f>
        <v>063697001140</v>
      </c>
    </row>
    <row r="8966" spans="1:9" x14ac:dyDescent="0.25">
      <c r="A8966" t="s">
        <v>7800</v>
      </c>
      <c r="B8966" t="s">
        <v>13</v>
      </c>
      <c r="C8966">
        <v>18.3</v>
      </c>
      <c r="D8966">
        <v>13.4</v>
      </c>
      <c r="E8966" t="s">
        <v>17</v>
      </c>
      <c r="F8966">
        <v>22.3</v>
      </c>
      <c r="G8966">
        <v>24.7</v>
      </c>
      <c r="H8966" t="s">
        <v>17</v>
      </c>
      <c r="I8966" t="str">
        <f>"063417012377"</f>
        <v>063417012377</v>
      </c>
    </row>
    <row r="8967" spans="1:9" x14ac:dyDescent="0.25">
      <c r="A8967" t="s">
        <v>7801</v>
      </c>
      <c r="B8967" t="s">
        <v>13</v>
      </c>
      <c r="C8967">
        <v>13</v>
      </c>
      <c r="D8967">
        <v>11</v>
      </c>
      <c r="E8967" t="s">
        <v>17</v>
      </c>
      <c r="F8967">
        <v>29.77</v>
      </c>
      <c r="G8967">
        <v>29.36</v>
      </c>
      <c r="H8967" t="s">
        <v>17</v>
      </c>
      <c r="I8967" t="str">
        <f>"060282011610"</f>
        <v>060282011610</v>
      </c>
    </row>
    <row r="8968" spans="1:9" x14ac:dyDescent="0.25">
      <c r="A8968" t="s">
        <v>7802</v>
      </c>
      <c r="B8968" t="s">
        <v>13</v>
      </c>
      <c r="C8968">
        <v>19.75</v>
      </c>
      <c r="D8968">
        <v>19.53</v>
      </c>
      <c r="E8968" t="s">
        <v>17</v>
      </c>
      <c r="F8968">
        <v>22.94</v>
      </c>
      <c r="G8968">
        <v>25.09</v>
      </c>
      <c r="H8968" t="s">
        <v>17</v>
      </c>
      <c r="I8968" t="str">
        <f>"062271012720"</f>
        <v>062271012720</v>
      </c>
    </row>
    <row r="8969" spans="1:9" x14ac:dyDescent="0.25">
      <c r="A8969" t="s">
        <v>7803</v>
      </c>
      <c r="B8969" t="s">
        <v>13</v>
      </c>
      <c r="C8969">
        <v>27</v>
      </c>
      <c r="D8969">
        <v>21.12</v>
      </c>
      <c r="E8969" t="s">
        <v>14</v>
      </c>
      <c r="F8969">
        <v>24.48</v>
      </c>
      <c r="G8969">
        <v>22.96</v>
      </c>
      <c r="H8969" t="s">
        <v>14</v>
      </c>
      <c r="I8969" t="str">
        <f>"062271012871"</f>
        <v>062271012871</v>
      </c>
    </row>
    <row r="8970" spans="1:9" x14ac:dyDescent="0.25">
      <c r="A8970" t="s">
        <v>7804</v>
      </c>
      <c r="B8970" t="s">
        <v>13</v>
      </c>
      <c r="C8970">
        <v>24.83</v>
      </c>
      <c r="D8970">
        <v>23.16</v>
      </c>
      <c r="E8970" t="s">
        <v>14</v>
      </c>
      <c r="F8970">
        <v>24.53</v>
      </c>
      <c r="G8970">
        <v>20.55</v>
      </c>
      <c r="H8970" t="s">
        <v>14</v>
      </c>
      <c r="I8970" t="str">
        <f>"062271012934"</f>
        <v>062271012934</v>
      </c>
    </row>
    <row r="8971" spans="1:9" x14ac:dyDescent="0.25">
      <c r="A8971" t="s">
        <v>7805</v>
      </c>
      <c r="B8971" t="s">
        <v>13</v>
      </c>
      <c r="C8971">
        <v>9.0500000000000007</v>
      </c>
      <c r="D8971">
        <v>9</v>
      </c>
      <c r="E8971" t="s">
        <v>17</v>
      </c>
      <c r="F8971">
        <v>24.64</v>
      </c>
      <c r="G8971">
        <v>19.670000000000002</v>
      </c>
      <c r="H8971" t="s">
        <v>17</v>
      </c>
      <c r="I8971" t="str">
        <f>"063384011198"</f>
        <v>063384011198</v>
      </c>
    </row>
    <row r="8972" spans="1:9" x14ac:dyDescent="0.25">
      <c r="A8972" t="s">
        <v>7806</v>
      </c>
      <c r="B8972" t="s">
        <v>13</v>
      </c>
      <c r="C8972">
        <v>29.5</v>
      </c>
      <c r="D8972">
        <v>32.119999999999997</v>
      </c>
      <c r="E8972" t="s">
        <v>17</v>
      </c>
      <c r="F8972">
        <v>19.46</v>
      </c>
      <c r="G8972">
        <v>17.37</v>
      </c>
      <c r="H8972" t="s">
        <v>17</v>
      </c>
      <c r="I8972" t="str">
        <f>"063699009196"</f>
        <v>063699009196</v>
      </c>
    </row>
    <row r="8973" spans="1:9" x14ac:dyDescent="0.25">
      <c r="A8973" t="s">
        <v>7807</v>
      </c>
      <c r="B8973" t="s">
        <v>13</v>
      </c>
      <c r="C8973">
        <v>21</v>
      </c>
      <c r="D8973">
        <v>22.21</v>
      </c>
      <c r="E8973" t="s">
        <v>17</v>
      </c>
      <c r="F8973">
        <v>24.57</v>
      </c>
      <c r="G8973">
        <v>20.399999999999999</v>
      </c>
      <c r="H8973" t="s">
        <v>17</v>
      </c>
      <c r="I8973" t="str">
        <f>"063699011397"</f>
        <v>063699011397</v>
      </c>
    </row>
    <row r="8974" spans="1:9" x14ac:dyDescent="0.25">
      <c r="A8974" t="s">
        <v>7808</v>
      </c>
      <c r="B8974" t="s">
        <v>13</v>
      </c>
      <c r="C8974">
        <v>20</v>
      </c>
      <c r="D8974">
        <v>23.35</v>
      </c>
      <c r="E8974" t="s">
        <v>17</v>
      </c>
      <c r="F8974">
        <v>19.2</v>
      </c>
      <c r="G8974">
        <v>16.7</v>
      </c>
      <c r="H8974" t="s">
        <v>17</v>
      </c>
      <c r="I8974" t="str">
        <f>"063699002691"</f>
        <v>063699002691</v>
      </c>
    </row>
    <row r="8975" spans="1:9" x14ac:dyDescent="0.25">
      <c r="A8975" t="s">
        <v>7809</v>
      </c>
      <c r="B8975" t="s">
        <v>13</v>
      </c>
      <c r="C8975">
        <v>22.4</v>
      </c>
      <c r="D8975">
        <v>26.62</v>
      </c>
      <c r="E8975" t="s">
        <v>17</v>
      </c>
      <c r="F8975">
        <v>20.27</v>
      </c>
      <c r="G8975">
        <v>16.420000000000002</v>
      </c>
      <c r="H8975" t="s">
        <v>17</v>
      </c>
      <c r="I8975" t="str">
        <f>"063699006284"</f>
        <v>063699006284</v>
      </c>
    </row>
    <row r="8976" spans="1:9" x14ac:dyDescent="0.25">
      <c r="A8976" t="s">
        <v>7810</v>
      </c>
      <c r="B8976" t="s">
        <v>13</v>
      </c>
      <c r="C8976">
        <v>10</v>
      </c>
      <c r="D8976">
        <v>10</v>
      </c>
      <c r="E8976" t="s">
        <v>17</v>
      </c>
      <c r="F8976">
        <v>23.8</v>
      </c>
      <c r="G8976">
        <v>25.6</v>
      </c>
      <c r="H8976" t="s">
        <v>17</v>
      </c>
      <c r="I8976" t="str">
        <f>"062271003360"</f>
        <v>062271003360</v>
      </c>
    </row>
    <row r="8977" spans="1:9" x14ac:dyDescent="0.25">
      <c r="A8977" t="s">
        <v>7811</v>
      </c>
      <c r="B8977" t="s">
        <v>13</v>
      </c>
      <c r="C8977">
        <v>3.5</v>
      </c>
      <c r="D8977">
        <v>4</v>
      </c>
      <c r="E8977" t="s">
        <v>17</v>
      </c>
      <c r="F8977">
        <v>22.57</v>
      </c>
      <c r="G8977">
        <v>22</v>
      </c>
      <c r="H8977" t="s">
        <v>17</v>
      </c>
      <c r="I8977" t="str">
        <f>"069112210678"</f>
        <v>069112210678</v>
      </c>
    </row>
    <row r="8978" spans="1:9" x14ac:dyDescent="0.25">
      <c r="A8978" t="s">
        <v>7812</v>
      </c>
      <c r="B8978" t="s">
        <v>13</v>
      </c>
      <c r="C8978" t="s">
        <v>17</v>
      </c>
      <c r="D8978" t="s">
        <v>17</v>
      </c>
      <c r="E8978" t="s">
        <v>17</v>
      </c>
      <c r="F8978" t="s">
        <v>17</v>
      </c>
      <c r="G8978" t="s">
        <v>17</v>
      </c>
      <c r="H8978" t="s">
        <v>17</v>
      </c>
      <c r="I8978" t="str">
        <f>"060012811476"</f>
        <v>060012811476</v>
      </c>
    </row>
    <row r="8979" spans="1:9" x14ac:dyDescent="0.25">
      <c r="A8979" t="s">
        <v>7813</v>
      </c>
      <c r="B8979" t="s">
        <v>13</v>
      </c>
      <c r="C8979">
        <v>71</v>
      </c>
      <c r="D8979">
        <v>68</v>
      </c>
      <c r="E8979" t="s">
        <v>17</v>
      </c>
      <c r="F8979">
        <v>5.28</v>
      </c>
      <c r="G8979">
        <v>5.44</v>
      </c>
      <c r="H8979" t="s">
        <v>17</v>
      </c>
      <c r="I8979" t="str">
        <f>"069112206289"</f>
        <v>069112206289</v>
      </c>
    </row>
    <row r="8980" spans="1:9" x14ac:dyDescent="0.25">
      <c r="A8980" t="s">
        <v>7814</v>
      </c>
      <c r="B8980" t="s">
        <v>13</v>
      </c>
      <c r="C8980">
        <v>5</v>
      </c>
      <c r="D8980">
        <v>6</v>
      </c>
      <c r="E8980" t="s">
        <v>17</v>
      </c>
      <c r="F8980">
        <v>14.4</v>
      </c>
      <c r="G8980">
        <v>13.67</v>
      </c>
      <c r="H8980" t="s">
        <v>17</v>
      </c>
      <c r="I8980" t="str">
        <f>"069112209271"</f>
        <v>069112209271</v>
      </c>
    </row>
    <row r="8981" spans="1:9" x14ac:dyDescent="0.25">
      <c r="A8981" t="s">
        <v>7815</v>
      </c>
      <c r="B8981" t="s">
        <v>13</v>
      </c>
      <c r="C8981">
        <v>35</v>
      </c>
      <c r="D8981">
        <v>35.64</v>
      </c>
      <c r="E8981" t="s">
        <v>17</v>
      </c>
      <c r="F8981">
        <v>21.54</v>
      </c>
      <c r="G8981">
        <v>23.26</v>
      </c>
      <c r="H8981" t="s">
        <v>17</v>
      </c>
      <c r="I8981" t="str">
        <f>"064074006735"</f>
        <v>064074006735</v>
      </c>
    </row>
    <row r="8982" spans="1:9" x14ac:dyDescent="0.25">
      <c r="A8982" t="s">
        <v>7816</v>
      </c>
      <c r="B8982" t="s">
        <v>13</v>
      </c>
      <c r="C8982" t="s">
        <v>14</v>
      </c>
      <c r="D8982" t="s">
        <v>14</v>
      </c>
      <c r="E8982" t="s">
        <v>17</v>
      </c>
      <c r="F8982" t="s">
        <v>14</v>
      </c>
      <c r="G8982" t="s">
        <v>14</v>
      </c>
      <c r="H8982" t="s">
        <v>17</v>
      </c>
      <c r="I8982" t="str">
        <f>"063642012458"</f>
        <v>063642012458</v>
      </c>
    </row>
    <row r="8983" spans="1:9" x14ac:dyDescent="0.25">
      <c r="A8983" t="s">
        <v>7817</v>
      </c>
      <c r="B8983" t="s">
        <v>13</v>
      </c>
      <c r="C8983">
        <v>1</v>
      </c>
      <c r="D8983">
        <v>1</v>
      </c>
      <c r="E8983" t="s">
        <v>17</v>
      </c>
      <c r="F8983">
        <v>7</v>
      </c>
      <c r="G8983">
        <v>9</v>
      </c>
      <c r="H8983" t="s">
        <v>17</v>
      </c>
      <c r="I8983" t="str">
        <f>"061347007814"</f>
        <v>061347007814</v>
      </c>
    </row>
    <row r="8984" spans="1:9" x14ac:dyDescent="0.25">
      <c r="A8984" t="s">
        <v>7818</v>
      </c>
      <c r="B8984" t="s">
        <v>13</v>
      </c>
      <c r="C8984">
        <v>16</v>
      </c>
      <c r="D8984">
        <v>17</v>
      </c>
      <c r="E8984" t="s">
        <v>17</v>
      </c>
      <c r="F8984">
        <v>26.56</v>
      </c>
      <c r="G8984">
        <v>24.65</v>
      </c>
      <c r="H8984" t="s">
        <v>17</v>
      </c>
      <c r="I8984" t="str">
        <f>"062970004623"</f>
        <v>062970004623</v>
      </c>
    </row>
    <row r="8985" spans="1:9" x14ac:dyDescent="0.25">
      <c r="A8985" t="s">
        <v>7819</v>
      </c>
      <c r="B8985" t="s">
        <v>13</v>
      </c>
      <c r="C8985">
        <v>67.2</v>
      </c>
      <c r="D8985">
        <v>67.2</v>
      </c>
      <c r="E8985" t="s">
        <v>17</v>
      </c>
      <c r="F8985">
        <v>19.12</v>
      </c>
      <c r="G8985">
        <v>18.72</v>
      </c>
      <c r="H8985" t="s">
        <v>17</v>
      </c>
      <c r="I8985" t="str">
        <f>"069107807106"</f>
        <v>069107807106</v>
      </c>
    </row>
    <row r="8986" spans="1:9" x14ac:dyDescent="0.25">
      <c r="A8986" t="s">
        <v>7820</v>
      </c>
      <c r="B8986" t="s">
        <v>13</v>
      </c>
      <c r="C8986">
        <v>49.78</v>
      </c>
      <c r="D8986">
        <v>48.05</v>
      </c>
      <c r="E8986" t="s">
        <v>17</v>
      </c>
      <c r="F8986">
        <v>26.52</v>
      </c>
      <c r="G8986">
        <v>26.74</v>
      </c>
      <c r="H8986" t="s">
        <v>17</v>
      </c>
      <c r="I8986" t="str">
        <f>"063705008225"</f>
        <v>063705008225</v>
      </c>
    </row>
    <row r="8987" spans="1:9" x14ac:dyDescent="0.25">
      <c r="A8987" t="s">
        <v>7821</v>
      </c>
      <c r="B8987" t="s">
        <v>13</v>
      </c>
      <c r="C8987" t="s">
        <v>17</v>
      </c>
      <c r="D8987" t="s">
        <v>14</v>
      </c>
      <c r="E8987" t="s">
        <v>14</v>
      </c>
      <c r="F8987" t="s">
        <v>17</v>
      </c>
      <c r="G8987" t="s">
        <v>14</v>
      </c>
      <c r="H8987" t="s">
        <v>14</v>
      </c>
      <c r="I8987" t="str">
        <f>"063705013613"</f>
        <v>063705013613</v>
      </c>
    </row>
    <row r="8988" spans="1:9" x14ac:dyDescent="0.25">
      <c r="A8988" t="s">
        <v>7822</v>
      </c>
      <c r="B8988" t="s">
        <v>13</v>
      </c>
      <c r="C8988" t="s">
        <v>17</v>
      </c>
      <c r="D8988" t="s">
        <v>17</v>
      </c>
      <c r="E8988" t="s">
        <v>17</v>
      </c>
      <c r="F8988" t="s">
        <v>17</v>
      </c>
      <c r="G8988" t="s">
        <v>17</v>
      </c>
      <c r="H8988" t="s">
        <v>17</v>
      </c>
      <c r="I8988" t="str">
        <f>"063705012813"</f>
        <v>063705012813</v>
      </c>
    </row>
    <row r="8989" spans="1:9" x14ac:dyDescent="0.25">
      <c r="A8989" t="s">
        <v>7823</v>
      </c>
      <c r="B8989" t="s">
        <v>13</v>
      </c>
      <c r="C8989">
        <v>36.85</v>
      </c>
      <c r="D8989">
        <v>41.8</v>
      </c>
      <c r="E8989" t="s">
        <v>17</v>
      </c>
      <c r="F8989">
        <v>25.92</v>
      </c>
      <c r="G8989">
        <v>25.77</v>
      </c>
      <c r="H8989" t="s">
        <v>17</v>
      </c>
      <c r="I8989" t="str">
        <f>"061518011203"</f>
        <v>061518011203</v>
      </c>
    </row>
    <row r="8990" spans="1:9" x14ac:dyDescent="0.25">
      <c r="A8990" t="s">
        <v>7824</v>
      </c>
      <c r="B8990" t="s">
        <v>13</v>
      </c>
      <c r="C8990">
        <v>27.54</v>
      </c>
      <c r="D8990">
        <v>25</v>
      </c>
      <c r="E8990" t="s">
        <v>17</v>
      </c>
      <c r="F8990">
        <v>22.44</v>
      </c>
      <c r="G8990">
        <v>23.92</v>
      </c>
      <c r="H8990" t="s">
        <v>17</v>
      </c>
      <c r="I8990" t="str">
        <f>"063711006295"</f>
        <v>063711006295</v>
      </c>
    </row>
    <row r="8991" spans="1:9" x14ac:dyDescent="0.25">
      <c r="A8991" t="s">
        <v>7825</v>
      </c>
      <c r="B8991" t="s">
        <v>13</v>
      </c>
      <c r="C8991">
        <v>2</v>
      </c>
      <c r="D8991">
        <v>1</v>
      </c>
      <c r="E8991" t="s">
        <v>17</v>
      </c>
      <c r="F8991">
        <v>21.5</v>
      </c>
      <c r="G8991">
        <v>50</v>
      </c>
      <c r="H8991" t="s">
        <v>17</v>
      </c>
      <c r="I8991" t="str">
        <f>"060004611204"</f>
        <v>060004611204</v>
      </c>
    </row>
    <row r="8992" spans="1:9" x14ac:dyDescent="0.25">
      <c r="A8992" t="s">
        <v>7826</v>
      </c>
      <c r="B8992" t="s">
        <v>13</v>
      </c>
      <c r="C8992">
        <v>17.8</v>
      </c>
      <c r="D8992">
        <v>16.8</v>
      </c>
      <c r="E8992" t="s">
        <v>17</v>
      </c>
      <c r="F8992">
        <v>20.45</v>
      </c>
      <c r="G8992">
        <v>21.55</v>
      </c>
      <c r="H8992" t="s">
        <v>17</v>
      </c>
      <c r="I8992" t="str">
        <f>"060444000408"</f>
        <v>060444000408</v>
      </c>
    </row>
    <row r="8993" spans="1:9" x14ac:dyDescent="0.25">
      <c r="A8993" t="s">
        <v>7827</v>
      </c>
      <c r="B8993" t="s">
        <v>13</v>
      </c>
      <c r="C8993">
        <v>38.76</v>
      </c>
      <c r="D8993">
        <v>37.5</v>
      </c>
      <c r="E8993" t="s">
        <v>17</v>
      </c>
      <c r="F8993">
        <v>21.36</v>
      </c>
      <c r="G8993">
        <v>23.25</v>
      </c>
      <c r="H8993" t="s">
        <v>17</v>
      </c>
      <c r="I8993" t="str">
        <f>"063867006500"</f>
        <v>063867006500</v>
      </c>
    </row>
    <row r="8994" spans="1:9" x14ac:dyDescent="0.25">
      <c r="A8994" t="s">
        <v>7828</v>
      </c>
      <c r="B8994" t="s">
        <v>13</v>
      </c>
      <c r="C8994" t="s">
        <v>14</v>
      </c>
      <c r="D8994">
        <v>17.399999999999999</v>
      </c>
      <c r="E8994" t="s">
        <v>17</v>
      </c>
      <c r="F8994" t="s">
        <v>17</v>
      </c>
      <c r="G8994">
        <v>8.33</v>
      </c>
      <c r="H8994" t="s">
        <v>17</v>
      </c>
      <c r="I8994" t="str">
        <f>"063714011366"</f>
        <v>063714011366</v>
      </c>
    </row>
    <row r="8995" spans="1:9" x14ac:dyDescent="0.25">
      <c r="A8995" t="s">
        <v>7829</v>
      </c>
      <c r="B8995" t="s">
        <v>13</v>
      </c>
      <c r="C8995">
        <v>13.1</v>
      </c>
      <c r="D8995">
        <v>14.1</v>
      </c>
      <c r="E8995" t="s">
        <v>17</v>
      </c>
      <c r="F8995">
        <v>19.16</v>
      </c>
      <c r="G8995">
        <v>17.940000000000001</v>
      </c>
      <c r="H8995" t="s">
        <v>17</v>
      </c>
      <c r="I8995" t="str">
        <f>"063714006296"</f>
        <v>063714006296</v>
      </c>
    </row>
    <row r="8996" spans="1:9" x14ac:dyDescent="0.25">
      <c r="A8996" t="s">
        <v>7830</v>
      </c>
      <c r="B8996" t="s">
        <v>13</v>
      </c>
      <c r="C8996">
        <v>12.1</v>
      </c>
      <c r="D8996">
        <v>11.35</v>
      </c>
      <c r="E8996" t="s">
        <v>17</v>
      </c>
      <c r="F8996">
        <v>18.760000000000002</v>
      </c>
      <c r="G8996">
        <v>20.53</v>
      </c>
      <c r="H8996" t="s">
        <v>17</v>
      </c>
      <c r="I8996" t="str">
        <f>"063720004112"</f>
        <v>063720004112</v>
      </c>
    </row>
    <row r="8997" spans="1:9" x14ac:dyDescent="0.25">
      <c r="A8997" t="s">
        <v>7831</v>
      </c>
      <c r="B8997" t="s">
        <v>13</v>
      </c>
      <c r="C8997">
        <v>8</v>
      </c>
      <c r="D8997">
        <v>7</v>
      </c>
      <c r="E8997" t="s">
        <v>17</v>
      </c>
      <c r="F8997">
        <v>28</v>
      </c>
      <c r="G8997">
        <v>28.57</v>
      </c>
      <c r="H8997" t="s">
        <v>17</v>
      </c>
      <c r="I8997" t="str">
        <f>"069104010682"</f>
        <v>069104010682</v>
      </c>
    </row>
    <row r="8998" spans="1:9" x14ac:dyDescent="0.25">
      <c r="A8998" t="s">
        <v>7832</v>
      </c>
      <c r="B8998" t="s">
        <v>13</v>
      </c>
      <c r="C8998">
        <v>7.7</v>
      </c>
      <c r="D8998">
        <v>7</v>
      </c>
      <c r="E8998" t="s">
        <v>17</v>
      </c>
      <c r="F8998">
        <v>13.51</v>
      </c>
      <c r="G8998">
        <v>17.14</v>
      </c>
      <c r="H8998" t="s">
        <v>17</v>
      </c>
      <c r="I8998" t="str">
        <f>"069104009253"</f>
        <v>069104009253</v>
      </c>
    </row>
    <row r="8999" spans="1:9" x14ac:dyDescent="0.25">
      <c r="A8999" t="s">
        <v>7833</v>
      </c>
      <c r="B8999" t="s">
        <v>13</v>
      </c>
      <c r="C8999" t="s">
        <v>17</v>
      </c>
      <c r="D8999" t="s">
        <v>17</v>
      </c>
      <c r="E8999" t="s">
        <v>17</v>
      </c>
      <c r="F8999" t="s">
        <v>17</v>
      </c>
      <c r="G8999" t="s">
        <v>17</v>
      </c>
      <c r="H8999" t="s">
        <v>17</v>
      </c>
      <c r="I8999" t="str">
        <f>"060012911485"</f>
        <v>060012911485</v>
      </c>
    </row>
    <row r="9000" spans="1:9" x14ac:dyDescent="0.25">
      <c r="A9000" t="s">
        <v>7834</v>
      </c>
      <c r="B9000" t="s">
        <v>13</v>
      </c>
      <c r="C9000">
        <v>50</v>
      </c>
      <c r="D9000">
        <v>49</v>
      </c>
      <c r="E9000" t="s">
        <v>17</v>
      </c>
      <c r="F9000">
        <v>10.3</v>
      </c>
      <c r="G9000">
        <v>9.94</v>
      </c>
      <c r="H9000" t="s">
        <v>17</v>
      </c>
      <c r="I9000" t="str">
        <f>"069104007225"</f>
        <v>069104007225</v>
      </c>
    </row>
    <row r="9001" spans="1:9" x14ac:dyDescent="0.25">
      <c r="A9001" t="s">
        <v>7835</v>
      </c>
      <c r="B9001" t="s">
        <v>13</v>
      </c>
      <c r="C9001">
        <v>19.8</v>
      </c>
      <c r="D9001">
        <v>19.8</v>
      </c>
      <c r="E9001" t="s">
        <v>17</v>
      </c>
      <c r="F9001">
        <v>22.58</v>
      </c>
      <c r="G9001">
        <v>21.77</v>
      </c>
      <c r="H9001" t="s">
        <v>17</v>
      </c>
      <c r="I9001" t="str">
        <f>"062513003751"</f>
        <v>062513003751</v>
      </c>
    </row>
    <row r="9002" spans="1:9" x14ac:dyDescent="0.25">
      <c r="A9002" t="s">
        <v>7836</v>
      </c>
      <c r="B9002" t="s">
        <v>13</v>
      </c>
      <c r="C9002">
        <v>15</v>
      </c>
      <c r="D9002">
        <v>15.5</v>
      </c>
      <c r="E9002" t="s">
        <v>17</v>
      </c>
      <c r="F9002">
        <v>28.93</v>
      </c>
      <c r="G9002">
        <v>28.13</v>
      </c>
      <c r="H9002" t="s">
        <v>17</v>
      </c>
      <c r="I9002" t="str">
        <f>"062832007455"</f>
        <v>062832007455</v>
      </c>
    </row>
    <row r="9003" spans="1:9" x14ac:dyDescent="0.25">
      <c r="A9003" t="s">
        <v>7837</v>
      </c>
      <c r="B9003" t="s">
        <v>13</v>
      </c>
      <c r="C9003">
        <v>2</v>
      </c>
      <c r="D9003">
        <v>2</v>
      </c>
      <c r="E9003" t="s">
        <v>17</v>
      </c>
      <c r="F9003">
        <v>12</v>
      </c>
      <c r="G9003">
        <v>10</v>
      </c>
      <c r="H9003" t="s">
        <v>17</v>
      </c>
      <c r="I9003" t="str">
        <f>"063025001788"</f>
        <v>063025001788</v>
      </c>
    </row>
    <row r="9004" spans="1:9" x14ac:dyDescent="0.25">
      <c r="A9004" t="s">
        <v>7838</v>
      </c>
      <c r="B9004" t="s">
        <v>13</v>
      </c>
      <c r="C9004">
        <v>66.599999999999994</v>
      </c>
      <c r="D9004">
        <v>66.87</v>
      </c>
      <c r="E9004" t="s">
        <v>17</v>
      </c>
      <c r="F9004">
        <v>19.97</v>
      </c>
      <c r="G9004">
        <v>19.98</v>
      </c>
      <c r="H9004" t="s">
        <v>17</v>
      </c>
      <c r="I9004" t="str">
        <f>"063720006304"</f>
        <v>063720006304</v>
      </c>
    </row>
    <row r="9005" spans="1:9" x14ac:dyDescent="0.25">
      <c r="A9005" t="s">
        <v>7839</v>
      </c>
      <c r="B9005" t="s">
        <v>13</v>
      </c>
      <c r="C9005">
        <v>30.4</v>
      </c>
      <c r="D9005">
        <v>32.9</v>
      </c>
      <c r="E9005" t="s">
        <v>17</v>
      </c>
      <c r="F9005">
        <v>21.78</v>
      </c>
      <c r="G9005">
        <v>20.67</v>
      </c>
      <c r="H9005" t="s">
        <v>17</v>
      </c>
      <c r="I9005" t="str">
        <f>"063723006305"</f>
        <v>063723006305</v>
      </c>
    </row>
    <row r="9006" spans="1:9" x14ac:dyDescent="0.25">
      <c r="A9006" t="s">
        <v>7839</v>
      </c>
      <c r="B9006" t="s">
        <v>13</v>
      </c>
      <c r="C9006">
        <v>25</v>
      </c>
      <c r="D9006">
        <v>25.6</v>
      </c>
      <c r="E9006" t="s">
        <v>17</v>
      </c>
      <c r="F9006">
        <v>21.48</v>
      </c>
      <c r="G9006">
        <v>22.11</v>
      </c>
      <c r="H9006" t="s">
        <v>17</v>
      </c>
      <c r="I9006" t="str">
        <f>"062724004130"</f>
        <v>062724004130</v>
      </c>
    </row>
    <row r="9007" spans="1:9" x14ac:dyDescent="0.25">
      <c r="A9007" t="s">
        <v>7840</v>
      </c>
      <c r="B9007" t="s">
        <v>13</v>
      </c>
      <c r="C9007">
        <v>73.2</v>
      </c>
      <c r="D9007">
        <v>76.8</v>
      </c>
      <c r="E9007" t="s">
        <v>17</v>
      </c>
      <c r="F9007">
        <v>26.56</v>
      </c>
      <c r="G9007">
        <v>26.17</v>
      </c>
      <c r="H9007" t="s">
        <v>17</v>
      </c>
      <c r="I9007" t="str">
        <f>"061476001814"</f>
        <v>061476001814</v>
      </c>
    </row>
    <row r="9008" spans="1:9" x14ac:dyDescent="0.25">
      <c r="A9008" t="s">
        <v>7840</v>
      </c>
      <c r="B9008" t="s">
        <v>13</v>
      </c>
      <c r="C9008">
        <v>42.74</v>
      </c>
      <c r="D9008">
        <v>42.65</v>
      </c>
      <c r="E9008" t="s">
        <v>17</v>
      </c>
      <c r="F9008">
        <v>24.89</v>
      </c>
      <c r="G9008">
        <v>25.98</v>
      </c>
      <c r="H9008" t="s">
        <v>17</v>
      </c>
      <c r="I9008" t="str">
        <f>"063726006306"</f>
        <v>063726006306</v>
      </c>
    </row>
    <row r="9009" spans="1:9" x14ac:dyDescent="0.25">
      <c r="A9009" t="s">
        <v>7841</v>
      </c>
      <c r="B9009" t="s">
        <v>13</v>
      </c>
      <c r="C9009" t="s">
        <v>17</v>
      </c>
      <c r="D9009" t="s">
        <v>17</v>
      </c>
      <c r="E9009" t="s">
        <v>17</v>
      </c>
      <c r="F9009" t="s">
        <v>17</v>
      </c>
      <c r="G9009" t="s">
        <v>17</v>
      </c>
      <c r="H9009" t="s">
        <v>17</v>
      </c>
      <c r="I9009" t="str">
        <f>"063726007473"</f>
        <v>063726007473</v>
      </c>
    </row>
    <row r="9010" spans="1:9" x14ac:dyDescent="0.25">
      <c r="A9010" t="s">
        <v>7842</v>
      </c>
      <c r="B9010" t="s">
        <v>13</v>
      </c>
      <c r="C9010">
        <v>29</v>
      </c>
      <c r="D9010">
        <v>27.77</v>
      </c>
      <c r="E9010" t="s">
        <v>17</v>
      </c>
      <c r="F9010">
        <v>8.0299999999999994</v>
      </c>
      <c r="G9010">
        <v>8.61</v>
      </c>
      <c r="H9010" t="s">
        <v>17</v>
      </c>
      <c r="I9010" t="str">
        <f>"062271007764"</f>
        <v>062271007764</v>
      </c>
    </row>
    <row r="9011" spans="1:9" x14ac:dyDescent="0.25">
      <c r="A9011" t="s">
        <v>7843</v>
      </c>
      <c r="B9011" t="s">
        <v>13</v>
      </c>
      <c r="C9011">
        <v>15</v>
      </c>
      <c r="D9011">
        <v>19.5</v>
      </c>
      <c r="E9011" t="s">
        <v>17</v>
      </c>
      <c r="F9011">
        <v>28.2</v>
      </c>
      <c r="G9011">
        <v>25.13</v>
      </c>
      <c r="H9011" t="s">
        <v>17</v>
      </c>
      <c r="I9011" t="str">
        <f>"063729006311"</f>
        <v>063729006311</v>
      </c>
    </row>
    <row r="9012" spans="1:9" x14ac:dyDescent="0.25">
      <c r="A9012" t="s">
        <v>7844</v>
      </c>
      <c r="B9012" t="s">
        <v>13</v>
      </c>
      <c r="C9012">
        <v>39.700000000000003</v>
      </c>
      <c r="D9012">
        <v>39.72</v>
      </c>
      <c r="E9012" t="s">
        <v>17</v>
      </c>
      <c r="F9012">
        <v>26.52</v>
      </c>
      <c r="G9012">
        <v>25.25</v>
      </c>
      <c r="H9012" t="s">
        <v>17</v>
      </c>
      <c r="I9012" t="str">
        <f>"063560006068"</f>
        <v>063560006068</v>
      </c>
    </row>
    <row r="9013" spans="1:9" x14ac:dyDescent="0.25">
      <c r="A9013" t="s">
        <v>7845</v>
      </c>
      <c r="B9013" t="s">
        <v>13</v>
      </c>
      <c r="C9013">
        <v>13</v>
      </c>
      <c r="D9013">
        <v>13.5</v>
      </c>
      <c r="E9013" t="s">
        <v>17</v>
      </c>
      <c r="F9013">
        <v>20</v>
      </c>
      <c r="G9013">
        <v>20.22</v>
      </c>
      <c r="H9013" t="s">
        <v>17</v>
      </c>
      <c r="I9013" t="str">
        <f>"062271003362"</f>
        <v>062271003362</v>
      </c>
    </row>
    <row r="9014" spans="1:9" x14ac:dyDescent="0.25">
      <c r="A9014" t="s">
        <v>7846</v>
      </c>
      <c r="B9014" t="s">
        <v>13</v>
      </c>
      <c r="C9014">
        <v>21.24</v>
      </c>
      <c r="D9014">
        <v>20.41</v>
      </c>
      <c r="E9014" t="s">
        <v>17</v>
      </c>
      <c r="F9014">
        <v>22.65</v>
      </c>
      <c r="G9014">
        <v>24.64</v>
      </c>
      <c r="H9014" t="s">
        <v>17</v>
      </c>
      <c r="I9014" t="str">
        <f>"063732006312"</f>
        <v>063732006312</v>
      </c>
    </row>
    <row r="9015" spans="1:9" x14ac:dyDescent="0.25">
      <c r="A9015" t="s">
        <v>7847</v>
      </c>
      <c r="B9015" t="s">
        <v>13</v>
      </c>
      <c r="C9015">
        <v>5.2</v>
      </c>
      <c r="D9015">
        <v>5.33</v>
      </c>
      <c r="E9015" t="s">
        <v>14</v>
      </c>
      <c r="F9015">
        <v>15.19</v>
      </c>
      <c r="G9015">
        <v>12.76</v>
      </c>
      <c r="H9015" t="s">
        <v>14</v>
      </c>
      <c r="I9015" t="str">
        <f>"063735012891"</f>
        <v>063735012891</v>
      </c>
    </row>
    <row r="9016" spans="1:9" x14ac:dyDescent="0.25">
      <c r="A9016" t="s">
        <v>7848</v>
      </c>
      <c r="B9016" t="s">
        <v>13</v>
      </c>
      <c r="C9016">
        <v>9.32</v>
      </c>
      <c r="D9016">
        <v>10</v>
      </c>
      <c r="E9016" t="s">
        <v>17</v>
      </c>
      <c r="F9016">
        <v>17.920000000000002</v>
      </c>
      <c r="G9016">
        <v>17.399999999999999</v>
      </c>
      <c r="H9016" t="s">
        <v>17</v>
      </c>
      <c r="I9016" t="str">
        <f>"063735006314"</f>
        <v>063735006314</v>
      </c>
    </row>
    <row r="9017" spans="1:9" x14ac:dyDescent="0.25">
      <c r="A9017" t="s">
        <v>7849</v>
      </c>
      <c r="B9017" t="s">
        <v>13</v>
      </c>
      <c r="C9017" t="str">
        <f>"0.95"</f>
        <v>0.95</v>
      </c>
      <c r="D9017" t="str">
        <f>"0.95"</f>
        <v>0.95</v>
      </c>
      <c r="E9017" t="s">
        <v>17</v>
      </c>
      <c r="F9017">
        <v>15.79</v>
      </c>
      <c r="G9017">
        <v>13.68</v>
      </c>
      <c r="H9017" t="s">
        <v>17</v>
      </c>
      <c r="I9017" t="str">
        <f>"063123007331"</f>
        <v>063123007331</v>
      </c>
    </row>
    <row r="9018" spans="1:9" x14ac:dyDescent="0.25">
      <c r="A9018" t="s">
        <v>7850</v>
      </c>
      <c r="B9018" t="s">
        <v>13</v>
      </c>
      <c r="C9018" t="s">
        <v>17</v>
      </c>
      <c r="D9018" t="s">
        <v>17</v>
      </c>
      <c r="E9018" t="s">
        <v>17</v>
      </c>
      <c r="F9018" t="s">
        <v>17</v>
      </c>
      <c r="G9018" t="s">
        <v>17</v>
      </c>
      <c r="H9018" t="s">
        <v>17</v>
      </c>
      <c r="I9018" t="str">
        <f>"060012210997"</f>
        <v>060012210997</v>
      </c>
    </row>
    <row r="9019" spans="1:9" x14ac:dyDescent="0.25">
      <c r="A9019" t="s">
        <v>7851</v>
      </c>
      <c r="B9019" t="s">
        <v>13</v>
      </c>
      <c r="C9019" t="s">
        <v>14</v>
      </c>
      <c r="D9019">
        <v>1</v>
      </c>
      <c r="E9019" t="s">
        <v>17</v>
      </c>
      <c r="F9019" t="s">
        <v>17</v>
      </c>
      <c r="G9019">
        <v>8</v>
      </c>
      <c r="H9019" t="s">
        <v>17</v>
      </c>
      <c r="I9019" t="str">
        <f>"069103312008"</f>
        <v>069103312008</v>
      </c>
    </row>
    <row r="9020" spans="1:9" x14ac:dyDescent="0.25">
      <c r="A9020" t="s">
        <v>7852</v>
      </c>
      <c r="B9020" t="s">
        <v>13</v>
      </c>
      <c r="C9020" t="s">
        <v>17</v>
      </c>
      <c r="D9020" t="s">
        <v>17</v>
      </c>
      <c r="E9020" t="s">
        <v>17</v>
      </c>
      <c r="F9020" t="s">
        <v>17</v>
      </c>
      <c r="G9020" t="s">
        <v>17</v>
      </c>
      <c r="H9020" t="s">
        <v>17</v>
      </c>
      <c r="I9020" t="str">
        <f>"060768011942"</f>
        <v>060768011942</v>
      </c>
    </row>
    <row r="9021" spans="1:9" x14ac:dyDescent="0.25">
      <c r="A9021" t="s">
        <v>7852</v>
      </c>
      <c r="B9021" t="s">
        <v>13</v>
      </c>
      <c r="C9021">
        <v>1</v>
      </c>
      <c r="D9021">
        <v>1</v>
      </c>
      <c r="E9021" t="s">
        <v>17</v>
      </c>
      <c r="F9021">
        <v>5</v>
      </c>
      <c r="G9021">
        <v>2</v>
      </c>
      <c r="H9021" t="s">
        <v>17</v>
      </c>
      <c r="I9021" t="str">
        <f>"063694011805"</f>
        <v>063694011805</v>
      </c>
    </row>
    <row r="9022" spans="1:9" x14ac:dyDescent="0.25">
      <c r="A9022" t="s">
        <v>7853</v>
      </c>
      <c r="B9022" t="s">
        <v>13</v>
      </c>
      <c r="C9022">
        <v>84.35</v>
      </c>
      <c r="D9022">
        <v>111.07</v>
      </c>
      <c r="E9022" t="s">
        <v>17</v>
      </c>
      <c r="F9022">
        <v>30.72</v>
      </c>
      <c r="G9022">
        <v>26.04</v>
      </c>
      <c r="H9022" t="s">
        <v>17</v>
      </c>
      <c r="I9022" t="str">
        <f>"062271010888"</f>
        <v>062271010888</v>
      </c>
    </row>
    <row r="9023" spans="1:9" x14ac:dyDescent="0.25">
      <c r="A9023" t="s">
        <v>7854</v>
      </c>
      <c r="B9023" t="s">
        <v>13</v>
      </c>
      <c r="C9023">
        <v>74.52</v>
      </c>
      <c r="D9023">
        <v>75.39</v>
      </c>
      <c r="E9023" t="s">
        <v>17</v>
      </c>
      <c r="F9023">
        <v>19.97</v>
      </c>
      <c r="G9023">
        <v>20.37</v>
      </c>
      <c r="H9023" t="s">
        <v>17</v>
      </c>
      <c r="I9023" t="str">
        <f>"061212000439"</f>
        <v>061212000439</v>
      </c>
    </row>
    <row r="9024" spans="1:9" x14ac:dyDescent="0.25">
      <c r="A9024" t="s">
        <v>7855</v>
      </c>
      <c r="B9024" t="s">
        <v>13</v>
      </c>
      <c r="C9024" t="s">
        <v>14</v>
      </c>
      <c r="D9024">
        <v>1</v>
      </c>
      <c r="E9024" t="s">
        <v>17</v>
      </c>
      <c r="F9024" t="s">
        <v>17</v>
      </c>
      <c r="G9024">
        <v>17</v>
      </c>
      <c r="H9024" t="s">
        <v>17</v>
      </c>
      <c r="I9024" t="str">
        <f>"062519003766"</f>
        <v>062519003766</v>
      </c>
    </row>
    <row r="9025" spans="1:9" x14ac:dyDescent="0.25">
      <c r="A9025" t="s">
        <v>7855</v>
      </c>
      <c r="B9025" t="s">
        <v>13</v>
      </c>
      <c r="C9025">
        <v>4.47</v>
      </c>
      <c r="D9025">
        <v>7.92</v>
      </c>
      <c r="E9025" t="s">
        <v>17</v>
      </c>
      <c r="F9025">
        <v>22.15</v>
      </c>
      <c r="G9025">
        <v>17.8</v>
      </c>
      <c r="H9025" t="s">
        <v>17</v>
      </c>
      <c r="I9025" t="str">
        <f>"063747006331"</f>
        <v>063747006331</v>
      </c>
    </row>
    <row r="9026" spans="1:9" x14ac:dyDescent="0.25">
      <c r="A9026" t="s">
        <v>7856</v>
      </c>
      <c r="B9026" t="s">
        <v>13</v>
      </c>
      <c r="C9026">
        <v>2</v>
      </c>
      <c r="D9026">
        <v>2</v>
      </c>
      <c r="E9026" t="s">
        <v>17</v>
      </c>
      <c r="F9026" t="str">
        <f>"0.50"</f>
        <v>0.50</v>
      </c>
      <c r="G9026">
        <v>1.5</v>
      </c>
      <c r="H9026" t="s">
        <v>17</v>
      </c>
      <c r="I9026" t="str">
        <f>"063828010105"</f>
        <v>063828010105</v>
      </c>
    </row>
    <row r="9027" spans="1:9" x14ac:dyDescent="0.25">
      <c r="A9027" t="s">
        <v>7857</v>
      </c>
      <c r="B9027" t="s">
        <v>13</v>
      </c>
      <c r="C9027">
        <v>1.5</v>
      </c>
      <c r="D9027" t="s">
        <v>14</v>
      </c>
      <c r="E9027" t="s">
        <v>14</v>
      </c>
      <c r="F9027">
        <v>39.33</v>
      </c>
      <c r="G9027" t="s">
        <v>14</v>
      </c>
      <c r="H9027" t="s">
        <v>14</v>
      </c>
      <c r="I9027" t="str">
        <f>"063747013066"</f>
        <v>063747013066</v>
      </c>
    </row>
    <row r="9028" spans="1:9" x14ac:dyDescent="0.25">
      <c r="A9028" t="s">
        <v>7858</v>
      </c>
      <c r="B9028" t="s">
        <v>13</v>
      </c>
      <c r="C9028">
        <v>16.55</v>
      </c>
      <c r="D9028">
        <v>17.2</v>
      </c>
      <c r="E9028" t="s">
        <v>17</v>
      </c>
      <c r="F9028">
        <v>13.17</v>
      </c>
      <c r="G9028">
        <v>16.22</v>
      </c>
      <c r="H9028" t="s">
        <v>17</v>
      </c>
      <c r="I9028" t="str">
        <f>"063759006369"</f>
        <v>063759006369</v>
      </c>
    </row>
    <row r="9029" spans="1:9" x14ac:dyDescent="0.25">
      <c r="A9029" t="s">
        <v>7859</v>
      </c>
      <c r="B9029" t="s">
        <v>13</v>
      </c>
      <c r="C9029">
        <v>4.8600000000000003</v>
      </c>
      <c r="D9029">
        <v>6.08</v>
      </c>
      <c r="E9029" t="s">
        <v>17</v>
      </c>
      <c r="F9029">
        <v>23.87</v>
      </c>
      <c r="G9029">
        <v>21.88</v>
      </c>
      <c r="H9029" t="s">
        <v>17</v>
      </c>
      <c r="I9029" t="str">
        <f>"063747008704"</f>
        <v>063747008704</v>
      </c>
    </row>
    <row r="9030" spans="1:9" x14ac:dyDescent="0.25">
      <c r="A9030" t="s">
        <v>7860</v>
      </c>
      <c r="B9030" t="s">
        <v>13</v>
      </c>
      <c r="C9030" t="s">
        <v>14</v>
      </c>
      <c r="D9030">
        <v>21.1</v>
      </c>
      <c r="E9030" t="s">
        <v>17</v>
      </c>
      <c r="F9030" t="s">
        <v>14</v>
      </c>
      <c r="G9030">
        <v>20.95</v>
      </c>
      <c r="H9030" t="s">
        <v>17</v>
      </c>
      <c r="I9030" t="str">
        <f>"061416001618"</f>
        <v>061416001618</v>
      </c>
    </row>
    <row r="9031" spans="1:9" x14ac:dyDescent="0.25">
      <c r="A9031" t="s">
        <v>7860</v>
      </c>
      <c r="B9031" t="s">
        <v>13</v>
      </c>
      <c r="C9031" t="s">
        <v>17</v>
      </c>
      <c r="D9031" t="s">
        <v>14</v>
      </c>
      <c r="E9031" t="s">
        <v>14</v>
      </c>
      <c r="F9031" t="s">
        <v>17</v>
      </c>
      <c r="G9031" t="s">
        <v>14</v>
      </c>
      <c r="H9031" t="s">
        <v>14</v>
      </c>
      <c r="I9031" t="str">
        <f>"060142001618"</f>
        <v>060142001618</v>
      </c>
    </row>
    <row r="9032" spans="1:9" x14ac:dyDescent="0.25">
      <c r="A9032" t="s">
        <v>7861</v>
      </c>
      <c r="B9032" t="s">
        <v>13</v>
      </c>
      <c r="C9032">
        <v>85.75</v>
      </c>
      <c r="D9032">
        <v>106.03</v>
      </c>
      <c r="E9032" t="s">
        <v>17</v>
      </c>
      <c r="F9032">
        <v>27.78</v>
      </c>
      <c r="G9032">
        <v>24.6</v>
      </c>
      <c r="H9032" t="s">
        <v>17</v>
      </c>
      <c r="I9032" t="str">
        <f>"062271003363"</f>
        <v>062271003363</v>
      </c>
    </row>
    <row r="9033" spans="1:9" x14ac:dyDescent="0.25">
      <c r="A9033" t="s">
        <v>7862</v>
      </c>
      <c r="B9033" t="s">
        <v>13</v>
      </c>
      <c r="C9033">
        <v>93.25</v>
      </c>
      <c r="D9033">
        <v>118.05</v>
      </c>
      <c r="E9033" t="s">
        <v>17</v>
      </c>
      <c r="F9033">
        <v>33.520000000000003</v>
      </c>
      <c r="G9033">
        <v>28.12</v>
      </c>
      <c r="H9033" t="s">
        <v>17</v>
      </c>
      <c r="I9033" t="str">
        <f>"062271003364"</f>
        <v>062271003364</v>
      </c>
    </row>
    <row r="9034" spans="1:9" x14ac:dyDescent="0.25">
      <c r="A9034" t="s">
        <v>7863</v>
      </c>
      <c r="B9034" t="s">
        <v>13</v>
      </c>
      <c r="C9034">
        <v>87.08</v>
      </c>
      <c r="D9034">
        <v>82.02</v>
      </c>
      <c r="E9034" t="s">
        <v>17</v>
      </c>
      <c r="F9034">
        <v>25.05</v>
      </c>
      <c r="G9034">
        <v>26.07</v>
      </c>
      <c r="H9034" t="s">
        <v>17</v>
      </c>
      <c r="I9034" t="str">
        <f>"063942006573"</f>
        <v>063942006573</v>
      </c>
    </row>
    <row r="9035" spans="1:9" x14ac:dyDescent="0.25">
      <c r="A9035" t="s">
        <v>7863</v>
      </c>
      <c r="B9035" t="s">
        <v>13</v>
      </c>
      <c r="C9035">
        <v>77.91</v>
      </c>
      <c r="D9035">
        <v>67.459999999999994</v>
      </c>
      <c r="E9035" t="s">
        <v>17</v>
      </c>
      <c r="F9035">
        <v>25.21</v>
      </c>
      <c r="G9035">
        <v>29.37</v>
      </c>
      <c r="H9035" t="s">
        <v>17</v>
      </c>
      <c r="I9035" t="str">
        <f>"061954002353"</f>
        <v>061954002353</v>
      </c>
    </row>
    <row r="9036" spans="1:9" x14ac:dyDescent="0.25">
      <c r="A9036" t="s">
        <v>7864</v>
      </c>
      <c r="B9036" t="s">
        <v>13</v>
      </c>
      <c r="C9036">
        <v>74.31</v>
      </c>
      <c r="D9036">
        <v>73.599999999999994</v>
      </c>
      <c r="E9036" t="s">
        <v>17</v>
      </c>
      <c r="F9036">
        <v>25.51</v>
      </c>
      <c r="G9036">
        <v>26.54</v>
      </c>
      <c r="H9036" t="s">
        <v>17</v>
      </c>
      <c r="I9036" t="str">
        <f>"061005001105"</f>
        <v>061005001105</v>
      </c>
    </row>
    <row r="9037" spans="1:9" x14ac:dyDescent="0.25">
      <c r="A9037" t="s">
        <v>7865</v>
      </c>
      <c r="B9037" t="s">
        <v>13</v>
      </c>
      <c r="C9037">
        <v>17.079999999999998</v>
      </c>
      <c r="D9037">
        <v>19.170000000000002</v>
      </c>
      <c r="E9037" t="s">
        <v>17</v>
      </c>
      <c r="F9037">
        <v>15.28</v>
      </c>
      <c r="G9037">
        <v>13.3</v>
      </c>
      <c r="H9037" t="s">
        <v>17</v>
      </c>
      <c r="I9037" t="str">
        <f>"061719002174"</f>
        <v>061719002174</v>
      </c>
    </row>
    <row r="9038" spans="1:9" x14ac:dyDescent="0.25">
      <c r="A9038" t="s">
        <v>7866</v>
      </c>
      <c r="B9038" t="s">
        <v>13</v>
      </c>
      <c r="C9038">
        <v>75.849999999999994</v>
      </c>
      <c r="D9038">
        <v>73.98</v>
      </c>
      <c r="E9038" t="s">
        <v>17</v>
      </c>
      <c r="F9038">
        <v>20.76</v>
      </c>
      <c r="G9038">
        <v>20.97</v>
      </c>
      <c r="H9038" t="s">
        <v>17</v>
      </c>
      <c r="I9038" t="str">
        <f>"060263000188"</f>
        <v>060263000188</v>
      </c>
    </row>
    <row r="9039" spans="1:9" x14ac:dyDescent="0.25">
      <c r="A9039" t="s">
        <v>7867</v>
      </c>
      <c r="B9039" t="s">
        <v>13</v>
      </c>
      <c r="C9039">
        <v>26.54</v>
      </c>
      <c r="D9039">
        <v>24.08</v>
      </c>
      <c r="E9039" t="s">
        <v>17</v>
      </c>
      <c r="F9039">
        <v>24.64</v>
      </c>
      <c r="G9039">
        <v>24.38</v>
      </c>
      <c r="H9039" t="s">
        <v>17</v>
      </c>
      <c r="I9039" t="str">
        <f>"068450003493"</f>
        <v>068450003493</v>
      </c>
    </row>
    <row r="9040" spans="1:9" x14ac:dyDescent="0.25">
      <c r="A9040" t="s">
        <v>7868</v>
      </c>
      <c r="B9040" t="s">
        <v>13</v>
      </c>
      <c r="C9040">
        <v>3.6</v>
      </c>
      <c r="D9040">
        <v>2.2999999999999998</v>
      </c>
      <c r="E9040" t="s">
        <v>17</v>
      </c>
      <c r="F9040">
        <v>32.5</v>
      </c>
      <c r="G9040">
        <v>48.7</v>
      </c>
      <c r="H9040" t="s">
        <v>17</v>
      </c>
      <c r="I9040" t="str">
        <f>"062409002879"</f>
        <v>062409002879</v>
      </c>
    </row>
    <row r="9041" spans="1:9" x14ac:dyDescent="0.25">
      <c r="A9041" t="s">
        <v>7869</v>
      </c>
      <c r="B9041" t="s">
        <v>13</v>
      </c>
      <c r="C9041" t="s">
        <v>14</v>
      </c>
      <c r="D9041">
        <v>3.9</v>
      </c>
      <c r="E9041" t="s">
        <v>17</v>
      </c>
      <c r="F9041" t="s">
        <v>17</v>
      </c>
      <c r="G9041">
        <v>25.64</v>
      </c>
      <c r="H9041" t="s">
        <v>17</v>
      </c>
      <c r="I9041" t="str">
        <f>"061965012744"</f>
        <v>061965012744</v>
      </c>
    </row>
    <row r="9042" spans="1:9" x14ac:dyDescent="0.25">
      <c r="A9042" t="s">
        <v>7870</v>
      </c>
      <c r="B9042" t="s">
        <v>13</v>
      </c>
      <c r="C9042">
        <v>28.25</v>
      </c>
      <c r="D9042">
        <v>29.82</v>
      </c>
      <c r="E9042" t="s">
        <v>17</v>
      </c>
      <c r="F9042">
        <v>27.5</v>
      </c>
      <c r="G9042">
        <v>24.31</v>
      </c>
      <c r="H9042" t="s">
        <v>17</v>
      </c>
      <c r="I9042" t="str">
        <f>"062825004374"</f>
        <v>062825004374</v>
      </c>
    </row>
    <row r="9043" spans="1:9" x14ac:dyDescent="0.25">
      <c r="A9043" t="s">
        <v>7871</v>
      </c>
      <c r="B9043" t="s">
        <v>13</v>
      </c>
      <c r="C9043">
        <v>42.5</v>
      </c>
      <c r="D9043">
        <v>41</v>
      </c>
      <c r="E9043" t="s">
        <v>17</v>
      </c>
      <c r="F9043">
        <v>24.21</v>
      </c>
      <c r="G9043">
        <v>23.51</v>
      </c>
      <c r="H9043" t="s">
        <v>17</v>
      </c>
      <c r="I9043" t="str">
        <f>"062271003365"</f>
        <v>062271003365</v>
      </c>
    </row>
    <row r="9044" spans="1:9" x14ac:dyDescent="0.25">
      <c r="A9044" t="s">
        <v>7872</v>
      </c>
      <c r="B9044" t="s">
        <v>13</v>
      </c>
      <c r="C9044">
        <v>46.03</v>
      </c>
      <c r="D9044">
        <v>42.35</v>
      </c>
      <c r="E9044" t="s">
        <v>17</v>
      </c>
      <c r="F9044">
        <v>24.2</v>
      </c>
      <c r="G9044">
        <v>25.93</v>
      </c>
      <c r="H9044" t="s">
        <v>17</v>
      </c>
      <c r="I9044" t="str">
        <f>"063750006337"</f>
        <v>063750006337</v>
      </c>
    </row>
    <row r="9045" spans="1:9" x14ac:dyDescent="0.25">
      <c r="A9045" t="s">
        <v>7873</v>
      </c>
      <c r="B9045" t="s">
        <v>13</v>
      </c>
      <c r="C9045">
        <v>58.51</v>
      </c>
      <c r="D9045">
        <v>56.33</v>
      </c>
      <c r="E9045" t="s">
        <v>17</v>
      </c>
      <c r="F9045">
        <v>26.25</v>
      </c>
      <c r="G9045">
        <v>27.73</v>
      </c>
      <c r="H9045" t="s">
        <v>17</v>
      </c>
      <c r="I9045" t="str">
        <f>"063750006338"</f>
        <v>063750006338</v>
      </c>
    </row>
    <row r="9046" spans="1:9" x14ac:dyDescent="0.25">
      <c r="A9046" t="s">
        <v>7874</v>
      </c>
      <c r="B9046" t="s">
        <v>13</v>
      </c>
      <c r="C9046">
        <v>39.700000000000003</v>
      </c>
      <c r="D9046">
        <v>36.799999999999997</v>
      </c>
      <c r="E9046" t="s">
        <v>17</v>
      </c>
      <c r="F9046">
        <v>25.94</v>
      </c>
      <c r="G9046">
        <v>27.15</v>
      </c>
      <c r="H9046" t="s">
        <v>17</v>
      </c>
      <c r="I9046" t="str">
        <f>"064128009654"</f>
        <v>064128009654</v>
      </c>
    </row>
    <row r="9047" spans="1:9" x14ac:dyDescent="0.25">
      <c r="A9047" t="s">
        <v>7875</v>
      </c>
      <c r="B9047" t="s">
        <v>13</v>
      </c>
      <c r="C9047">
        <v>24</v>
      </c>
      <c r="D9047">
        <v>25</v>
      </c>
      <c r="E9047" t="s">
        <v>17</v>
      </c>
      <c r="F9047">
        <v>25.67</v>
      </c>
      <c r="G9047">
        <v>25.08</v>
      </c>
      <c r="H9047" t="s">
        <v>17</v>
      </c>
      <c r="I9047" t="str">
        <f>"061218001385"</f>
        <v>061218001385</v>
      </c>
    </row>
    <row r="9048" spans="1:9" x14ac:dyDescent="0.25">
      <c r="A9048" t="s">
        <v>7876</v>
      </c>
      <c r="B9048" t="s">
        <v>13</v>
      </c>
      <c r="C9048" t="s">
        <v>14</v>
      </c>
      <c r="D9048">
        <v>28</v>
      </c>
      <c r="E9048" t="s">
        <v>17</v>
      </c>
      <c r="F9048" t="s">
        <v>17</v>
      </c>
      <c r="G9048">
        <v>21.75</v>
      </c>
      <c r="H9048" t="s">
        <v>17</v>
      </c>
      <c r="I9048" t="str">
        <f>"069103012089"</f>
        <v>069103012089</v>
      </c>
    </row>
    <row r="9049" spans="1:9" x14ac:dyDescent="0.25">
      <c r="A9049" t="s">
        <v>7877</v>
      </c>
      <c r="B9049" t="s">
        <v>13</v>
      </c>
      <c r="C9049">
        <v>7</v>
      </c>
      <c r="D9049" t="s">
        <v>14</v>
      </c>
      <c r="E9049" t="s">
        <v>14</v>
      </c>
      <c r="F9049">
        <v>16.43</v>
      </c>
      <c r="G9049" t="s">
        <v>14</v>
      </c>
      <c r="H9049" t="s">
        <v>14</v>
      </c>
      <c r="I9049" t="str">
        <f>"069103013174"</f>
        <v>069103013174</v>
      </c>
    </row>
    <row r="9050" spans="1:9" x14ac:dyDescent="0.25">
      <c r="A9050" t="s">
        <v>7878</v>
      </c>
      <c r="B9050" t="s">
        <v>13</v>
      </c>
      <c r="C9050">
        <v>9</v>
      </c>
      <c r="D9050" t="s">
        <v>14</v>
      </c>
      <c r="E9050" t="s">
        <v>14</v>
      </c>
      <c r="F9050">
        <v>19.11</v>
      </c>
      <c r="G9050" t="s">
        <v>14</v>
      </c>
      <c r="H9050" t="s">
        <v>14</v>
      </c>
      <c r="I9050" t="str">
        <f>"069103013197"</f>
        <v>069103013197</v>
      </c>
    </row>
    <row r="9051" spans="1:9" x14ac:dyDescent="0.25">
      <c r="A9051" t="s">
        <v>7879</v>
      </c>
      <c r="B9051" t="s">
        <v>13</v>
      </c>
      <c r="C9051">
        <v>8</v>
      </c>
      <c r="D9051" t="s">
        <v>14</v>
      </c>
      <c r="E9051" t="s">
        <v>14</v>
      </c>
      <c r="F9051">
        <v>18.5</v>
      </c>
      <c r="G9051" t="s">
        <v>14</v>
      </c>
      <c r="H9051" t="s">
        <v>14</v>
      </c>
      <c r="I9051" t="str">
        <f>"069103013171"</f>
        <v>069103013171</v>
      </c>
    </row>
    <row r="9052" spans="1:9" x14ac:dyDescent="0.25">
      <c r="A9052" t="s">
        <v>7880</v>
      </c>
      <c r="B9052" t="s">
        <v>13</v>
      </c>
      <c r="C9052">
        <v>20</v>
      </c>
      <c r="D9052" t="s">
        <v>14</v>
      </c>
      <c r="E9052" t="s">
        <v>14</v>
      </c>
      <c r="F9052">
        <v>23.7</v>
      </c>
      <c r="G9052" t="s">
        <v>14</v>
      </c>
      <c r="H9052" t="s">
        <v>14</v>
      </c>
      <c r="I9052" t="str">
        <f>"062271013119"</f>
        <v>062271013119</v>
      </c>
    </row>
    <row r="9053" spans="1:9" x14ac:dyDescent="0.25">
      <c r="A9053" t="s">
        <v>7881</v>
      </c>
      <c r="B9053" t="s">
        <v>13</v>
      </c>
      <c r="C9053">
        <v>23</v>
      </c>
      <c r="D9053" t="s">
        <v>14</v>
      </c>
      <c r="E9053" t="s">
        <v>14</v>
      </c>
      <c r="F9053">
        <v>24.22</v>
      </c>
      <c r="G9053" t="s">
        <v>14</v>
      </c>
      <c r="H9053" t="s">
        <v>14</v>
      </c>
      <c r="I9053" t="str">
        <f>"062271013147"</f>
        <v>062271013147</v>
      </c>
    </row>
    <row r="9054" spans="1:9" x14ac:dyDescent="0.25">
      <c r="A9054" t="s">
        <v>7882</v>
      </c>
      <c r="B9054" t="s">
        <v>13</v>
      </c>
      <c r="C9054">
        <v>12</v>
      </c>
      <c r="D9054" t="s">
        <v>14</v>
      </c>
      <c r="E9054" t="s">
        <v>14</v>
      </c>
      <c r="F9054">
        <v>26.42</v>
      </c>
      <c r="G9054" t="s">
        <v>14</v>
      </c>
      <c r="H9054" t="s">
        <v>14</v>
      </c>
      <c r="I9054" t="str">
        <f>"062271013122"</f>
        <v>062271013122</v>
      </c>
    </row>
    <row r="9055" spans="1:9" x14ac:dyDescent="0.25">
      <c r="A9055" t="s">
        <v>7883</v>
      </c>
      <c r="B9055" t="s">
        <v>13</v>
      </c>
      <c r="C9055">
        <v>63</v>
      </c>
      <c r="D9055">
        <v>65</v>
      </c>
      <c r="E9055" t="s">
        <v>17</v>
      </c>
      <c r="F9055">
        <v>22.89</v>
      </c>
      <c r="G9055">
        <v>23.32</v>
      </c>
      <c r="H9055" t="s">
        <v>17</v>
      </c>
      <c r="I9055" t="str">
        <f>"063753006352"</f>
        <v>063753006352</v>
      </c>
    </row>
    <row r="9056" spans="1:9" x14ac:dyDescent="0.25">
      <c r="A9056" t="s">
        <v>7884</v>
      </c>
      <c r="B9056" t="s">
        <v>13</v>
      </c>
      <c r="C9056">
        <v>19</v>
      </c>
      <c r="D9056">
        <v>18</v>
      </c>
      <c r="E9056" t="s">
        <v>17</v>
      </c>
      <c r="F9056">
        <v>25.47</v>
      </c>
      <c r="G9056">
        <v>26.83</v>
      </c>
      <c r="H9056" t="s">
        <v>17</v>
      </c>
      <c r="I9056" t="str">
        <f>"062271003366"</f>
        <v>062271003366</v>
      </c>
    </row>
    <row r="9057" spans="1:9" x14ac:dyDescent="0.25">
      <c r="A9057" t="s">
        <v>7885</v>
      </c>
      <c r="B9057" t="s">
        <v>13</v>
      </c>
      <c r="C9057">
        <v>88.13</v>
      </c>
      <c r="D9057">
        <v>86.08</v>
      </c>
      <c r="E9057" t="s">
        <v>17</v>
      </c>
      <c r="F9057">
        <v>24.34</v>
      </c>
      <c r="G9057">
        <v>24.28</v>
      </c>
      <c r="H9057" t="s">
        <v>17</v>
      </c>
      <c r="I9057" t="str">
        <f>"062380011518"</f>
        <v>062380011518</v>
      </c>
    </row>
    <row r="9058" spans="1:9" x14ac:dyDescent="0.25">
      <c r="A9058" t="s">
        <v>7886</v>
      </c>
      <c r="B9058" t="s">
        <v>13</v>
      </c>
      <c r="C9058">
        <v>47.12</v>
      </c>
      <c r="D9058">
        <v>51.52</v>
      </c>
      <c r="E9058" t="s">
        <v>17</v>
      </c>
      <c r="F9058">
        <v>21.24</v>
      </c>
      <c r="G9058">
        <v>20.440000000000001</v>
      </c>
      <c r="H9058" t="s">
        <v>17</v>
      </c>
      <c r="I9058" t="str">
        <f>"062064002481"</f>
        <v>062064002481</v>
      </c>
    </row>
    <row r="9059" spans="1:9" x14ac:dyDescent="0.25">
      <c r="A9059" t="s">
        <v>7887</v>
      </c>
      <c r="B9059" t="s">
        <v>13</v>
      </c>
      <c r="C9059">
        <v>33.68</v>
      </c>
      <c r="D9059">
        <v>35.07</v>
      </c>
      <c r="E9059" t="s">
        <v>17</v>
      </c>
      <c r="F9059">
        <v>24.26</v>
      </c>
      <c r="G9059">
        <v>23.38</v>
      </c>
      <c r="H9059" t="s">
        <v>17</v>
      </c>
      <c r="I9059" t="str">
        <f>"062064002482"</f>
        <v>062064002482</v>
      </c>
    </row>
    <row r="9060" spans="1:9" x14ac:dyDescent="0.25">
      <c r="A9060" t="s">
        <v>7888</v>
      </c>
      <c r="B9060" t="s">
        <v>13</v>
      </c>
      <c r="C9060">
        <v>27.67</v>
      </c>
      <c r="D9060">
        <v>27.58</v>
      </c>
      <c r="E9060" t="s">
        <v>17</v>
      </c>
      <c r="F9060">
        <v>27.65</v>
      </c>
      <c r="G9060">
        <v>27.63</v>
      </c>
      <c r="H9060" t="s">
        <v>17</v>
      </c>
      <c r="I9060" t="str">
        <f>"061392001603"</f>
        <v>061392001603</v>
      </c>
    </row>
    <row r="9061" spans="1:9" x14ac:dyDescent="0.25">
      <c r="A9061" t="s">
        <v>7889</v>
      </c>
      <c r="B9061" t="s">
        <v>13</v>
      </c>
      <c r="C9061">
        <v>8.36</v>
      </c>
      <c r="D9061">
        <v>8.11</v>
      </c>
      <c r="E9061" t="s">
        <v>17</v>
      </c>
      <c r="F9061">
        <v>20.100000000000001</v>
      </c>
      <c r="G9061">
        <v>21.45</v>
      </c>
      <c r="H9061" t="s">
        <v>17</v>
      </c>
      <c r="I9061" t="str">
        <f>"064030006663"</f>
        <v>064030006663</v>
      </c>
    </row>
    <row r="9062" spans="1:9" x14ac:dyDescent="0.25">
      <c r="A9062" t="s">
        <v>7890</v>
      </c>
      <c r="B9062" t="s">
        <v>13</v>
      </c>
      <c r="C9062">
        <v>31.32</v>
      </c>
      <c r="D9062">
        <v>32.200000000000003</v>
      </c>
      <c r="E9062" t="s">
        <v>17</v>
      </c>
      <c r="F9062">
        <v>22.45</v>
      </c>
      <c r="G9062">
        <v>21.37</v>
      </c>
      <c r="H9062" t="s">
        <v>17</v>
      </c>
      <c r="I9062" t="str">
        <f>"061518001918"</f>
        <v>061518001918</v>
      </c>
    </row>
    <row r="9063" spans="1:9" x14ac:dyDescent="0.25">
      <c r="A9063" t="s">
        <v>7891</v>
      </c>
      <c r="B9063" t="s">
        <v>13</v>
      </c>
      <c r="C9063">
        <v>37.99</v>
      </c>
      <c r="D9063">
        <v>38.99</v>
      </c>
      <c r="E9063" t="s">
        <v>17</v>
      </c>
      <c r="F9063">
        <v>24.8</v>
      </c>
      <c r="G9063">
        <v>23.16</v>
      </c>
      <c r="H9063" t="s">
        <v>17</v>
      </c>
      <c r="I9063" t="str">
        <f>"060004707393"</f>
        <v>060004707393</v>
      </c>
    </row>
    <row r="9064" spans="1:9" x14ac:dyDescent="0.25">
      <c r="A9064" t="s">
        <v>7892</v>
      </c>
      <c r="B9064" t="s">
        <v>13</v>
      </c>
      <c r="C9064">
        <v>41.75</v>
      </c>
      <c r="D9064">
        <v>52.02</v>
      </c>
      <c r="E9064" t="s">
        <v>17</v>
      </c>
      <c r="F9064">
        <v>27.74</v>
      </c>
      <c r="G9064">
        <v>25.51</v>
      </c>
      <c r="H9064" t="s">
        <v>17</v>
      </c>
      <c r="I9064" t="str">
        <f>"062271010860"</f>
        <v>062271010860</v>
      </c>
    </row>
    <row r="9065" spans="1:9" x14ac:dyDescent="0.25">
      <c r="A9065" t="s">
        <v>7893</v>
      </c>
      <c r="B9065" t="s">
        <v>13</v>
      </c>
      <c r="C9065" t="s">
        <v>17</v>
      </c>
      <c r="D9065" t="s">
        <v>17</v>
      </c>
      <c r="E9065" t="s">
        <v>17</v>
      </c>
      <c r="F9065" t="s">
        <v>17</v>
      </c>
      <c r="G9065" t="s">
        <v>17</v>
      </c>
      <c r="H9065" t="s">
        <v>17</v>
      </c>
      <c r="I9065" t="str">
        <f>"060010410917"</f>
        <v>060010410917</v>
      </c>
    </row>
    <row r="9066" spans="1:9" x14ac:dyDescent="0.25">
      <c r="A9066" t="s">
        <v>7894</v>
      </c>
      <c r="B9066" t="s">
        <v>13</v>
      </c>
      <c r="C9066">
        <v>13.3</v>
      </c>
      <c r="D9066">
        <v>12.2</v>
      </c>
      <c r="E9066" t="s">
        <v>14</v>
      </c>
      <c r="F9066">
        <v>23.76</v>
      </c>
      <c r="G9066">
        <v>27.13</v>
      </c>
      <c r="H9066" t="s">
        <v>14</v>
      </c>
      <c r="I9066" t="str">
        <f>"060002712914"</f>
        <v>060002712914</v>
      </c>
    </row>
    <row r="9067" spans="1:9" x14ac:dyDescent="0.25">
      <c r="A9067" t="s">
        <v>7895</v>
      </c>
      <c r="B9067" t="s">
        <v>13</v>
      </c>
      <c r="C9067" t="s">
        <v>17</v>
      </c>
      <c r="D9067" t="s">
        <v>17</v>
      </c>
      <c r="E9067" t="s">
        <v>17</v>
      </c>
      <c r="F9067" t="s">
        <v>17</v>
      </c>
      <c r="G9067" t="s">
        <v>17</v>
      </c>
      <c r="H9067" t="s">
        <v>17</v>
      </c>
      <c r="I9067" t="str">
        <f>"060010710920"</f>
        <v>060010710920</v>
      </c>
    </row>
    <row r="9068" spans="1:9" x14ac:dyDescent="0.25">
      <c r="A9068" t="s">
        <v>7896</v>
      </c>
      <c r="B9068" t="s">
        <v>13</v>
      </c>
      <c r="C9068" t="str">
        <f>"0.40"</f>
        <v>0.40</v>
      </c>
      <c r="D9068">
        <v>1</v>
      </c>
      <c r="E9068" t="s">
        <v>17</v>
      </c>
      <c r="F9068">
        <v>30</v>
      </c>
      <c r="G9068">
        <v>14</v>
      </c>
      <c r="H9068" t="s">
        <v>17</v>
      </c>
      <c r="I9068" t="str">
        <f>"069100910795"</f>
        <v>069100910795</v>
      </c>
    </row>
    <row r="9069" spans="1:9" x14ac:dyDescent="0.25">
      <c r="A9069" t="s">
        <v>7897</v>
      </c>
      <c r="B9069" t="s">
        <v>13</v>
      </c>
      <c r="C9069" t="s">
        <v>14</v>
      </c>
      <c r="D9069" t="s">
        <v>14</v>
      </c>
      <c r="E9069" t="s">
        <v>17</v>
      </c>
      <c r="F9069" t="s">
        <v>14</v>
      </c>
      <c r="G9069" t="s">
        <v>14</v>
      </c>
      <c r="H9069" t="s">
        <v>17</v>
      </c>
      <c r="I9069" t="str">
        <f>"063762012586"</f>
        <v>063762012586</v>
      </c>
    </row>
    <row r="9070" spans="1:9" x14ac:dyDescent="0.25">
      <c r="A9070" t="s">
        <v>7898</v>
      </c>
      <c r="B9070" t="s">
        <v>13</v>
      </c>
      <c r="C9070" t="s">
        <v>14</v>
      </c>
      <c r="D9070" t="s">
        <v>17</v>
      </c>
      <c r="E9070" t="s">
        <v>17</v>
      </c>
      <c r="F9070" t="s">
        <v>17</v>
      </c>
      <c r="G9070" t="s">
        <v>17</v>
      </c>
      <c r="H9070" t="s">
        <v>17</v>
      </c>
      <c r="I9070" t="str">
        <f>"063763012463"</f>
        <v>063763012463</v>
      </c>
    </row>
    <row r="9071" spans="1:9" x14ac:dyDescent="0.25">
      <c r="A9071" t="s">
        <v>7899</v>
      </c>
      <c r="B9071" t="s">
        <v>13</v>
      </c>
      <c r="C9071">
        <v>4.5</v>
      </c>
      <c r="D9071">
        <v>4.5</v>
      </c>
      <c r="E9071" t="s">
        <v>17</v>
      </c>
      <c r="F9071">
        <v>5.1100000000000003</v>
      </c>
      <c r="G9071">
        <v>8.2200000000000006</v>
      </c>
      <c r="H9071" t="s">
        <v>17</v>
      </c>
      <c r="I9071" t="str">
        <f>"063763006377"</f>
        <v>063763006377</v>
      </c>
    </row>
    <row r="9072" spans="1:9" x14ac:dyDescent="0.25">
      <c r="A9072" t="s">
        <v>7900</v>
      </c>
      <c r="B9072" t="s">
        <v>13</v>
      </c>
      <c r="C9072">
        <v>23.13</v>
      </c>
      <c r="D9072">
        <v>23.6</v>
      </c>
      <c r="E9072" t="s">
        <v>17</v>
      </c>
      <c r="F9072">
        <v>28.66</v>
      </c>
      <c r="G9072">
        <v>28.39</v>
      </c>
      <c r="H9072" t="s">
        <v>17</v>
      </c>
      <c r="I9072" t="str">
        <f>"061674002132"</f>
        <v>061674002132</v>
      </c>
    </row>
    <row r="9073" spans="1:9" x14ac:dyDescent="0.25">
      <c r="A9073" t="s">
        <v>7901</v>
      </c>
      <c r="B9073" t="s">
        <v>13</v>
      </c>
      <c r="C9073">
        <v>38.869999999999997</v>
      </c>
      <c r="D9073">
        <v>37.47</v>
      </c>
      <c r="E9073" t="s">
        <v>17</v>
      </c>
      <c r="F9073">
        <v>19.73</v>
      </c>
      <c r="G9073">
        <v>21.35</v>
      </c>
      <c r="H9073" t="s">
        <v>17</v>
      </c>
      <c r="I9073" t="str">
        <f>"064158007936"</f>
        <v>064158007936</v>
      </c>
    </row>
    <row r="9074" spans="1:9" x14ac:dyDescent="0.25">
      <c r="A9074" t="s">
        <v>7902</v>
      </c>
      <c r="B9074" t="s">
        <v>13</v>
      </c>
      <c r="C9074">
        <v>44.14</v>
      </c>
      <c r="D9074">
        <v>44.76</v>
      </c>
      <c r="E9074" t="s">
        <v>17</v>
      </c>
      <c r="F9074">
        <v>25.01</v>
      </c>
      <c r="G9074">
        <v>25.74</v>
      </c>
      <c r="H9074" t="s">
        <v>17</v>
      </c>
      <c r="I9074" t="str">
        <f>"061392009137"</f>
        <v>061392009137</v>
      </c>
    </row>
    <row r="9075" spans="1:9" x14ac:dyDescent="0.25">
      <c r="A9075" t="s">
        <v>7903</v>
      </c>
      <c r="B9075" t="s">
        <v>13</v>
      </c>
      <c r="C9075">
        <v>32</v>
      </c>
      <c r="D9075">
        <v>33</v>
      </c>
      <c r="E9075" t="s">
        <v>17</v>
      </c>
      <c r="F9075">
        <v>26.56</v>
      </c>
      <c r="G9075">
        <v>25.73</v>
      </c>
      <c r="H9075" t="s">
        <v>17</v>
      </c>
      <c r="I9075" t="str">
        <f>"062454012286"</f>
        <v>062454012286</v>
      </c>
    </row>
    <row r="9076" spans="1:9" x14ac:dyDescent="0.25">
      <c r="A9076" t="s">
        <v>7904</v>
      </c>
      <c r="B9076" t="s">
        <v>13</v>
      </c>
      <c r="C9076">
        <v>9</v>
      </c>
      <c r="D9076" t="s">
        <v>17</v>
      </c>
      <c r="E9076" t="s">
        <v>17</v>
      </c>
      <c r="F9076">
        <v>27.89</v>
      </c>
      <c r="G9076" t="s">
        <v>17</v>
      </c>
      <c r="H9076" t="s">
        <v>17</v>
      </c>
      <c r="I9076" t="str">
        <f>"063765006379"</f>
        <v>063765006379</v>
      </c>
    </row>
    <row r="9077" spans="1:9" x14ac:dyDescent="0.25">
      <c r="A9077" t="s">
        <v>7905</v>
      </c>
      <c r="B9077" t="s">
        <v>13</v>
      </c>
      <c r="C9077">
        <v>85.1</v>
      </c>
      <c r="D9077">
        <v>88.5</v>
      </c>
      <c r="E9077" t="s">
        <v>17</v>
      </c>
      <c r="F9077">
        <v>24.12</v>
      </c>
      <c r="G9077">
        <v>23.59</v>
      </c>
      <c r="H9077" t="s">
        <v>17</v>
      </c>
      <c r="I9077" t="str">
        <f>"060801004486"</f>
        <v>060801004486</v>
      </c>
    </row>
    <row r="9078" spans="1:9" x14ac:dyDescent="0.25">
      <c r="A9078" t="s">
        <v>7906</v>
      </c>
      <c r="B9078" t="s">
        <v>13</v>
      </c>
      <c r="C9078">
        <v>32.799999999999997</v>
      </c>
      <c r="D9078">
        <v>34.5</v>
      </c>
      <c r="E9078" t="s">
        <v>17</v>
      </c>
      <c r="F9078">
        <v>19.54</v>
      </c>
      <c r="G9078">
        <v>17.25</v>
      </c>
      <c r="H9078" t="s">
        <v>17</v>
      </c>
      <c r="I9078" t="str">
        <f>"063864006491"</f>
        <v>063864006491</v>
      </c>
    </row>
    <row r="9079" spans="1:9" x14ac:dyDescent="0.25">
      <c r="A9079" t="s">
        <v>7907</v>
      </c>
      <c r="B9079" t="s">
        <v>13</v>
      </c>
      <c r="C9079">
        <v>65.3</v>
      </c>
      <c r="D9079">
        <v>63.84</v>
      </c>
      <c r="E9079" t="s">
        <v>17</v>
      </c>
      <c r="F9079">
        <v>27.98</v>
      </c>
      <c r="G9079">
        <v>26.24</v>
      </c>
      <c r="H9079" t="s">
        <v>17</v>
      </c>
      <c r="I9079" t="str">
        <f>"063864006492"</f>
        <v>063864006492</v>
      </c>
    </row>
    <row r="9080" spans="1:9" x14ac:dyDescent="0.25">
      <c r="A9080" t="s">
        <v>7908</v>
      </c>
      <c r="B9080" t="s">
        <v>13</v>
      </c>
      <c r="C9080">
        <v>10.050000000000001</v>
      </c>
      <c r="D9080">
        <v>12.67</v>
      </c>
      <c r="E9080" t="s">
        <v>17</v>
      </c>
      <c r="F9080">
        <v>50.15</v>
      </c>
      <c r="G9080">
        <v>37.57</v>
      </c>
      <c r="H9080" t="s">
        <v>17</v>
      </c>
      <c r="I9080" t="str">
        <f>"063801012281"</f>
        <v>063801012281</v>
      </c>
    </row>
    <row r="9081" spans="1:9" x14ac:dyDescent="0.25">
      <c r="A9081" t="s">
        <v>7909</v>
      </c>
      <c r="B9081" t="s">
        <v>13</v>
      </c>
      <c r="C9081">
        <v>21</v>
      </c>
      <c r="D9081">
        <v>19.8</v>
      </c>
      <c r="E9081" t="s">
        <v>17</v>
      </c>
      <c r="F9081">
        <v>23.48</v>
      </c>
      <c r="G9081">
        <v>22.63</v>
      </c>
      <c r="H9081" t="s">
        <v>17</v>
      </c>
      <c r="I9081" t="str">
        <f>"061632502063"</f>
        <v>061632502063</v>
      </c>
    </row>
    <row r="9082" spans="1:9" x14ac:dyDescent="0.25">
      <c r="A9082" t="s">
        <v>7910</v>
      </c>
      <c r="B9082" t="s">
        <v>13</v>
      </c>
      <c r="C9082">
        <v>23.1</v>
      </c>
      <c r="D9082">
        <v>21.88</v>
      </c>
      <c r="E9082" t="s">
        <v>17</v>
      </c>
      <c r="F9082">
        <v>21.73</v>
      </c>
      <c r="G9082">
        <v>24.13</v>
      </c>
      <c r="H9082" t="s">
        <v>17</v>
      </c>
      <c r="I9082" t="str">
        <f>"061632502064"</f>
        <v>061632502064</v>
      </c>
    </row>
    <row r="9083" spans="1:9" x14ac:dyDescent="0.25">
      <c r="A9083" t="s">
        <v>7911</v>
      </c>
      <c r="B9083" t="s">
        <v>13</v>
      </c>
      <c r="C9083" t="s">
        <v>17</v>
      </c>
      <c r="D9083" t="s">
        <v>14</v>
      </c>
      <c r="E9083" t="s">
        <v>14</v>
      </c>
      <c r="F9083" t="s">
        <v>17</v>
      </c>
      <c r="G9083" t="s">
        <v>14</v>
      </c>
      <c r="H9083" t="s">
        <v>14</v>
      </c>
      <c r="I9083" t="str">
        <f>"069113513435"</f>
        <v>069113513435</v>
      </c>
    </row>
    <row r="9084" spans="1:9" x14ac:dyDescent="0.25">
      <c r="A9084" t="s">
        <v>7912</v>
      </c>
      <c r="B9084" t="s">
        <v>13</v>
      </c>
      <c r="C9084">
        <v>5</v>
      </c>
      <c r="D9084">
        <v>4</v>
      </c>
      <c r="E9084" t="s">
        <v>17</v>
      </c>
      <c r="F9084">
        <v>8.1999999999999993</v>
      </c>
      <c r="G9084">
        <v>9.25</v>
      </c>
      <c r="H9084" t="s">
        <v>17</v>
      </c>
      <c r="I9084" t="str">
        <f>"069109008161"</f>
        <v>069109008161</v>
      </c>
    </row>
    <row r="9085" spans="1:9" x14ac:dyDescent="0.25">
      <c r="A9085" t="s">
        <v>7912</v>
      </c>
      <c r="B9085" t="s">
        <v>13</v>
      </c>
      <c r="C9085">
        <v>82</v>
      </c>
      <c r="D9085">
        <v>78</v>
      </c>
      <c r="E9085" t="s">
        <v>17</v>
      </c>
      <c r="F9085">
        <v>10.61</v>
      </c>
      <c r="G9085">
        <v>10.42</v>
      </c>
      <c r="H9085" t="s">
        <v>17</v>
      </c>
      <c r="I9085" t="str">
        <f>"069104509257"</f>
        <v>069104509257</v>
      </c>
    </row>
    <row r="9086" spans="1:9" x14ac:dyDescent="0.25">
      <c r="A9086" t="s">
        <v>7912</v>
      </c>
      <c r="B9086" t="s">
        <v>13</v>
      </c>
      <c r="C9086">
        <v>23</v>
      </c>
      <c r="D9086">
        <v>26</v>
      </c>
      <c r="E9086" t="s">
        <v>17</v>
      </c>
      <c r="F9086">
        <v>5</v>
      </c>
      <c r="G9086">
        <v>4.38</v>
      </c>
      <c r="H9086" t="s">
        <v>17</v>
      </c>
      <c r="I9086" t="str">
        <f>"069100609218"</f>
        <v>069100609218</v>
      </c>
    </row>
    <row r="9087" spans="1:9" x14ac:dyDescent="0.25">
      <c r="A9087" t="s">
        <v>7913</v>
      </c>
      <c r="B9087" t="s">
        <v>13</v>
      </c>
      <c r="C9087" t="s">
        <v>17</v>
      </c>
      <c r="D9087" t="s">
        <v>14</v>
      </c>
      <c r="E9087" t="s">
        <v>14</v>
      </c>
      <c r="F9087" t="s">
        <v>17</v>
      </c>
      <c r="G9087" t="s">
        <v>14</v>
      </c>
      <c r="H9087" t="s">
        <v>14</v>
      </c>
      <c r="I9087" t="str">
        <f>"061968013451"</f>
        <v>061968013451</v>
      </c>
    </row>
    <row r="9088" spans="1:9" x14ac:dyDescent="0.25">
      <c r="A9088" t="s">
        <v>7913</v>
      </c>
      <c r="B9088" t="s">
        <v>13</v>
      </c>
      <c r="C9088" t="s">
        <v>17</v>
      </c>
      <c r="D9088" t="s">
        <v>14</v>
      </c>
      <c r="E9088" t="s">
        <v>14</v>
      </c>
      <c r="F9088" t="s">
        <v>17</v>
      </c>
      <c r="G9088" t="s">
        <v>14</v>
      </c>
      <c r="H9088" t="s">
        <v>14</v>
      </c>
      <c r="I9088" t="str">
        <f>"062199013374"</f>
        <v>062199013374</v>
      </c>
    </row>
    <row r="9089" spans="1:9" x14ac:dyDescent="0.25">
      <c r="A9089" t="s">
        <v>7913</v>
      </c>
      <c r="B9089" t="s">
        <v>13</v>
      </c>
      <c r="C9089" t="s">
        <v>17</v>
      </c>
      <c r="D9089" t="s">
        <v>14</v>
      </c>
      <c r="E9089" t="s">
        <v>14</v>
      </c>
      <c r="F9089" t="s">
        <v>17</v>
      </c>
      <c r="G9089" t="s">
        <v>14</v>
      </c>
      <c r="H9089" t="s">
        <v>14</v>
      </c>
      <c r="I9089" t="str">
        <f>"062211013251"</f>
        <v>062211013251</v>
      </c>
    </row>
    <row r="9090" spans="1:9" x14ac:dyDescent="0.25">
      <c r="A9090" t="s">
        <v>7914</v>
      </c>
      <c r="B9090" t="s">
        <v>13</v>
      </c>
      <c r="C9090" t="s">
        <v>17</v>
      </c>
      <c r="D9090" t="s">
        <v>14</v>
      </c>
      <c r="E9090" t="s">
        <v>14</v>
      </c>
      <c r="F9090" t="s">
        <v>17</v>
      </c>
      <c r="G9090" t="s">
        <v>14</v>
      </c>
      <c r="H9090" t="s">
        <v>14</v>
      </c>
      <c r="I9090" t="str">
        <f>"062169013335"</f>
        <v>062169013335</v>
      </c>
    </row>
    <row r="9091" spans="1:9" x14ac:dyDescent="0.25">
      <c r="A9091" t="s">
        <v>7915</v>
      </c>
      <c r="B9091" t="s">
        <v>13</v>
      </c>
      <c r="C9091" t="s">
        <v>17</v>
      </c>
      <c r="D9091" t="s">
        <v>17</v>
      </c>
      <c r="E9091" t="s">
        <v>14</v>
      </c>
      <c r="F9091" t="s">
        <v>17</v>
      </c>
      <c r="G9091" t="s">
        <v>17</v>
      </c>
      <c r="H9091" t="s">
        <v>14</v>
      </c>
      <c r="I9091" t="str">
        <f>"062271012837"</f>
        <v>062271012837</v>
      </c>
    </row>
    <row r="9092" spans="1:9" x14ac:dyDescent="0.25">
      <c r="A9092" t="s">
        <v>7916</v>
      </c>
      <c r="B9092" t="s">
        <v>13</v>
      </c>
      <c r="C9092" t="s">
        <v>17</v>
      </c>
      <c r="D9092" t="s">
        <v>14</v>
      </c>
      <c r="E9092" t="s">
        <v>14</v>
      </c>
      <c r="F9092" t="s">
        <v>17</v>
      </c>
      <c r="G9092" t="s">
        <v>14</v>
      </c>
      <c r="H9092" t="s">
        <v>14</v>
      </c>
      <c r="I9092" t="str">
        <f>"061674013405"</f>
        <v>061674013405</v>
      </c>
    </row>
    <row r="9093" spans="1:9" x14ac:dyDescent="0.25">
      <c r="A9093" t="s">
        <v>7917</v>
      </c>
      <c r="B9093" t="s">
        <v>13</v>
      </c>
      <c r="C9093">
        <v>4.3</v>
      </c>
      <c r="D9093">
        <v>3</v>
      </c>
      <c r="E9093" t="s">
        <v>17</v>
      </c>
      <c r="F9093">
        <v>7.91</v>
      </c>
      <c r="G9093">
        <v>10</v>
      </c>
      <c r="H9093" t="s">
        <v>17</v>
      </c>
      <c r="I9093" t="str">
        <f>"063768006380"</f>
        <v>063768006380</v>
      </c>
    </row>
    <row r="9094" spans="1:9" x14ac:dyDescent="0.25">
      <c r="A9094" t="s">
        <v>7918</v>
      </c>
      <c r="B9094" t="s">
        <v>13</v>
      </c>
      <c r="C9094">
        <v>26.5</v>
      </c>
      <c r="D9094">
        <v>27.5</v>
      </c>
      <c r="E9094" t="s">
        <v>17</v>
      </c>
      <c r="F9094">
        <v>23.25</v>
      </c>
      <c r="G9094">
        <v>22.73</v>
      </c>
      <c r="H9094" t="s">
        <v>17</v>
      </c>
      <c r="I9094" t="str">
        <f>"063771006381"</f>
        <v>063771006381</v>
      </c>
    </row>
    <row r="9095" spans="1:9" x14ac:dyDescent="0.25">
      <c r="A9095" t="s">
        <v>7918</v>
      </c>
      <c r="B9095" t="s">
        <v>13</v>
      </c>
      <c r="C9095">
        <v>34</v>
      </c>
      <c r="D9095">
        <v>34</v>
      </c>
      <c r="E9095" t="s">
        <v>17</v>
      </c>
      <c r="F9095">
        <v>22.26</v>
      </c>
      <c r="G9095">
        <v>22.91</v>
      </c>
      <c r="H9095" t="s">
        <v>17</v>
      </c>
      <c r="I9095" t="str">
        <f>"063432005553"</f>
        <v>063432005553</v>
      </c>
    </row>
    <row r="9096" spans="1:9" x14ac:dyDescent="0.25">
      <c r="A9096" t="s">
        <v>7919</v>
      </c>
      <c r="B9096" t="s">
        <v>13</v>
      </c>
      <c r="C9096">
        <v>28</v>
      </c>
      <c r="D9096">
        <v>29.2</v>
      </c>
      <c r="E9096" t="s">
        <v>17</v>
      </c>
      <c r="F9096">
        <v>21.25</v>
      </c>
      <c r="G9096">
        <v>19.66</v>
      </c>
      <c r="H9096" t="s">
        <v>17</v>
      </c>
      <c r="I9096" t="str">
        <f>"063264005079"</f>
        <v>063264005079</v>
      </c>
    </row>
    <row r="9097" spans="1:9" x14ac:dyDescent="0.25">
      <c r="A9097" t="s">
        <v>7920</v>
      </c>
      <c r="B9097" t="s">
        <v>13</v>
      </c>
      <c r="C9097">
        <v>30</v>
      </c>
      <c r="D9097">
        <v>30</v>
      </c>
      <c r="E9097" t="s">
        <v>17</v>
      </c>
      <c r="F9097">
        <v>25.93</v>
      </c>
      <c r="G9097">
        <v>24.67</v>
      </c>
      <c r="H9097" t="s">
        <v>17</v>
      </c>
      <c r="I9097" t="str">
        <f>"062748004137"</f>
        <v>062748004137</v>
      </c>
    </row>
    <row r="9098" spans="1:9" x14ac:dyDescent="0.25">
      <c r="A9098" t="s">
        <v>7921</v>
      </c>
      <c r="B9098" t="s">
        <v>13</v>
      </c>
      <c r="C9098" t="s">
        <v>17</v>
      </c>
      <c r="D9098" t="s">
        <v>17</v>
      </c>
      <c r="E9098" t="s">
        <v>17</v>
      </c>
      <c r="F9098" t="s">
        <v>17</v>
      </c>
      <c r="G9098" t="s">
        <v>17</v>
      </c>
      <c r="H9098" t="s">
        <v>17</v>
      </c>
      <c r="I9098" t="str">
        <f>"062394008895"</f>
        <v>062394008895</v>
      </c>
    </row>
    <row r="9099" spans="1:9" x14ac:dyDescent="0.25">
      <c r="A9099" t="s">
        <v>7922</v>
      </c>
      <c r="B9099" t="s">
        <v>13</v>
      </c>
      <c r="C9099">
        <v>7.23</v>
      </c>
      <c r="D9099">
        <v>7.64</v>
      </c>
      <c r="E9099" t="s">
        <v>17</v>
      </c>
      <c r="F9099" t="str">
        <f>"0.69"</f>
        <v>0.69</v>
      </c>
      <c r="G9099">
        <v>1.57</v>
      </c>
      <c r="H9099" t="s">
        <v>17</v>
      </c>
      <c r="I9099" t="str">
        <f>"069109000651"</f>
        <v>069109000651</v>
      </c>
    </row>
    <row r="9100" spans="1:9" x14ac:dyDescent="0.25">
      <c r="A9100" t="s">
        <v>7923</v>
      </c>
      <c r="B9100" t="s">
        <v>13</v>
      </c>
      <c r="C9100">
        <v>8.01</v>
      </c>
      <c r="D9100">
        <v>6</v>
      </c>
      <c r="E9100" t="s">
        <v>17</v>
      </c>
      <c r="F9100">
        <v>23.97</v>
      </c>
      <c r="G9100">
        <v>19.829999999999998</v>
      </c>
      <c r="H9100" t="s">
        <v>17</v>
      </c>
      <c r="I9100" t="str">
        <f>"060011609482"</f>
        <v>060011609482</v>
      </c>
    </row>
    <row r="9101" spans="1:9" x14ac:dyDescent="0.25">
      <c r="A9101" t="s">
        <v>7923</v>
      </c>
      <c r="B9101" t="s">
        <v>13</v>
      </c>
      <c r="C9101">
        <v>14.2</v>
      </c>
      <c r="D9101">
        <v>14.2</v>
      </c>
      <c r="E9101" t="s">
        <v>17</v>
      </c>
      <c r="F9101">
        <v>28.73</v>
      </c>
      <c r="G9101">
        <v>29.93</v>
      </c>
      <c r="H9101" t="s">
        <v>17</v>
      </c>
      <c r="I9101" t="str">
        <f>"062490003721"</f>
        <v>062490003721</v>
      </c>
    </row>
    <row r="9102" spans="1:9" x14ac:dyDescent="0.25">
      <c r="A9102" t="s">
        <v>7923</v>
      </c>
      <c r="B9102" t="s">
        <v>13</v>
      </c>
      <c r="C9102">
        <v>15.2</v>
      </c>
      <c r="D9102">
        <v>17</v>
      </c>
      <c r="E9102" t="s">
        <v>17</v>
      </c>
      <c r="F9102">
        <v>23.22</v>
      </c>
      <c r="G9102">
        <v>20.18</v>
      </c>
      <c r="H9102" t="s">
        <v>17</v>
      </c>
      <c r="I9102" t="str">
        <f>"063441005670"</f>
        <v>063441005670</v>
      </c>
    </row>
    <row r="9103" spans="1:9" x14ac:dyDescent="0.25">
      <c r="A9103" t="s">
        <v>7924</v>
      </c>
      <c r="B9103" t="s">
        <v>13</v>
      </c>
      <c r="C9103">
        <v>26.1</v>
      </c>
      <c r="D9103">
        <v>27.11</v>
      </c>
      <c r="E9103" t="s">
        <v>17</v>
      </c>
      <c r="F9103">
        <v>22.91</v>
      </c>
      <c r="G9103">
        <v>22.39</v>
      </c>
      <c r="H9103" t="s">
        <v>17</v>
      </c>
      <c r="I9103" t="str">
        <f>"062025002445"</f>
        <v>062025002445</v>
      </c>
    </row>
    <row r="9104" spans="1:9" x14ac:dyDescent="0.25">
      <c r="A9104" t="s">
        <v>7925</v>
      </c>
      <c r="B9104" t="s">
        <v>13</v>
      </c>
      <c r="C9104">
        <v>39.61</v>
      </c>
      <c r="D9104">
        <v>37.1</v>
      </c>
      <c r="E9104" t="s">
        <v>17</v>
      </c>
      <c r="F9104">
        <v>21.13</v>
      </c>
      <c r="G9104">
        <v>21.73</v>
      </c>
      <c r="H9104" t="s">
        <v>17</v>
      </c>
      <c r="I9104" t="str">
        <f>"060001308553"</f>
        <v>060001308553</v>
      </c>
    </row>
    <row r="9105" spans="1:9" x14ac:dyDescent="0.25">
      <c r="A9105" t="s">
        <v>7925</v>
      </c>
      <c r="B9105" t="s">
        <v>13</v>
      </c>
      <c r="C9105">
        <v>31.5</v>
      </c>
      <c r="D9105">
        <v>33.700000000000003</v>
      </c>
      <c r="E9105" t="s">
        <v>17</v>
      </c>
      <c r="F9105">
        <v>25.24</v>
      </c>
      <c r="G9105">
        <v>23.74</v>
      </c>
      <c r="H9105" t="s">
        <v>17</v>
      </c>
      <c r="I9105" t="str">
        <f>"062814004346"</f>
        <v>062814004346</v>
      </c>
    </row>
    <row r="9106" spans="1:9" x14ac:dyDescent="0.25">
      <c r="A9106" t="s">
        <v>7926</v>
      </c>
      <c r="B9106" t="s">
        <v>13</v>
      </c>
      <c r="C9106">
        <v>22</v>
      </c>
      <c r="D9106">
        <v>21</v>
      </c>
      <c r="E9106" t="s">
        <v>17</v>
      </c>
      <c r="F9106">
        <v>29.86</v>
      </c>
      <c r="G9106">
        <v>29.43</v>
      </c>
      <c r="H9106" t="s">
        <v>17</v>
      </c>
      <c r="I9106" t="str">
        <f>"068450009468"</f>
        <v>068450009468</v>
      </c>
    </row>
    <row r="9107" spans="1:9" x14ac:dyDescent="0.25">
      <c r="A9107" t="s">
        <v>7927</v>
      </c>
      <c r="B9107" t="s">
        <v>13</v>
      </c>
      <c r="C9107">
        <v>24.04</v>
      </c>
      <c r="D9107">
        <v>22.88</v>
      </c>
      <c r="E9107" t="s">
        <v>17</v>
      </c>
      <c r="F9107">
        <v>21.51</v>
      </c>
      <c r="G9107">
        <v>23.38</v>
      </c>
      <c r="H9107" t="s">
        <v>17</v>
      </c>
      <c r="I9107" t="str">
        <f>"062265002790"</f>
        <v>062265002790</v>
      </c>
    </row>
    <row r="9108" spans="1:9" x14ac:dyDescent="0.25">
      <c r="A9108" t="s">
        <v>7928</v>
      </c>
      <c r="B9108" t="s">
        <v>13</v>
      </c>
      <c r="C9108">
        <v>1</v>
      </c>
      <c r="D9108">
        <v>1</v>
      </c>
      <c r="E9108" t="s">
        <v>17</v>
      </c>
      <c r="F9108">
        <v>3</v>
      </c>
      <c r="G9108">
        <v>5</v>
      </c>
      <c r="H9108" t="s">
        <v>17</v>
      </c>
      <c r="I9108" t="str">
        <f>"060948008428"</f>
        <v>060948008428</v>
      </c>
    </row>
    <row r="9109" spans="1:9" x14ac:dyDescent="0.25">
      <c r="A9109" t="s">
        <v>7929</v>
      </c>
      <c r="B9109" t="s">
        <v>13</v>
      </c>
      <c r="C9109">
        <v>25.68</v>
      </c>
      <c r="D9109">
        <v>23.77</v>
      </c>
      <c r="E9109" t="s">
        <v>17</v>
      </c>
      <c r="F9109">
        <v>19.16</v>
      </c>
      <c r="G9109">
        <v>19.309999999999999</v>
      </c>
      <c r="H9109" t="s">
        <v>17</v>
      </c>
      <c r="I9109" t="str">
        <f>"062031002450"</f>
        <v>062031002450</v>
      </c>
    </row>
    <row r="9110" spans="1:9" x14ac:dyDescent="0.25">
      <c r="A9110" t="s">
        <v>7930</v>
      </c>
      <c r="B9110" t="s">
        <v>13</v>
      </c>
      <c r="C9110">
        <v>15</v>
      </c>
      <c r="D9110">
        <v>15.5</v>
      </c>
      <c r="E9110" t="s">
        <v>17</v>
      </c>
      <c r="F9110">
        <v>21.13</v>
      </c>
      <c r="G9110">
        <v>21.16</v>
      </c>
      <c r="H9110" t="s">
        <v>17</v>
      </c>
      <c r="I9110" t="str">
        <f>"063777006383"</f>
        <v>063777006383</v>
      </c>
    </row>
    <row r="9111" spans="1:9" x14ac:dyDescent="0.25">
      <c r="A9111" t="s">
        <v>7931</v>
      </c>
      <c r="B9111" t="s">
        <v>13</v>
      </c>
      <c r="C9111">
        <v>27</v>
      </c>
      <c r="D9111">
        <v>30.5</v>
      </c>
      <c r="E9111" t="s">
        <v>17</v>
      </c>
      <c r="F9111">
        <v>23.89</v>
      </c>
      <c r="G9111">
        <v>22.39</v>
      </c>
      <c r="H9111" t="s">
        <v>17</v>
      </c>
      <c r="I9111" t="str">
        <f>"063753006354"</f>
        <v>063753006354</v>
      </c>
    </row>
    <row r="9112" spans="1:9" x14ac:dyDescent="0.25">
      <c r="A9112" t="s">
        <v>7932</v>
      </c>
      <c r="B9112" t="s">
        <v>13</v>
      </c>
      <c r="C9112">
        <v>41.01</v>
      </c>
      <c r="D9112">
        <v>54</v>
      </c>
      <c r="E9112" t="s">
        <v>17</v>
      </c>
      <c r="F9112">
        <v>27.9</v>
      </c>
      <c r="G9112">
        <v>22.33</v>
      </c>
      <c r="H9112" t="s">
        <v>17</v>
      </c>
      <c r="I9112" t="str">
        <f>"063531006008"</f>
        <v>063531006008</v>
      </c>
    </row>
    <row r="9113" spans="1:9" x14ac:dyDescent="0.25">
      <c r="A9113" t="s">
        <v>7933</v>
      </c>
      <c r="B9113" t="s">
        <v>13</v>
      </c>
      <c r="C9113">
        <v>1</v>
      </c>
      <c r="D9113">
        <v>1</v>
      </c>
      <c r="E9113" t="s">
        <v>17</v>
      </c>
      <c r="F9113">
        <v>20</v>
      </c>
      <c r="G9113">
        <v>22</v>
      </c>
      <c r="H9113" t="s">
        <v>17</v>
      </c>
      <c r="I9113" t="str">
        <f>"064258009464"</f>
        <v>064258009464</v>
      </c>
    </row>
    <row r="9114" spans="1:9" x14ac:dyDescent="0.25">
      <c r="A9114" t="s">
        <v>7934</v>
      </c>
      <c r="B9114" t="s">
        <v>13</v>
      </c>
      <c r="C9114" t="s">
        <v>17</v>
      </c>
      <c r="D9114" t="s">
        <v>14</v>
      </c>
      <c r="E9114" t="s">
        <v>14</v>
      </c>
      <c r="F9114" t="s">
        <v>17</v>
      </c>
      <c r="G9114" t="s">
        <v>14</v>
      </c>
      <c r="H9114" t="s">
        <v>14</v>
      </c>
      <c r="I9114" t="str">
        <f>"062712013495"</f>
        <v>062712013495</v>
      </c>
    </row>
    <row r="9115" spans="1:9" x14ac:dyDescent="0.25">
      <c r="A9115" t="s">
        <v>7935</v>
      </c>
      <c r="B9115" t="s">
        <v>13</v>
      </c>
      <c r="C9115">
        <v>23</v>
      </c>
      <c r="D9115">
        <v>19.13</v>
      </c>
      <c r="E9115" t="s">
        <v>17</v>
      </c>
      <c r="F9115">
        <v>24.78</v>
      </c>
      <c r="G9115">
        <v>25.46</v>
      </c>
      <c r="H9115" t="s">
        <v>17</v>
      </c>
      <c r="I9115" t="str">
        <f>"063384011199"</f>
        <v>063384011199</v>
      </c>
    </row>
    <row r="9116" spans="1:9" x14ac:dyDescent="0.25">
      <c r="A9116" t="s">
        <v>7936</v>
      </c>
      <c r="B9116" t="s">
        <v>13</v>
      </c>
      <c r="C9116">
        <v>66.62</v>
      </c>
      <c r="D9116">
        <v>75.12</v>
      </c>
      <c r="E9116" t="s">
        <v>17</v>
      </c>
      <c r="F9116">
        <v>23.66</v>
      </c>
      <c r="G9116">
        <v>21.87</v>
      </c>
      <c r="H9116" t="s">
        <v>17</v>
      </c>
      <c r="I9116" t="str">
        <f>"063801006432"</f>
        <v>063801006432</v>
      </c>
    </row>
    <row r="9117" spans="1:9" x14ac:dyDescent="0.25">
      <c r="A9117" t="s">
        <v>7937</v>
      </c>
      <c r="B9117" t="s">
        <v>13</v>
      </c>
      <c r="C9117">
        <v>21</v>
      </c>
      <c r="D9117">
        <v>20</v>
      </c>
      <c r="E9117" t="s">
        <v>17</v>
      </c>
      <c r="F9117">
        <v>20.9</v>
      </c>
      <c r="G9117">
        <v>22.3</v>
      </c>
      <c r="H9117" t="s">
        <v>17</v>
      </c>
      <c r="I9117" t="str">
        <f>"062271003368"</f>
        <v>062271003368</v>
      </c>
    </row>
    <row r="9118" spans="1:9" x14ac:dyDescent="0.25">
      <c r="A9118" t="s">
        <v>7938</v>
      </c>
      <c r="B9118" t="s">
        <v>13</v>
      </c>
      <c r="C9118">
        <v>21</v>
      </c>
      <c r="D9118">
        <v>20</v>
      </c>
      <c r="E9118" t="s">
        <v>17</v>
      </c>
      <c r="F9118">
        <v>23.48</v>
      </c>
      <c r="G9118">
        <v>22.6</v>
      </c>
      <c r="H9118" t="s">
        <v>17</v>
      </c>
      <c r="I9118" t="str">
        <f>"063789006390"</f>
        <v>063789006390</v>
      </c>
    </row>
    <row r="9119" spans="1:9" x14ac:dyDescent="0.25">
      <c r="A9119" t="s">
        <v>7939</v>
      </c>
      <c r="B9119" t="s">
        <v>13</v>
      </c>
      <c r="C9119">
        <v>40.01</v>
      </c>
      <c r="D9119">
        <v>38</v>
      </c>
      <c r="E9119" t="s">
        <v>17</v>
      </c>
      <c r="F9119">
        <v>23.64</v>
      </c>
      <c r="G9119">
        <v>23.45</v>
      </c>
      <c r="H9119" t="s">
        <v>17</v>
      </c>
      <c r="I9119" t="str">
        <f>"063789006391"</f>
        <v>063789006391</v>
      </c>
    </row>
    <row r="9120" spans="1:9" x14ac:dyDescent="0.25">
      <c r="A9120" t="s">
        <v>7940</v>
      </c>
      <c r="B9120" t="s">
        <v>13</v>
      </c>
      <c r="C9120">
        <v>17</v>
      </c>
      <c r="D9120">
        <v>17</v>
      </c>
      <c r="E9120" t="s">
        <v>17</v>
      </c>
      <c r="F9120">
        <v>28.76</v>
      </c>
      <c r="G9120">
        <v>28.53</v>
      </c>
      <c r="H9120" t="s">
        <v>17</v>
      </c>
      <c r="I9120" t="str">
        <f>"063867006501"</f>
        <v>063867006501</v>
      </c>
    </row>
    <row r="9121" spans="1:9" x14ac:dyDescent="0.25">
      <c r="A9121" t="s">
        <v>7941</v>
      </c>
      <c r="B9121" t="s">
        <v>13</v>
      </c>
      <c r="C9121">
        <v>42.81</v>
      </c>
      <c r="D9121">
        <v>43</v>
      </c>
      <c r="E9121" t="s">
        <v>17</v>
      </c>
      <c r="F9121">
        <v>23.76</v>
      </c>
      <c r="G9121">
        <v>24.47</v>
      </c>
      <c r="H9121" t="s">
        <v>17</v>
      </c>
      <c r="I9121" t="str">
        <f>"063432005554"</f>
        <v>063432005554</v>
      </c>
    </row>
    <row r="9122" spans="1:9" x14ac:dyDescent="0.25">
      <c r="A9122" t="s">
        <v>7942</v>
      </c>
      <c r="B9122" t="s">
        <v>13</v>
      </c>
      <c r="C9122">
        <v>25</v>
      </c>
      <c r="D9122">
        <v>36</v>
      </c>
      <c r="E9122" t="s">
        <v>17</v>
      </c>
      <c r="F9122">
        <v>24.08</v>
      </c>
      <c r="G9122">
        <v>23.44</v>
      </c>
      <c r="H9122" t="s">
        <v>17</v>
      </c>
      <c r="I9122" t="str">
        <f>"062271003369"</f>
        <v>062271003369</v>
      </c>
    </row>
    <row r="9123" spans="1:9" x14ac:dyDescent="0.25">
      <c r="A9123" t="s">
        <v>7942</v>
      </c>
      <c r="B9123" t="s">
        <v>13</v>
      </c>
      <c r="C9123">
        <v>21.13</v>
      </c>
      <c r="D9123">
        <v>23.13</v>
      </c>
      <c r="E9123" t="s">
        <v>17</v>
      </c>
      <c r="F9123">
        <v>25.13</v>
      </c>
      <c r="G9123">
        <v>26.11</v>
      </c>
      <c r="H9123" t="s">
        <v>17</v>
      </c>
      <c r="I9123" t="str">
        <f>"062910004493"</f>
        <v>062910004493</v>
      </c>
    </row>
    <row r="9124" spans="1:9" x14ac:dyDescent="0.25">
      <c r="A9124" t="s">
        <v>7943</v>
      </c>
      <c r="B9124" t="s">
        <v>13</v>
      </c>
      <c r="C9124">
        <v>23.4</v>
      </c>
      <c r="D9124">
        <v>24.9</v>
      </c>
      <c r="E9124" t="s">
        <v>17</v>
      </c>
      <c r="F9124">
        <v>25.73</v>
      </c>
      <c r="G9124">
        <v>25.14</v>
      </c>
      <c r="H9124" t="s">
        <v>17</v>
      </c>
      <c r="I9124" t="str">
        <f>"061488001881"</f>
        <v>061488001881</v>
      </c>
    </row>
    <row r="9125" spans="1:9" x14ac:dyDescent="0.25">
      <c r="A9125" t="s">
        <v>7944</v>
      </c>
      <c r="B9125" t="s">
        <v>13</v>
      </c>
      <c r="C9125">
        <v>45.75</v>
      </c>
      <c r="D9125">
        <v>45.47</v>
      </c>
      <c r="E9125" t="s">
        <v>17</v>
      </c>
      <c r="F9125">
        <v>28.52</v>
      </c>
      <c r="G9125">
        <v>28.94</v>
      </c>
      <c r="H9125" t="s">
        <v>17</v>
      </c>
      <c r="I9125" t="str">
        <f>"062250002758"</f>
        <v>062250002758</v>
      </c>
    </row>
    <row r="9126" spans="1:9" x14ac:dyDescent="0.25">
      <c r="A9126" t="s">
        <v>7945</v>
      </c>
      <c r="B9126" t="s">
        <v>13</v>
      </c>
      <c r="C9126" t="s">
        <v>14</v>
      </c>
      <c r="D9126">
        <v>19</v>
      </c>
      <c r="E9126" t="s">
        <v>17</v>
      </c>
      <c r="F9126" t="s">
        <v>14</v>
      </c>
      <c r="G9126">
        <v>12.53</v>
      </c>
      <c r="H9126" t="s">
        <v>17</v>
      </c>
      <c r="I9126" t="str">
        <f>"063186011431"</f>
        <v>063186011431</v>
      </c>
    </row>
    <row r="9127" spans="1:9" x14ac:dyDescent="0.25">
      <c r="A9127" t="s">
        <v>7946</v>
      </c>
      <c r="B9127" t="s">
        <v>13</v>
      </c>
      <c r="C9127">
        <v>7</v>
      </c>
      <c r="D9127">
        <v>9</v>
      </c>
      <c r="E9127" t="s">
        <v>17</v>
      </c>
      <c r="F9127">
        <v>22.43</v>
      </c>
      <c r="G9127">
        <v>21.78</v>
      </c>
      <c r="H9127" t="s">
        <v>17</v>
      </c>
      <c r="I9127" t="str">
        <f>"062271010856"</f>
        <v>062271010856</v>
      </c>
    </row>
    <row r="9128" spans="1:9" x14ac:dyDescent="0.25">
      <c r="A9128" t="s">
        <v>7947</v>
      </c>
      <c r="B9128" t="s">
        <v>13</v>
      </c>
      <c r="C9128">
        <v>12.6</v>
      </c>
      <c r="D9128">
        <v>11</v>
      </c>
      <c r="E9128" t="s">
        <v>17</v>
      </c>
      <c r="F9128">
        <v>7.94</v>
      </c>
      <c r="G9128">
        <v>12.82</v>
      </c>
      <c r="H9128" t="s">
        <v>17</v>
      </c>
      <c r="I9128" t="str">
        <f>"069104109050"</f>
        <v>069104109050</v>
      </c>
    </row>
    <row r="9129" spans="1:9" x14ac:dyDescent="0.25">
      <c r="A9129" t="s">
        <v>7948</v>
      </c>
      <c r="B9129" t="s">
        <v>13</v>
      </c>
      <c r="C9129">
        <v>40.5</v>
      </c>
      <c r="D9129">
        <v>35.700000000000003</v>
      </c>
      <c r="E9129" t="s">
        <v>17</v>
      </c>
      <c r="F9129">
        <v>7.06</v>
      </c>
      <c r="G9129">
        <v>9.33</v>
      </c>
      <c r="H9129" t="s">
        <v>17</v>
      </c>
      <c r="I9129" t="str">
        <f>"069104107228"</f>
        <v>069104107228</v>
      </c>
    </row>
    <row r="9130" spans="1:9" x14ac:dyDescent="0.25">
      <c r="A9130" t="s">
        <v>7949</v>
      </c>
      <c r="B9130" t="s">
        <v>13</v>
      </c>
      <c r="C9130">
        <v>12</v>
      </c>
      <c r="D9130">
        <v>11.04</v>
      </c>
      <c r="E9130" t="s">
        <v>17</v>
      </c>
      <c r="F9130">
        <v>30.33</v>
      </c>
      <c r="G9130">
        <v>30.89</v>
      </c>
      <c r="H9130" t="s">
        <v>17</v>
      </c>
      <c r="I9130" t="str">
        <f>"063795006397"</f>
        <v>063795006397</v>
      </c>
    </row>
    <row r="9131" spans="1:9" x14ac:dyDescent="0.25">
      <c r="A9131" t="s">
        <v>7950</v>
      </c>
      <c r="B9131" t="s">
        <v>13</v>
      </c>
      <c r="C9131">
        <v>42</v>
      </c>
      <c r="D9131">
        <v>40.4</v>
      </c>
      <c r="E9131" t="s">
        <v>17</v>
      </c>
      <c r="F9131">
        <v>23.33</v>
      </c>
      <c r="G9131">
        <v>23.96</v>
      </c>
      <c r="H9131" t="s">
        <v>17</v>
      </c>
      <c r="I9131" t="str">
        <f>"063375008956"</f>
        <v>063375008956</v>
      </c>
    </row>
    <row r="9132" spans="1:9" x14ac:dyDescent="0.25">
      <c r="A9132" t="s">
        <v>7951</v>
      </c>
      <c r="B9132" t="s">
        <v>13</v>
      </c>
      <c r="C9132">
        <v>22</v>
      </c>
      <c r="D9132">
        <v>18</v>
      </c>
      <c r="E9132" t="s">
        <v>17</v>
      </c>
      <c r="F9132">
        <v>22.5</v>
      </c>
      <c r="G9132">
        <v>23.39</v>
      </c>
      <c r="H9132" t="s">
        <v>17</v>
      </c>
      <c r="I9132" t="str">
        <f>"062271012671"</f>
        <v>062271012671</v>
      </c>
    </row>
    <row r="9133" spans="1:9" x14ac:dyDescent="0.25">
      <c r="A9133" t="s">
        <v>7952</v>
      </c>
      <c r="B9133" t="s">
        <v>13</v>
      </c>
      <c r="C9133">
        <v>21.85</v>
      </c>
      <c r="D9133">
        <v>22.5</v>
      </c>
      <c r="E9133" t="s">
        <v>17</v>
      </c>
      <c r="F9133">
        <v>25.49</v>
      </c>
      <c r="G9133">
        <v>23.24</v>
      </c>
      <c r="H9133" t="s">
        <v>17</v>
      </c>
      <c r="I9133" t="str">
        <f>"061527001958"</f>
        <v>061527001958</v>
      </c>
    </row>
    <row r="9134" spans="1:9" x14ac:dyDescent="0.25">
      <c r="A9134" t="s">
        <v>7952</v>
      </c>
      <c r="B9134" t="s">
        <v>13</v>
      </c>
      <c r="C9134">
        <v>19.71</v>
      </c>
      <c r="D9134">
        <v>19.559999999999999</v>
      </c>
      <c r="E9134" t="s">
        <v>17</v>
      </c>
      <c r="F9134">
        <v>22.58</v>
      </c>
      <c r="G9134">
        <v>22.34</v>
      </c>
      <c r="H9134" t="s">
        <v>17</v>
      </c>
      <c r="I9134" t="str">
        <f>"060780009525"</f>
        <v>060780009525</v>
      </c>
    </row>
    <row r="9135" spans="1:9" x14ac:dyDescent="0.25">
      <c r="A9135" t="s">
        <v>7953</v>
      </c>
      <c r="B9135" t="s">
        <v>13</v>
      </c>
      <c r="C9135">
        <v>9.6999999999999993</v>
      </c>
      <c r="D9135">
        <v>10.8</v>
      </c>
      <c r="E9135" t="s">
        <v>17</v>
      </c>
      <c r="F9135">
        <v>24.54</v>
      </c>
      <c r="G9135">
        <v>21.67</v>
      </c>
      <c r="H9135" t="s">
        <v>17</v>
      </c>
      <c r="I9135" t="str">
        <f>"063610006171"</f>
        <v>063610006171</v>
      </c>
    </row>
    <row r="9136" spans="1:9" x14ac:dyDescent="0.25">
      <c r="A9136" t="s">
        <v>7954</v>
      </c>
      <c r="B9136" t="s">
        <v>13</v>
      </c>
      <c r="C9136">
        <v>5</v>
      </c>
      <c r="D9136">
        <v>3</v>
      </c>
      <c r="E9136" t="s">
        <v>17</v>
      </c>
      <c r="F9136">
        <v>2.8</v>
      </c>
      <c r="G9136">
        <v>7</v>
      </c>
      <c r="H9136" t="s">
        <v>17</v>
      </c>
      <c r="I9136" t="str">
        <f>"063417007629"</f>
        <v>063417007629</v>
      </c>
    </row>
    <row r="9137" spans="1:9" x14ac:dyDescent="0.25">
      <c r="A9137" t="s">
        <v>7955</v>
      </c>
      <c r="B9137" t="s">
        <v>13</v>
      </c>
      <c r="C9137">
        <v>20.47</v>
      </c>
      <c r="D9137">
        <v>23.25</v>
      </c>
      <c r="E9137" t="s">
        <v>17</v>
      </c>
      <c r="F9137">
        <v>27.55</v>
      </c>
      <c r="G9137">
        <v>24.6</v>
      </c>
      <c r="H9137" t="s">
        <v>17</v>
      </c>
      <c r="I9137" t="str">
        <f>"062814004347"</f>
        <v>062814004347</v>
      </c>
    </row>
    <row r="9138" spans="1:9" x14ac:dyDescent="0.25">
      <c r="A9138" t="s">
        <v>7956</v>
      </c>
      <c r="B9138" t="s">
        <v>13</v>
      </c>
      <c r="C9138">
        <v>31</v>
      </c>
      <c r="D9138">
        <v>29</v>
      </c>
      <c r="E9138" t="s">
        <v>17</v>
      </c>
      <c r="F9138">
        <v>20.87</v>
      </c>
      <c r="G9138">
        <v>22.59</v>
      </c>
      <c r="H9138" t="s">
        <v>17</v>
      </c>
      <c r="I9138" t="str">
        <f>"062949009601"</f>
        <v>062949009601</v>
      </c>
    </row>
    <row r="9139" spans="1:9" x14ac:dyDescent="0.25">
      <c r="A9139" t="s">
        <v>7957</v>
      </c>
      <c r="B9139" t="s">
        <v>13</v>
      </c>
      <c r="C9139">
        <v>15</v>
      </c>
      <c r="D9139">
        <v>15</v>
      </c>
      <c r="E9139" t="s">
        <v>17</v>
      </c>
      <c r="F9139">
        <v>28.87</v>
      </c>
      <c r="G9139">
        <v>27.73</v>
      </c>
      <c r="H9139" t="s">
        <v>17</v>
      </c>
      <c r="I9139" t="str">
        <f>"061455001768"</f>
        <v>061455001768</v>
      </c>
    </row>
    <row r="9140" spans="1:9" x14ac:dyDescent="0.25">
      <c r="A9140" t="s">
        <v>7958</v>
      </c>
      <c r="B9140" t="s">
        <v>13</v>
      </c>
      <c r="C9140">
        <v>21.05</v>
      </c>
      <c r="D9140">
        <v>26.97</v>
      </c>
      <c r="E9140" t="s">
        <v>17</v>
      </c>
      <c r="F9140">
        <v>27.22</v>
      </c>
      <c r="G9140">
        <v>23.29</v>
      </c>
      <c r="H9140" t="s">
        <v>17</v>
      </c>
      <c r="I9140" t="str">
        <f>"063462005822"</f>
        <v>063462005822</v>
      </c>
    </row>
    <row r="9141" spans="1:9" x14ac:dyDescent="0.25">
      <c r="A9141" t="s">
        <v>7959</v>
      </c>
      <c r="B9141" t="s">
        <v>13</v>
      </c>
      <c r="C9141">
        <v>1</v>
      </c>
      <c r="D9141">
        <v>1</v>
      </c>
      <c r="E9141" t="s">
        <v>17</v>
      </c>
      <c r="F9141">
        <v>12</v>
      </c>
      <c r="G9141">
        <v>15</v>
      </c>
      <c r="H9141" t="s">
        <v>17</v>
      </c>
      <c r="I9141" t="str">
        <f>"062519003767"</f>
        <v>062519003767</v>
      </c>
    </row>
    <row r="9142" spans="1:9" x14ac:dyDescent="0.25">
      <c r="A9142" t="s">
        <v>7960</v>
      </c>
      <c r="B9142" t="s">
        <v>13</v>
      </c>
      <c r="C9142">
        <v>26</v>
      </c>
      <c r="D9142">
        <v>30</v>
      </c>
      <c r="E9142" t="s">
        <v>17</v>
      </c>
      <c r="F9142">
        <v>24.12</v>
      </c>
      <c r="G9142">
        <v>22.6</v>
      </c>
      <c r="H9142" t="s">
        <v>17</v>
      </c>
      <c r="I9142" t="str">
        <f>"062271003370"</f>
        <v>062271003370</v>
      </c>
    </row>
    <row r="9143" spans="1:9" x14ac:dyDescent="0.25">
      <c r="A9143" t="s">
        <v>7961</v>
      </c>
      <c r="B9143" t="s">
        <v>13</v>
      </c>
      <c r="C9143">
        <v>73.34</v>
      </c>
      <c r="D9143">
        <v>71</v>
      </c>
      <c r="E9143" t="s">
        <v>17</v>
      </c>
      <c r="F9143">
        <v>30</v>
      </c>
      <c r="G9143">
        <v>30.63</v>
      </c>
      <c r="H9143" t="s">
        <v>17</v>
      </c>
      <c r="I9143" t="str">
        <f>"061623008594"</f>
        <v>061623008594</v>
      </c>
    </row>
    <row r="9144" spans="1:9" x14ac:dyDescent="0.25">
      <c r="A9144" t="s">
        <v>7962</v>
      </c>
      <c r="B9144" t="s">
        <v>13</v>
      </c>
      <c r="C9144">
        <v>22.23</v>
      </c>
      <c r="D9144">
        <v>21.23</v>
      </c>
      <c r="E9144" t="s">
        <v>17</v>
      </c>
      <c r="F9144">
        <v>19.79</v>
      </c>
      <c r="G9144">
        <v>20.440000000000001</v>
      </c>
      <c r="H9144" t="s">
        <v>17</v>
      </c>
      <c r="I9144" t="str">
        <f>"063581006135"</f>
        <v>063581006135</v>
      </c>
    </row>
    <row r="9145" spans="1:9" x14ac:dyDescent="0.25">
      <c r="A9145" t="s">
        <v>7963</v>
      </c>
      <c r="B9145" t="s">
        <v>13</v>
      </c>
      <c r="C9145">
        <v>22.8</v>
      </c>
      <c r="D9145">
        <v>27.4</v>
      </c>
      <c r="E9145" t="s">
        <v>17</v>
      </c>
      <c r="F9145">
        <v>29.74</v>
      </c>
      <c r="G9145">
        <v>25.73</v>
      </c>
      <c r="H9145" t="s">
        <v>17</v>
      </c>
      <c r="I9145" t="str">
        <f>"064074006737"</f>
        <v>064074006737</v>
      </c>
    </row>
    <row r="9146" spans="1:9" x14ac:dyDescent="0.25">
      <c r="A9146" t="s">
        <v>7964</v>
      </c>
      <c r="B9146" t="s">
        <v>13</v>
      </c>
      <c r="C9146">
        <v>13.5</v>
      </c>
      <c r="D9146">
        <v>18</v>
      </c>
      <c r="E9146" t="s">
        <v>17</v>
      </c>
      <c r="F9146">
        <v>26.59</v>
      </c>
      <c r="G9146">
        <v>19.11</v>
      </c>
      <c r="H9146" t="s">
        <v>17</v>
      </c>
      <c r="I9146" t="str">
        <f>"063255005061"</f>
        <v>063255005061</v>
      </c>
    </row>
    <row r="9147" spans="1:9" x14ac:dyDescent="0.25">
      <c r="A9147" t="s">
        <v>7965</v>
      </c>
      <c r="B9147" t="s">
        <v>13</v>
      </c>
      <c r="C9147">
        <v>32.9</v>
      </c>
      <c r="D9147">
        <v>31.75</v>
      </c>
      <c r="E9147" t="s">
        <v>17</v>
      </c>
      <c r="F9147">
        <v>26.99</v>
      </c>
      <c r="G9147">
        <v>27.59</v>
      </c>
      <c r="H9147" t="s">
        <v>17</v>
      </c>
      <c r="I9147" t="str">
        <f>"062361009916"</f>
        <v>062361009916</v>
      </c>
    </row>
    <row r="9148" spans="1:9" x14ac:dyDescent="0.25">
      <c r="A9148" t="s">
        <v>7966</v>
      </c>
      <c r="B9148" t="s">
        <v>13</v>
      </c>
      <c r="C9148">
        <v>25.27</v>
      </c>
      <c r="D9148">
        <v>25.27</v>
      </c>
      <c r="E9148" t="s">
        <v>17</v>
      </c>
      <c r="F9148">
        <v>20.100000000000001</v>
      </c>
      <c r="G9148">
        <v>19.670000000000002</v>
      </c>
      <c r="H9148" t="s">
        <v>17</v>
      </c>
      <c r="I9148" t="str">
        <f>"060363009713"</f>
        <v>060363009713</v>
      </c>
    </row>
    <row r="9149" spans="1:9" x14ac:dyDescent="0.25">
      <c r="A9149" t="s">
        <v>7967</v>
      </c>
      <c r="B9149" t="s">
        <v>13</v>
      </c>
      <c r="C9149">
        <v>15.8</v>
      </c>
      <c r="D9149">
        <v>19.8</v>
      </c>
      <c r="E9149" t="s">
        <v>17</v>
      </c>
      <c r="F9149">
        <v>39.299999999999997</v>
      </c>
      <c r="G9149">
        <v>31.01</v>
      </c>
      <c r="H9149" t="s">
        <v>17</v>
      </c>
      <c r="I9149" t="str">
        <f>"062271011361"</f>
        <v>062271011361</v>
      </c>
    </row>
    <row r="9150" spans="1:9" x14ac:dyDescent="0.25">
      <c r="A9150" t="s">
        <v>7968</v>
      </c>
      <c r="B9150" t="s">
        <v>13</v>
      </c>
      <c r="C9150">
        <v>4.8</v>
      </c>
      <c r="D9150">
        <v>5.4</v>
      </c>
      <c r="E9150" t="s">
        <v>17</v>
      </c>
      <c r="F9150">
        <v>25.63</v>
      </c>
      <c r="G9150">
        <v>20.74</v>
      </c>
      <c r="H9150" t="s">
        <v>17</v>
      </c>
      <c r="I9150" t="str">
        <f>"063204008382"</f>
        <v>063204008382</v>
      </c>
    </row>
    <row r="9151" spans="1:9" x14ac:dyDescent="0.25">
      <c r="A9151" t="s">
        <v>7969</v>
      </c>
      <c r="B9151" t="s">
        <v>13</v>
      </c>
      <c r="C9151">
        <v>4.4000000000000004</v>
      </c>
      <c r="D9151">
        <v>3</v>
      </c>
      <c r="E9151" t="s">
        <v>17</v>
      </c>
      <c r="F9151">
        <v>15.45</v>
      </c>
      <c r="G9151">
        <v>26.33</v>
      </c>
      <c r="H9151" t="s">
        <v>17</v>
      </c>
      <c r="I9151" t="str">
        <f>"063204010673"</f>
        <v>063204010673</v>
      </c>
    </row>
    <row r="9152" spans="1:9" x14ac:dyDescent="0.25">
      <c r="A9152" t="s">
        <v>7970</v>
      </c>
      <c r="B9152" t="s">
        <v>13</v>
      </c>
      <c r="C9152">
        <v>17</v>
      </c>
      <c r="D9152" t="s">
        <v>14</v>
      </c>
      <c r="E9152" t="s">
        <v>14</v>
      </c>
      <c r="F9152">
        <v>25.47</v>
      </c>
      <c r="G9152" t="s">
        <v>14</v>
      </c>
      <c r="H9152" t="s">
        <v>14</v>
      </c>
      <c r="I9152" t="str">
        <f>"062271013139"</f>
        <v>062271013139</v>
      </c>
    </row>
    <row r="9153" spans="1:9" x14ac:dyDescent="0.25">
      <c r="A9153" t="s">
        <v>7971</v>
      </c>
      <c r="B9153" t="s">
        <v>13</v>
      </c>
      <c r="C9153">
        <v>27</v>
      </c>
      <c r="D9153">
        <v>26</v>
      </c>
      <c r="E9153" t="s">
        <v>17</v>
      </c>
      <c r="F9153">
        <v>26.44</v>
      </c>
      <c r="G9153">
        <v>26.5</v>
      </c>
      <c r="H9153" t="s">
        <v>17</v>
      </c>
      <c r="I9153" t="str">
        <f>"060444000397"</f>
        <v>060444000397</v>
      </c>
    </row>
    <row r="9154" spans="1:9" x14ac:dyDescent="0.25">
      <c r="A9154" t="s">
        <v>7972</v>
      </c>
      <c r="B9154" t="s">
        <v>13</v>
      </c>
      <c r="C9154">
        <v>69</v>
      </c>
      <c r="D9154">
        <v>72.510000000000005</v>
      </c>
      <c r="E9154" t="s">
        <v>17</v>
      </c>
      <c r="F9154">
        <v>26.28</v>
      </c>
      <c r="G9154">
        <v>25.75</v>
      </c>
      <c r="H9154" t="s">
        <v>17</v>
      </c>
      <c r="I9154" t="str">
        <f>"062271003460"</f>
        <v>062271003460</v>
      </c>
    </row>
    <row r="9155" spans="1:9" x14ac:dyDescent="0.25">
      <c r="A9155" t="s">
        <v>7973</v>
      </c>
      <c r="B9155" t="s">
        <v>13</v>
      </c>
      <c r="C9155">
        <v>24.13</v>
      </c>
      <c r="D9155">
        <v>25.6</v>
      </c>
      <c r="E9155" t="s">
        <v>17</v>
      </c>
      <c r="F9155">
        <v>32.619999999999997</v>
      </c>
      <c r="G9155">
        <v>29.26</v>
      </c>
      <c r="H9155" t="s">
        <v>17</v>
      </c>
      <c r="I9155" t="str">
        <f>"061488001843"</f>
        <v>061488001843</v>
      </c>
    </row>
    <row r="9156" spans="1:9" x14ac:dyDescent="0.25">
      <c r="A9156" t="s">
        <v>7974</v>
      </c>
      <c r="B9156" t="s">
        <v>13</v>
      </c>
      <c r="C9156">
        <v>4</v>
      </c>
      <c r="D9156" t="s">
        <v>14</v>
      </c>
      <c r="E9156" t="s">
        <v>14</v>
      </c>
      <c r="F9156">
        <v>38.5</v>
      </c>
      <c r="G9156" t="s">
        <v>14</v>
      </c>
      <c r="H9156" t="s">
        <v>14</v>
      </c>
      <c r="I9156" t="str">
        <f>"063864013113"</f>
        <v>063864013113</v>
      </c>
    </row>
    <row r="9157" spans="1:9" x14ac:dyDescent="0.25">
      <c r="A9157" t="s">
        <v>7975</v>
      </c>
      <c r="B9157" t="s">
        <v>13</v>
      </c>
      <c r="C9157" t="s">
        <v>17</v>
      </c>
      <c r="D9157" t="s">
        <v>14</v>
      </c>
      <c r="E9157" t="s">
        <v>14</v>
      </c>
      <c r="F9157" t="s">
        <v>17</v>
      </c>
      <c r="G9157" t="s">
        <v>14</v>
      </c>
      <c r="H9157" t="s">
        <v>14</v>
      </c>
      <c r="I9157" t="str">
        <f>"063864013457"</f>
        <v>063864013457</v>
      </c>
    </row>
    <row r="9158" spans="1:9" x14ac:dyDescent="0.25">
      <c r="A9158" t="s">
        <v>7976</v>
      </c>
      <c r="B9158" t="s">
        <v>13</v>
      </c>
      <c r="C9158">
        <v>11</v>
      </c>
      <c r="D9158">
        <v>11</v>
      </c>
      <c r="E9158" t="s">
        <v>17</v>
      </c>
      <c r="F9158">
        <v>22.82</v>
      </c>
      <c r="G9158">
        <v>21.64</v>
      </c>
      <c r="H9158" t="s">
        <v>17</v>
      </c>
      <c r="I9158" t="str">
        <f>"060852000850"</f>
        <v>060852000850</v>
      </c>
    </row>
    <row r="9159" spans="1:9" x14ac:dyDescent="0.25">
      <c r="A9159" t="s">
        <v>7977</v>
      </c>
      <c r="B9159" t="s">
        <v>13</v>
      </c>
      <c r="C9159">
        <v>34.47</v>
      </c>
      <c r="D9159">
        <v>37.659999999999997</v>
      </c>
      <c r="E9159" t="s">
        <v>17</v>
      </c>
      <c r="F9159">
        <v>24.11</v>
      </c>
      <c r="G9159">
        <v>23.87</v>
      </c>
      <c r="H9159" t="s">
        <v>17</v>
      </c>
      <c r="I9159" t="str">
        <f>"062250002759"</f>
        <v>062250002759</v>
      </c>
    </row>
    <row r="9160" spans="1:9" x14ac:dyDescent="0.25">
      <c r="A9160" t="s">
        <v>7978</v>
      </c>
      <c r="B9160" t="s">
        <v>13</v>
      </c>
      <c r="C9160">
        <v>9</v>
      </c>
      <c r="D9160">
        <v>8.14</v>
      </c>
      <c r="E9160" t="s">
        <v>17</v>
      </c>
      <c r="F9160">
        <v>4.5599999999999996</v>
      </c>
      <c r="G9160">
        <v>7.25</v>
      </c>
      <c r="H9160" t="s">
        <v>17</v>
      </c>
      <c r="I9160" t="str">
        <f>"061926007211"</f>
        <v>061926007211</v>
      </c>
    </row>
    <row r="9161" spans="1:9" x14ac:dyDescent="0.25">
      <c r="A9161" t="s">
        <v>7979</v>
      </c>
      <c r="B9161" t="s">
        <v>13</v>
      </c>
      <c r="C9161" t="s">
        <v>14</v>
      </c>
      <c r="D9161" t="s">
        <v>14</v>
      </c>
      <c r="E9161" t="s">
        <v>17</v>
      </c>
      <c r="F9161" t="s">
        <v>14</v>
      </c>
      <c r="G9161" t="s">
        <v>14</v>
      </c>
      <c r="H9161" t="s">
        <v>17</v>
      </c>
      <c r="I9161" t="str">
        <f>"062187002592"</f>
        <v>062187002592</v>
      </c>
    </row>
    <row r="9162" spans="1:9" x14ac:dyDescent="0.25">
      <c r="A9162" t="s">
        <v>7980</v>
      </c>
      <c r="B9162" t="s">
        <v>13</v>
      </c>
      <c r="C9162">
        <v>21.75</v>
      </c>
      <c r="D9162">
        <v>21.55</v>
      </c>
      <c r="E9162" t="s">
        <v>17</v>
      </c>
      <c r="F9162">
        <v>23.08</v>
      </c>
      <c r="G9162">
        <v>24.69</v>
      </c>
      <c r="H9162" t="s">
        <v>17</v>
      </c>
      <c r="I9162" t="str">
        <f>"061044001170"</f>
        <v>061044001170</v>
      </c>
    </row>
    <row r="9163" spans="1:9" x14ac:dyDescent="0.25">
      <c r="A9163" t="s">
        <v>7981</v>
      </c>
      <c r="B9163" t="s">
        <v>13</v>
      </c>
      <c r="C9163">
        <v>24.8</v>
      </c>
      <c r="D9163">
        <v>25.45</v>
      </c>
      <c r="E9163" t="s">
        <v>17</v>
      </c>
      <c r="F9163">
        <v>22.54</v>
      </c>
      <c r="G9163">
        <v>22.63</v>
      </c>
      <c r="H9163" t="s">
        <v>17</v>
      </c>
      <c r="I9163" t="str">
        <f>"061440001676"</f>
        <v>061440001676</v>
      </c>
    </row>
    <row r="9164" spans="1:9" x14ac:dyDescent="0.25">
      <c r="A9164" t="s">
        <v>7982</v>
      </c>
      <c r="B9164" t="s">
        <v>13</v>
      </c>
      <c r="C9164">
        <v>25.03</v>
      </c>
      <c r="D9164">
        <v>26.28</v>
      </c>
      <c r="E9164" t="s">
        <v>17</v>
      </c>
      <c r="F9164">
        <v>24.85</v>
      </c>
      <c r="G9164">
        <v>25.04</v>
      </c>
      <c r="H9164" t="s">
        <v>17</v>
      </c>
      <c r="I9164" t="str">
        <f>"061029001152"</f>
        <v>061029001152</v>
      </c>
    </row>
    <row r="9165" spans="1:9" x14ac:dyDescent="0.25">
      <c r="A9165" t="s">
        <v>7983</v>
      </c>
      <c r="B9165" t="s">
        <v>13</v>
      </c>
      <c r="C9165">
        <v>23</v>
      </c>
      <c r="D9165">
        <v>21.1</v>
      </c>
      <c r="E9165" t="s">
        <v>17</v>
      </c>
      <c r="F9165">
        <v>21.48</v>
      </c>
      <c r="G9165">
        <v>22.18</v>
      </c>
      <c r="H9165" t="s">
        <v>17</v>
      </c>
      <c r="I9165" t="str">
        <f>"063441005660"</f>
        <v>063441005660</v>
      </c>
    </row>
    <row r="9166" spans="1:9" x14ac:dyDescent="0.25">
      <c r="A9166" t="s">
        <v>7984</v>
      </c>
      <c r="B9166" t="s">
        <v>13</v>
      </c>
      <c r="C9166">
        <v>26</v>
      </c>
      <c r="D9166">
        <v>26</v>
      </c>
      <c r="E9166" t="s">
        <v>17</v>
      </c>
      <c r="F9166">
        <v>30.92</v>
      </c>
      <c r="G9166">
        <v>29.88</v>
      </c>
      <c r="H9166" t="s">
        <v>17</v>
      </c>
      <c r="I9166" t="str">
        <f>"062250002760"</f>
        <v>062250002760</v>
      </c>
    </row>
    <row r="9167" spans="1:9" x14ac:dyDescent="0.25">
      <c r="A9167" t="s">
        <v>7984</v>
      </c>
      <c r="B9167" t="s">
        <v>13</v>
      </c>
      <c r="C9167">
        <v>13.99</v>
      </c>
      <c r="D9167">
        <v>13</v>
      </c>
      <c r="E9167" t="s">
        <v>17</v>
      </c>
      <c r="F9167">
        <v>22.23</v>
      </c>
      <c r="G9167">
        <v>23.85</v>
      </c>
      <c r="H9167" t="s">
        <v>17</v>
      </c>
      <c r="I9167" t="str">
        <f>"062628012540"</f>
        <v>062628012540</v>
      </c>
    </row>
    <row r="9168" spans="1:9" x14ac:dyDescent="0.25">
      <c r="A9168" t="s">
        <v>7985</v>
      </c>
      <c r="B9168" t="s">
        <v>13</v>
      </c>
      <c r="C9168">
        <v>35.5</v>
      </c>
      <c r="D9168">
        <v>37.630000000000003</v>
      </c>
      <c r="E9168" t="s">
        <v>17</v>
      </c>
      <c r="F9168">
        <v>25.35</v>
      </c>
      <c r="G9168">
        <v>24.98</v>
      </c>
      <c r="H9168" t="s">
        <v>17</v>
      </c>
      <c r="I9168" t="str">
        <f>"062718004595"</f>
        <v>062718004595</v>
      </c>
    </row>
    <row r="9169" spans="1:9" x14ac:dyDescent="0.25">
      <c r="A9169" t="s">
        <v>7986</v>
      </c>
      <c r="B9169" t="s">
        <v>13</v>
      </c>
      <c r="C9169">
        <v>20.13</v>
      </c>
      <c r="D9169">
        <v>22.3</v>
      </c>
      <c r="E9169" t="s">
        <v>17</v>
      </c>
      <c r="F9169">
        <v>23.45</v>
      </c>
      <c r="G9169">
        <v>22.69</v>
      </c>
      <c r="H9169" t="s">
        <v>17</v>
      </c>
      <c r="I9169" t="str">
        <f>"063255005062"</f>
        <v>063255005062</v>
      </c>
    </row>
    <row r="9170" spans="1:9" x14ac:dyDescent="0.25">
      <c r="A9170" t="s">
        <v>7987</v>
      </c>
      <c r="B9170" t="s">
        <v>13</v>
      </c>
      <c r="C9170">
        <v>31.08</v>
      </c>
      <c r="D9170">
        <v>27.04</v>
      </c>
      <c r="E9170" t="s">
        <v>17</v>
      </c>
      <c r="F9170">
        <v>24.9</v>
      </c>
      <c r="G9170">
        <v>29.81</v>
      </c>
      <c r="H9170" t="s">
        <v>17</v>
      </c>
      <c r="I9170" t="str">
        <f>"060639009330"</f>
        <v>060639009330</v>
      </c>
    </row>
    <row r="9171" spans="1:9" x14ac:dyDescent="0.25">
      <c r="A9171" t="s">
        <v>7988</v>
      </c>
      <c r="B9171" t="s">
        <v>13</v>
      </c>
      <c r="C9171">
        <v>15.5</v>
      </c>
      <c r="D9171">
        <v>17</v>
      </c>
      <c r="E9171" t="s">
        <v>17</v>
      </c>
      <c r="F9171">
        <v>27.29</v>
      </c>
      <c r="G9171">
        <v>26.35</v>
      </c>
      <c r="H9171" t="s">
        <v>17</v>
      </c>
      <c r="I9171" t="str">
        <f>"062781004221"</f>
        <v>062781004221</v>
      </c>
    </row>
    <row r="9172" spans="1:9" x14ac:dyDescent="0.25">
      <c r="A9172" t="s">
        <v>7989</v>
      </c>
      <c r="B9172" t="s">
        <v>13</v>
      </c>
      <c r="C9172">
        <v>16.5</v>
      </c>
      <c r="D9172">
        <v>16.5</v>
      </c>
      <c r="E9172" t="s">
        <v>17</v>
      </c>
      <c r="F9172">
        <v>27.27</v>
      </c>
      <c r="G9172">
        <v>27.52</v>
      </c>
      <c r="H9172" t="s">
        <v>17</v>
      </c>
      <c r="I9172" t="str">
        <f>"063867006498"</f>
        <v>063867006498</v>
      </c>
    </row>
    <row r="9173" spans="1:9" x14ac:dyDescent="0.25">
      <c r="A9173" t="s">
        <v>7990</v>
      </c>
      <c r="B9173" t="s">
        <v>13</v>
      </c>
      <c r="C9173">
        <v>25.78</v>
      </c>
      <c r="D9173">
        <v>17.88</v>
      </c>
      <c r="E9173" t="s">
        <v>17</v>
      </c>
      <c r="F9173">
        <v>22.11</v>
      </c>
      <c r="G9173">
        <v>30.31</v>
      </c>
      <c r="H9173" t="s">
        <v>17</v>
      </c>
      <c r="I9173" t="str">
        <f>"060639009333"</f>
        <v>060639009333</v>
      </c>
    </row>
    <row r="9174" spans="1:9" x14ac:dyDescent="0.25">
      <c r="A9174" t="s">
        <v>7991</v>
      </c>
      <c r="B9174" t="s">
        <v>13</v>
      </c>
      <c r="C9174">
        <v>77.290000000000006</v>
      </c>
      <c r="D9174">
        <v>80.28</v>
      </c>
      <c r="E9174" t="s">
        <v>17</v>
      </c>
      <c r="F9174">
        <v>26.36</v>
      </c>
      <c r="G9174">
        <v>25.77</v>
      </c>
      <c r="H9174" t="s">
        <v>17</v>
      </c>
      <c r="I9174" t="str">
        <f>"061954010223"</f>
        <v>061954010223</v>
      </c>
    </row>
    <row r="9175" spans="1:9" x14ac:dyDescent="0.25">
      <c r="A9175" t="s">
        <v>7992</v>
      </c>
      <c r="B9175" t="s">
        <v>13</v>
      </c>
      <c r="C9175" t="s">
        <v>17</v>
      </c>
      <c r="D9175" t="s">
        <v>14</v>
      </c>
      <c r="E9175" t="s">
        <v>14</v>
      </c>
      <c r="F9175" t="s">
        <v>17</v>
      </c>
      <c r="G9175" t="s">
        <v>14</v>
      </c>
      <c r="H9175" t="s">
        <v>14</v>
      </c>
      <c r="I9175" t="str">
        <f>"063441013621"</f>
        <v>063441013621</v>
      </c>
    </row>
    <row r="9176" spans="1:9" x14ac:dyDescent="0.25">
      <c r="A9176" t="s">
        <v>7993</v>
      </c>
      <c r="B9176" t="s">
        <v>13</v>
      </c>
      <c r="C9176">
        <v>19.47</v>
      </c>
      <c r="D9176">
        <v>19.579999999999998</v>
      </c>
      <c r="E9176" t="s">
        <v>17</v>
      </c>
      <c r="F9176">
        <v>20.8</v>
      </c>
      <c r="G9176">
        <v>19.87</v>
      </c>
      <c r="H9176" t="s">
        <v>17</v>
      </c>
      <c r="I9176" t="str">
        <f>"063801012451"</f>
        <v>063801012451</v>
      </c>
    </row>
    <row r="9177" spans="1:9" x14ac:dyDescent="0.25">
      <c r="A9177" t="s">
        <v>7994</v>
      </c>
      <c r="B9177" t="s">
        <v>13</v>
      </c>
      <c r="C9177">
        <v>22</v>
      </c>
      <c r="D9177">
        <v>19.739999999999998</v>
      </c>
      <c r="E9177" t="s">
        <v>17</v>
      </c>
      <c r="F9177">
        <v>17.64</v>
      </c>
      <c r="G9177">
        <v>17.48</v>
      </c>
      <c r="H9177" t="s">
        <v>17</v>
      </c>
      <c r="I9177" t="str">
        <f>"063801012547"</f>
        <v>063801012547</v>
      </c>
    </row>
    <row r="9178" spans="1:9" x14ac:dyDescent="0.25">
      <c r="A9178" t="s">
        <v>7995</v>
      </c>
      <c r="B9178" t="s">
        <v>13</v>
      </c>
      <c r="C9178">
        <v>4.5</v>
      </c>
      <c r="D9178">
        <v>4.5</v>
      </c>
      <c r="E9178" t="s">
        <v>17</v>
      </c>
      <c r="F9178">
        <v>44.67</v>
      </c>
      <c r="G9178">
        <v>50.89</v>
      </c>
      <c r="H9178" t="s">
        <v>17</v>
      </c>
      <c r="I9178" t="str">
        <f>"063801012443"</f>
        <v>063801012443</v>
      </c>
    </row>
    <row r="9179" spans="1:9" x14ac:dyDescent="0.25">
      <c r="A9179" t="s">
        <v>7996</v>
      </c>
      <c r="B9179" t="s">
        <v>13</v>
      </c>
      <c r="C9179" t="s">
        <v>14</v>
      </c>
      <c r="D9179">
        <v>2.83</v>
      </c>
      <c r="E9179" t="s">
        <v>17</v>
      </c>
      <c r="F9179" t="s">
        <v>17</v>
      </c>
      <c r="G9179">
        <v>14.84</v>
      </c>
      <c r="H9179" t="s">
        <v>17</v>
      </c>
      <c r="I9179" t="str">
        <f>"063801012350"</f>
        <v>063801012350</v>
      </c>
    </row>
    <row r="9180" spans="1:9" x14ac:dyDescent="0.25">
      <c r="A9180" t="s">
        <v>7997</v>
      </c>
      <c r="B9180" t="s">
        <v>13</v>
      </c>
      <c r="C9180">
        <v>11.03</v>
      </c>
      <c r="D9180">
        <v>9.23</v>
      </c>
      <c r="E9180" t="s">
        <v>17</v>
      </c>
      <c r="F9180">
        <v>30.01</v>
      </c>
      <c r="G9180">
        <v>39.22</v>
      </c>
      <c r="H9180" t="s">
        <v>17</v>
      </c>
      <c r="I9180" t="str">
        <f>"063801012446"</f>
        <v>063801012446</v>
      </c>
    </row>
    <row r="9181" spans="1:9" x14ac:dyDescent="0.25">
      <c r="A9181" t="s">
        <v>7998</v>
      </c>
      <c r="B9181" t="s">
        <v>13</v>
      </c>
      <c r="C9181">
        <v>26.4</v>
      </c>
      <c r="D9181">
        <v>28.05</v>
      </c>
      <c r="E9181" t="s">
        <v>17</v>
      </c>
      <c r="F9181">
        <v>25.98</v>
      </c>
      <c r="G9181">
        <v>24.03</v>
      </c>
      <c r="H9181" t="s">
        <v>17</v>
      </c>
      <c r="I9181" t="str">
        <f>"060261000167"</f>
        <v>060261000167</v>
      </c>
    </row>
    <row r="9182" spans="1:9" x14ac:dyDescent="0.25">
      <c r="A9182" t="s">
        <v>7999</v>
      </c>
      <c r="B9182" t="s">
        <v>13</v>
      </c>
      <c r="C9182">
        <v>28.5</v>
      </c>
      <c r="D9182">
        <v>29</v>
      </c>
      <c r="E9182" t="s">
        <v>17</v>
      </c>
      <c r="F9182">
        <v>26.56</v>
      </c>
      <c r="G9182">
        <v>25.34</v>
      </c>
      <c r="H9182" t="s">
        <v>17</v>
      </c>
      <c r="I9182" t="str">
        <f>"061926002418"</f>
        <v>061926002418</v>
      </c>
    </row>
    <row r="9183" spans="1:9" x14ac:dyDescent="0.25">
      <c r="A9183" t="s">
        <v>8000</v>
      </c>
      <c r="B9183" t="s">
        <v>13</v>
      </c>
      <c r="C9183">
        <v>13</v>
      </c>
      <c r="D9183">
        <v>10.31</v>
      </c>
      <c r="E9183" t="s">
        <v>17</v>
      </c>
      <c r="F9183">
        <v>20.23</v>
      </c>
      <c r="G9183">
        <v>25.61</v>
      </c>
      <c r="H9183" t="s">
        <v>17</v>
      </c>
      <c r="I9183" t="str">
        <f>"062664010975"</f>
        <v>062664010975</v>
      </c>
    </row>
    <row r="9184" spans="1:9" x14ac:dyDescent="0.25">
      <c r="A9184" t="s">
        <v>8001</v>
      </c>
      <c r="B9184" t="s">
        <v>13</v>
      </c>
      <c r="C9184">
        <v>5.5</v>
      </c>
      <c r="D9184">
        <v>5</v>
      </c>
      <c r="E9184" t="s">
        <v>17</v>
      </c>
      <c r="F9184">
        <v>24.18</v>
      </c>
      <c r="G9184">
        <v>24.8</v>
      </c>
      <c r="H9184" t="s">
        <v>17</v>
      </c>
      <c r="I9184" t="str">
        <f>"063804006439"</f>
        <v>063804006439</v>
      </c>
    </row>
    <row r="9185" spans="1:9" x14ac:dyDescent="0.25">
      <c r="A9185" t="s">
        <v>8002</v>
      </c>
      <c r="B9185" t="s">
        <v>13</v>
      </c>
      <c r="C9185">
        <v>17</v>
      </c>
      <c r="D9185">
        <v>17</v>
      </c>
      <c r="E9185" t="s">
        <v>17</v>
      </c>
      <c r="F9185">
        <v>32.71</v>
      </c>
      <c r="G9185">
        <v>32.47</v>
      </c>
      <c r="H9185" t="s">
        <v>17</v>
      </c>
      <c r="I9185" t="str">
        <f>"068450007065"</f>
        <v>068450007065</v>
      </c>
    </row>
    <row r="9186" spans="1:9" x14ac:dyDescent="0.25">
      <c r="A9186" t="s">
        <v>8003</v>
      </c>
      <c r="B9186" t="s">
        <v>13</v>
      </c>
      <c r="C9186">
        <v>30</v>
      </c>
      <c r="D9186">
        <v>34</v>
      </c>
      <c r="E9186" t="s">
        <v>17</v>
      </c>
      <c r="F9186">
        <v>25.47</v>
      </c>
      <c r="G9186">
        <v>24.76</v>
      </c>
      <c r="H9186" t="s">
        <v>17</v>
      </c>
      <c r="I9186" t="str">
        <f>"061233008573"</f>
        <v>061233008573</v>
      </c>
    </row>
    <row r="9187" spans="1:9" x14ac:dyDescent="0.25">
      <c r="A9187" t="s">
        <v>8004</v>
      </c>
      <c r="B9187" t="s">
        <v>13</v>
      </c>
      <c r="C9187">
        <v>42.5</v>
      </c>
      <c r="D9187">
        <v>41</v>
      </c>
      <c r="E9187" t="s">
        <v>17</v>
      </c>
      <c r="F9187">
        <v>28.09</v>
      </c>
      <c r="G9187">
        <v>27.88</v>
      </c>
      <c r="H9187" t="s">
        <v>17</v>
      </c>
      <c r="I9187" t="str">
        <f>"063153011133"</f>
        <v>063153011133</v>
      </c>
    </row>
    <row r="9188" spans="1:9" x14ac:dyDescent="0.25">
      <c r="A9188" t="s">
        <v>8005</v>
      </c>
      <c r="B9188" t="s">
        <v>13</v>
      </c>
      <c r="C9188">
        <v>26.77</v>
      </c>
      <c r="D9188">
        <v>27.51</v>
      </c>
      <c r="E9188" t="s">
        <v>17</v>
      </c>
      <c r="F9188">
        <v>23.57</v>
      </c>
      <c r="G9188">
        <v>23.95</v>
      </c>
      <c r="H9188" t="s">
        <v>17</v>
      </c>
      <c r="I9188" t="str">
        <f>"063513005958"</f>
        <v>063513005958</v>
      </c>
    </row>
    <row r="9189" spans="1:9" x14ac:dyDescent="0.25">
      <c r="A9189" t="s">
        <v>8006</v>
      </c>
      <c r="B9189" t="s">
        <v>13</v>
      </c>
      <c r="C9189">
        <v>24</v>
      </c>
      <c r="D9189">
        <v>28.5</v>
      </c>
      <c r="E9189" t="s">
        <v>17</v>
      </c>
      <c r="F9189">
        <v>30.75</v>
      </c>
      <c r="G9189">
        <v>25.33</v>
      </c>
      <c r="H9189" t="s">
        <v>17</v>
      </c>
      <c r="I9189" t="str">
        <f>"061674011550"</f>
        <v>061674011550</v>
      </c>
    </row>
    <row r="9190" spans="1:9" x14ac:dyDescent="0.25">
      <c r="A9190" t="s">
        <v>8007</v>
      </c>
      <c r="B9190" t="s">
        <v>13</v>
      </c>
      <c r="C9190">
        <v>32.04</v>
      </c>
      <c r="D9190">
        <v>29.96</v>
      </c>
      <c r="E9190" t="s">
        <v>17</v>
      </c>
      <c r="F9190">
        <v>25.56</v>
      </c>
      <c r="G9190">
        <v>27.07</v>
      </c>
      <c r="H9190" t="s">
        <v>17</v>
      </c>
      <c r="I9190" t="str">
        <f>"060639011597"</f>
        <v>060639011597</v>
      </c>
    </row>
    <row r="9191" spans="1:9" x14ac:dyDescent="0.25">
      <c r="A9191" t="s">
        <v>8008</v>
      </c>
      <c r="B9191" t="s">
        <v>13</v>
      </c>
      <c r="C9191">
        <v>28</v>
      </c>
      <c r="D9191">
        <v>25</v>
      </c>
      <c r="E9191" t="s">
        <v>17</v>
      </c>
      <c r="F9191">
        <v>33.32</v>
      </c>
      <c r="G9191">
        <v>30.12</v>
      </c>
      <c r="H9191" t="s">
        <v>17</v>
      </c>
      <c r="I9191" t="str">
        <f>"068450007050"</f>
        <v>068450007050</v>
      </c>
    </row>
    <row r="9192" spans="1:9" x14ac:dyDescent="0.25">
      <c r="A9192" t="s">
        <v>8008</v>
      </c>
      <c r="B9192" t="s">
        <v>13</v>
      </c>
      <c r="C9192">
        <v>25</v>
      </c>
      <c r="D9192">
        <v>26</v>
      </c>
      <c r="E9192" t="s">
        <v>17</v>
      </c>
      <c r="F9192">
        <v>24.6</v>
      </c>
      <c r="G9192">
        <v>23.46</v>
      </c>
      <c r="H9192" t="s">
        <v>17</v>
      </c>
      <c r="I9192" t="str">
        <f>"061437001652"</f>
        <v>061437001652</v>
      </c>
    </row>
    <row r="9193" spans="1:9" x14ac:dyDescent="0.25">
      <c r="A9193" t="s">
        <v>8008</v>
      </c>
      <c r="B9193" t="s">
        <v>13</v>
      </c>
      <c r="C9193">
        <v>37.700000000000003</v>
      </c>
      <c r="D9193">
        <v>41.2</v>
      </c>
      <c r="E9193" t="s">
        <v>17</v>
      </c>
      <c r="F9193">
        <v>20.5</v>
      </c>
      <c r="G9193">
        <v>21.33</v>
      </c>
      <c r="H9193" t="s">
        <v>17</v>
      </c>
      <c r="I9193" t="str">
        <f>"064158012071"</f>
        <v>064158012071</v>
      </c>
    </row>
    <row r="9194" spans="1:9" x14ac:dyDescent="0.25">
      <c r="A9194" t="s">
        <v>8009</v>
      </c>
      <c r="B9194" t="s">
        <v>13</v>
      </c>
      <c r="C9194">
        <v>16</v>
      </c>
      <c r="D9194">
        <v>15</v>
      </c>
      <c r="E9194" t="s">
        <v>17</v>
      </c>
      <c r="F9194">
        <v>22.56</v>
      </c>
      <c r="G9194">
        <v>22.2</v>
      </c>
      <c r="H9194" t="s">
        <v>17</v>
      </c>
      <c r="I9194" t="str">
        <f>"062271003374"</f>
        <v>062271003374</v>
      </c>
    </row>
    <row r="9195" spans="1:9" x14ac:dyDescent="0.25">
      <c r="A9195" t="s">
        <v>8010</v>
      </c>
      <c r="B9195" t="s">
        <v>13</v>
      </c>
      <c r="C9195">
        <v>31.6</v>
      </c>
      <c r="D9195">
        <v>32</v>
      </c>
      <c r="E9195" t="s">
        <v>17</v>
      </c>
      <c r="F9195">
        <v>19.37</v>
      </c>
      <c r="G9195">
        <v>19.559999999999999</v>
      </c>
      <c r="H9195" t="s">
        <v>17</v>
      </c>
      <c r="I9195" t="str">
        <f>"063060009995"</f>
        <v>063060009995</v>
      </c>
    </row>
    <row r="9196" spans="1:9" x14ac:dyDescent="0.25">
      <c r="A9196" t="s">
        <v>8011</v>
      </c>
      <c r="B9196" t="s">
        <v>13</v>
      </c>
      <c r="C9196">
        <v>17</v>
      </c>
      <c r="D9196">
        <v>16.5</v>
      </c>
      <c r="E9196" t="s">
        <v>17</v>
      </c>
      <c r="F9196">
        <v>21.65</v>
      </c>
      <c r="G9196">
        <v>21.45</v>
      </c>
      <c r="H9196" t="s">
        <v>17</v>
      </c>
      <c r="I9196" t="str">
        <f>"062271003375"</f>
        <v>062271003375</v>
      </c>
    </row>
    <row r="9197" spans="1:9" x14ac:dyDescent="0.25">
      <c r="A9197" t="s">
        <v>8012</v>
      </c>
      <c r="B9197" t="s">
        <v>13</v>
      </c>
      <c r="C9197">
        <v>20</v>
      </c>
      <c r="D9197">
        <v>23</v>
      </c>
      <c r="E9197" t="s">
        <v>17</v>
      </c>
      <c r="F9197">
        <v>26.55</v>
      </c>
      <c r="G9197">
        <v>24.7</v>
      </c>
      <c r="H9197" t="s">
        <v>17</v>
      </c>
      <c r="I9197" t="str">
        <f>"063360008761"</f>
        <v>063360008761</v>
      </c>
    </row>
    <row r="9198" spans="1:9" x14ac:dyDescent="0.25">
      <c r="A9198" t="s">
        <v>8013</v>
      </c>
      <c r="B9198" t="s">
        <v>13</v>
      </c>
      <c r="C9198">
        <v>5</v>
      </c>
      <c r="D9198">
        <v>5</v>
      </c>
      <c r="E9198" t="s">
        <v>17</v>
      </c>
      <c r="F9198">
        <v>30.4</v>
      </c>
      <c r="G9198">
        <v>26.2</v>
      </c>
      <c r="H9198" t="s">
        <v>17</v>
      </c>
      <c r="I9198" t="str">
        <f>"062271003376"</f>
        <v>062271003376</v>
      </c>
    </row>
    <row r="9199" spans="1:9" x14ac:dyDescent="0.25">
      <c r="A9199" t="s">
        <v>8014</v>
      </c>
      <c r="B9199" t="s">
        <v>13</v>
      </c>
      <c r="C9199" t="s">
        <v>17</v>
      </c>
      <c r="D9199" t="s">
        <v>17</v>
      </c>
      <c r="E9199" t="s">
        <v>17</v>
      </c>
      <c r="F9199" t="s">
        <v>17</v>
      </c>
      <c r="G9199" t="s">
        <v>17</v>
      </c>
      <c r="H9199" t="s">
        <v>17</v>
      </c>
      <c r="I9199" t="str">
        <f>"063807008482"</f>
        <v>063807008482</v>
      </c>
    </row>
    <row r="9200" spans="1:9" x14ac:dyDescent="0.25">
      <c r="A9200" t="s">
        <v>8015</v>
      </c>
      <c r="B9200" t="s">
        <v>13</v>
      </c>
      <c r="C9200" t="s">
        <v>17</v>
      </c>
      <c r="D9200" t="s">
        <v>17</v>
      </c>
      <c r="E9200" t="s">
        <v>17</v>
      </c>
      <c r="F9200" t="s">
        <v>17</v>
      </c>
      <c r="G9200" t="s">
        <v>17</v>
      </c>
      <c r="H9200" t="s">
        <v>17</v>
      </c>
      <c r="I9200" t="str">
        <f>"063807008700"</f>
        <v>063807008700</v>
      </c>
    </row>
    <row r="9201" spans="1:9" x14ac:dyDescent="0.25">
      <c r="A9201" t="s">
        <v>8016</v>
      </c>
      <c r="B9201" t="s">
        <v>13</v>
      </c>
      <c r="C9201" t="s">
        <v>17</v>
      </c>
      <c r="D9201" t="s">
        <v>14</v>
      </c>
      <c r="E9201" t="s">
        <v>14</v>
      </c>
      <c r="F9201" t="s">
        <v>17</v>
      </c>
      <c r="G9201" t="s">
        <v>14</v>
      </c>
      <c r="H9201" t="s">
        <v>14</v>
      </c>
      <c r="I9201" t="str">
        <f>"060438013478"</f>
        <v>060438013478</v>
      </c>
    </row>
    <row r="9202" spans="1:9" x14ac:dyDescent="0.25">
      <c r="A9202" t="s">
        <v>8017</v>
      </c>
      <c r="B9202" t="s">
        <v>13</v>
      </c>
      <c r="C9202">
        <v>23.5</v>
      </c>
      <c r="D9202">
        <v>23.4</v>
      </c>
      <c r="E9202" t="s">
        <v>17</v>
      </c>
      <c r="F9202">
        <v>27.19</v>
      </c>
      <c r="G9202">
        <v>26.11</v>
      </c>
      <c r="H9202" t="s">
        <v>17</v>
      </c>
      <c r="I9202" t="str">
        <f>"060162000026"</f>
        <v>060162000026</v>
      </c>
    </row>
    <row r="9203" spans="1:9" x14ac:dyDescent="0.25">
      <c r="A9203" t="s">
        <v>8018</v>
      </c>
      <c r="B9203" t="s">
        <v>13</v>
      </c>
      <c r="C9203">
        <v>24.75</v>
      </c>
      <c r="D9203">
        <v>23</v>
      </c>
      <c r="E9203" t="s">
        <v>17</v>
      </c>
      <c r="F9203">
        <v>26.34</v>
      </c>
      <c r="G9203">
        <v>26.22</v>
      </c>
      <c r="H9203" t="s">
        <v>17</v>
      </c>
      <c r="I9203" t="str">
        <f>"062637003974"</f>
        <v>062637003974</v>
      </c>
    </row>
    <row r="9204" spans="1:9" x14ac:dyDescent="0.25">
      <c r="A9204" t="s">
        <v>8019</v>
      </c>
      <c r="B9204" t="s">
        <v>13</v>
      </c>
      <c r="C9204">
        <v>16</v>
      </c>
      <c r="D9204">
        <v>15.5</v>
      </c>
      <c r="E9204" t="s">
        <v>17</v>
      </c>
      <c r="F9204">
        <v>17.63</v>
      </c>
      <c r="G9204">
        <v>18.71</v>
      </c>
      <c r="H9204" t="s">
        <v>17</v>
      </c>
      <c r="I9204" t="str">
        <f>"060798000768"</f>
        <v>060798000768</v>
      </c>
    </row>
    <row r="9205" spans="1:9" x14ac:dyDescent="0.25">
      <c r="A9205" t="s">
        <v>8020</v>
      </c>
      <c r="B9205" t="s">
        <v>13</v>
      </c>
      <c r="C9205">
        <v>30</v>
      </c>
      <c r="D9205">
        <v>28.5</v>
      </c>
      <c r="E9205" t="s">
        <v>17</v>
      </c>
      <c r="F9205">
        <v>24.07</v>
      </c>
      <c r="G9205">
        <v>24.7</v>
      </c>
      <c r="H9205" t="s">
        <v>17</v>
      </c>
      <c r="I9205" t="str">
        <f>"062271003377"</f>
        <v>062271003377</v>
      </c>
    </row>
    <row r="9206" spans="1:9" x14ac:dyDescent="0.25">
      <c r="A9206" t="s">
        <v>8021</v>
      </c>
      <c r="B9206" t="s">
        <v>13</v>
      </c>
      <c r="C9206">
        <v>1</v>
      </c>
      <c r="D9206">
        <v>1</v>
      </c>
      <c r="E9206" t="s">
        <v>17</v>
      </c>
      <c r="F9206">
        <v>6</v>
      </c>
      <c r="G9206">
        <v>9</v>
      </c>
      <c r="H9206" t="s">
        <v>17</v>
      </c>
      <c r="I9206" t="str">
        <f>"063813010702"</f>
        <v>063813010702</v>
      </c>
    </row>
    <row r="9207" spans="1:9" x14ac:dyDescent="0.25">
      <c r="A9207" t="s">
        <v>8022</v>
      </c>
      <c r="B9207" t="s">
        <v>13</v>
      </c>
      <c r="C9207">
        <v>38</v>
      </c>
      <c r="D9207">
        <v>38</v>
      </c>
      <c r="E9207" t="s">
        <v>17</v>
      </c>
      <c r="F9207">
        <v>21.74</v>
      </c>
      <c r="G9207">
        <v>21.79</v>
      </c>
      <c r="H9207" t="s">
        <v>17</v>
      </c>
      <c r="I9207" t="str">
        <f>"063813012108"</f>
        <v>063813012108</v>
      </c>
    </row>
    <row r="9208" spans="1:9" x14ac:dyDescent="0.25">
      <c r="A9208" t="s">
        <v>8023</v>
      </c>
      <c r="B9208" t="s">
        <v>13</v>
      </c>
      <c r="C9208">
        <v>17.399999999999999</v>
      </c>
      <c r="D9208">
        <v>16.41</v>
      </c>
      <c r="E9208" t="s">
        <v>17</v>
      </c>
      <c r="F9208">
        <v>16.670000000000002</v>
      </c>
      <c r="G9208">
        <v>18.28</v>
      </c>
      <c r="H9208" t="s">
        <v>17</v>
      </c>
      <c r="I9208" t="str">
        <f>"060006411535"</f>
        <v>060006411535</v>
      </c>
    </row>
    <row r="9209" spans="1:9" x14ac:dyDescent="0.25">
      <c r="A9209" t="s">
        <v>8024</v>
      </c>
      <c r="B9209" t="s">
        <v>13</v>
      </c>
      <c r="C9209">
        <v>15</v>
      </c>
      <c r="D9209">
        <v>15</v>
      </c>
      <c r="E9209" t="s">
        <v>17</v>
      </c>
      <c r="F9209">
        <v>27.33</v>
      </c>
      <c r="G9209">
        <v>24.67</v>
      </c>
      <c r="H9209" t="s">
        <v>17</v>
      </c>
      <c r="I9209" t="str">
        <f>"060465000429"</f>
        <v>060465000429</v>
      </c>
    </row>
    <row r="9210" spans="1:9" x14ac:dyDescent="0.25">
      <c r="A9210" t="s">
        <v>8025</v>
      </c>
      <c r="B9210" t="s">
        <v>13</v>
      </c>
      <c r="C9210">
        <v>22.01</v>
      </c>
      <c r="D9210">
        <v>21.65</v>
      </c>
      <c r="E9210" t="s">
        <v>17</v>
      </c>
      <c r="F9210">
        <v>19.170000000000002</v>
      </c>
      <c r="G9210">
        <v>18.940000000000001</v>
      </c>
      <c r="H9210" t="s">
        <v>17</v>
      </c>
      <c r="I9210" t="str">
        <f>"062487008518"</f>
        <v>062487008518</v>
      </c>
    </row>
    <row r="9211" spans="1:9" x14ac:dyDescent="0.25">
      <c r="A9211" t="s">
        <v>8026</v>
      </c>
      <c r="B9211" t="s">
        <v>13</v>
      </c>
      <c r="C9211" t="str">
        <f>"0.01"</f>
        <v>0.01</v>
      </c>
      <c r="D9211">
        <v>1</v>
      </c>
      <c r="E9211" t="s">
        <v>17</v>
      </c>
      <c r="F9211">
        <v>10300</v>
      </c>
      <c r="G9211" t="s">
        <v>17</v>
      </c>
      <c r="H9211" t="s">
        <v>17</v>
      </c>
      <c r="I9211" t="str">
        <f>"062805007804"</f>
        <v>062805007804</v>
      </c>
    </row>
    <row r="9212" spans="1:9" x14ac:dyDescent="0.25">
      <c r="A9212" t="s">
        <v>8027</v>
      </c>
      <c r="B9212" t="s">
        <v>13</v>
      </c>
      <c r="C9212">
        <v>19.8</v>
      </c>
      <c r="D9212">
        <v>24.23</v>
      </c>
      <c r="E9212" t="s">
        <v>17</v>
      </c>
      <c r="F9212">
        <v>30.86</v>
      </c>
      <c r="G9212">
        <v>27.24</v>
      </c>
      <c r="H9212" t="s">
        <v>17</v>
      </c>
      <c r="I9212" t="str">
        <f>"061674008855"</f>
        <v>061674008855</v>
      </c>
    </row>
    <row r="9213" spans="1:9" x14ac:dyDescent="0.25">
      <c r="A9213" t="s">
        <v>8028</v>
      </c>
      <c r="B9213" t="s">
        <v>13</v>
      </c>
      <c r="C9213" t="s">
        <v>14</v>
      </c>
      <c r="D9213" t="s">
        <v>14</v>
      </c>
      <c r="E9213" t="s">
        <v>17</v>
      </c>
      <c r="F9213" t="s">
        <v>14</v>
      </c>
      <c r="G9213" t="s">
        <v>14</v>
      </c>
      <c r="H9213" t="s">
        <v>17</v>
      </c>
      <c r="I9213" t="str">
        <f>"061419011592"</f>
        <v>061419011592</v>
      </c>
    </row>
    <row r="9214" spans="1:9" x14ac:dyDescent="0.25">
      <c r="A9214" t="s">
        <v>8029</v>
      </c>
      <c r="B9214" t="s">
        <v>13</v>
      </c>
      <c r="C9214">
        <v>25.82</v>
      </c>
      <c r="D9214">
        <v>22.5</v>
      </c>
      <c r="E9214" t="s">
        <v>17</v>
      </c>
      <c r="F9214">
        <v>24.09</v>
      </c>
      <c r="G9214">
        <v>23.24</v>
      </c>
      <c r="H9214" t="s">
        <v>17</v>
      </c>
      <c r="I9214" t="str">
        <f>"062825007717"</f>
        <v>062825007717</v>
      </c>
    </row>
    <row r="9215" spans="1:9" x14ac:dyDescent="0.25">
      <c r="A9215" t="s">
        <v>8030</v>
      </c>
      <c r="B9215" t="s">
        <v>13</v>
      </c>
      <c r="C9215">
        <v>18.5</v>
      </c>
      <c r="D9215">
        <v>19</v>
      </c>
      <c r="E9215" t="s">
        <v>17</v>
      </c>
      <c r="F9215">
        <v>28</v>
      </c>
      <c r="G9215">
        <v>27.79</v>
      </c>
      <c r="H9215" t="s">
        <v>17</v>
      </c>
      <c r="I9215" t="str">
        <f>"062193002608"</f>
        <v>062193002608</v>
      </c>
    </row>
    <row r="9216" spans="1:9" x14ac:dyDescent="0.25">
      <c r="A9216" t="s">
        <v>8031</v>
      </c>
      <c r="B9216" t="s">
        <v>13</v>
      </c>
      <c r="C9216">
        <v>10</v>
      </c>
      <c r="D9216">
        <v>14</v>
      </c>
      <c r="E9216" t="s">
        <v>17</v>
      </c>
      <c r="F9216">
        <v>27.9</v>
      </c>
      <c r="G9216">
        <v>24.36</v>
      </c>
      <c r="H9216" t="s">
        <v>17</v>
      </c>
      <c r="I9216" t="str">
        <f>"062271012035"</f>
        <v>062271012035</v>
      </c>
    </row>
    <row r="9217" spans="1:9" x14ac:dyDescent="0.25">
      <c r="A9217" t="s">
        <v>8032</v>
      </c>
      <c r="B9217" t="s">
        <v>13</v>
      </c>
      <c r="C9217" t="s">
        <v>17</v>
      </c>
      <c r="D9217" t="s">
        <v>14</v>
      </c>
      <c r="E9217" t="s">
        <v>14</v>
      </c>
      <c r="F9217" t="s">
        <v>17</v>
      </c>
      <c r="G9217" t="s">
        <v>14</v>
      </c>
      <c r="H9217" t="s">
        <v>14</v>
      </c>
      <c r="I9217" t="str">
        <f>"062271013412"</f>
        <v>062271013412</v>
      </c>
    </row>
    <row r="9218" spans="1:9" x14ac:dyDescent="0.25">
      <c r="A9218" t="s">
        <v>8033</v>
      </c>
      <c r="B9218" t="s">
        <v>13</v>
      </c>
      <c r="C9218">
        <v>11</v>
      </c>
      <c r="D9218">
        <v>12</v>
      </c>
      <c r="E9218" t="s">
        <v>17</v>
      </c>
      <c r="F9218">
        <v>25.73</v>
      </c>
      <c r="G9218">
        <v>25.17</v>
      </c>
      <c r="H9218" t="s">
        <v>17</v>
      </c>
      <c r="I9218" t="str">
        <f>"061437011795"</f>
        <v>061437011795</v>
      </c>
    </row>
    <row r="9219" spans="1:9" x14ac:dyDescent="0.25">
      <c r="A9219" t="s">
        <v>8033</v>
      </c>
      <c r="B9219" t="s">
        <v>13</v>
      </c>
      <c r="C9219">
        <v>2</v>
      </c>
      <c r="D9219">
        <v>2.2000000000000002</v>
      </c>
      <c r="E9219" t="s">
        <v>17</v>
      </c>
      <c r="F9219">
        <v>2</v>
      </c>
      <c r="G9219">
        <v>3.18</v>
      </c>
      <c r="H9219" t="s">
        <v>17</v>
      </c>
      <c r="I9219" t="str">
        <f>"063384008282"</f>
        <v>063384008282</v>
      </c>
    </row>
    <row r="9220" spans="1:9" x14ac:dyDescent="0.25">
      <c r="A9220" t="s">
        <v>8034</v>
      </c>
      <c r="B9220" t="s">
        <v>13</v>
      </c>
      <c r="C9220">
        <v>20</v>
      </c>
      <c r="D9220">
        <v>23</v>
      </c>
      <c r="E9220" t="s">
        <v>17</v>
      </c>
      <c r="F9220">
        <v>29.2</v>
      </c>
      <c r="G9220">
        <v>27.09</v>
      </c>
      <c r="H9220" t="s">
        <v>17</v>
      </c>
      <c r="I9220" t="str">
        <f>"062580008910"</f>
        <v>062580008910</v>
      </c>
    </row>
    <row r="9221" spans="1:9" x14ac:dyDescent="0.25">
      <c r="A9221" t="s">
        <v>8035</v>
      </c>
      <c r="B9221" t="s">
        <v>13</v>
      </c>
      <c r="C9221">
        <v>2</v>
      </c>
      <c r="D9221">
        <v>2</v>
      </c>
      <c r="E9221" t="s">
        <v>17</v>
      </c>
      <c r="F9221">
        <v>7</v>
      </c>
      <c r="G9221">
        <v>7.5</v>
      </c>
      <c r="H9221" t="s">
        <v>17</v>
      </c>
      <c r="I9221" t="str">
        <f>"069102312339"</f>
        <v>069102312339</v>
      </c>
    </row>
    <row r="9222" spans="1:9" x14ac:dyDescent="0.25">
      <c r="A9222" t="s">
        <v>8036</v>
      </c>
      <c r="B9222" t="s">
        <v>13</v>
      </c>
      <c r="C9222">
        <v>29</v>
      </c>
      <c r="D9222">
        <v>26</v>
      </c>
      <c r="E9222" t="s">
        <v>17</v>
      </c>
      <c r="F9222">
        <v>20.03</v>
      </c>
      <c r="G9222">
        <v>20.23</v>
      </c>
      <c r="H9222" t="s">
        <v>17</v>
      </c>
      <c r="I9222" t="str">
        <f>"061336007283"</f>
        <v>061336007283</v>
      </c>
    </row>
    <row r="9223" spans="1:9" x14ac:dyDescent="0.25">
      <c r="A9223" t="s">
        <v>8037</v>
      </c>
      <c r="B9223" t="s">
        <v>13</v>
      </c>
      <c r="C9223">
        <v>14</v>
      </c>
      <c r="D9223">
        <v>11.6</v>
      </c>
      <c r="E9223" t="s">
        <v>17</v>
      </c>
      <c r="F9223">
        <v>30</v>
      </c>
      <c r="G9223">
        <v>29.57</v>
      </c>
      <c r="H9223" t="s">
        <v>17</v>
      </c>
      <c r="I9223" t="str">
        <f>"061336001528"</f>
        <v>061336001528</v>
      </c>
    </row>
    <row r="9224" spans="1:9" x14ac:dyDescent="0.25">
      <c r="A9224" t="s">
        <v>8038</v>
      </c>
      <c r="B9224" t="s">
        <v>13</v>
      </c>
      <c r="C9224">
        <v>26</v>
      </c>
      <c r="D9224">
        <v>25</v>
      </c>
      <c r="E9224" t="s">
        <v>17</v>
      </c>
      <c r="F9224">
        <v>25.04</v>
      </c>
      <c r="G9224">
        <v>25.84</v>
      </c>
      <c r="H9224" t="s">
        <v>17</v>
      </c>
      <c r="I9224" t="str">
        <f>"063822006450"</f>
        <v>063822006450</v>
      </c>
    </row>
    <row r="9225" spans="1:9" x14ac:dyDescent="0.25">
      <c r="A9225" t="s">
        <v>8039</v>
      </c>
      <c r="B9225" t="s">
        <v>13</v>
      </c>
      <c r="C9225">
        <v>43.1</v>
      </c>
      <c r="D9225">
        <v>43</v>
      </c>
      <c r="E9225" t="s">
        <v>17</v>
      </c>
      <c r="F9225">
        <v>19.329999999999998</v>
      </c>
      <c r="G9225">
        <v>19.420000000000002</v>
      </c>
      <c r="H9225" t="s">
        <v>17</v>
      </c>
      <c r="I9225" t="str">
        <f>"062847004412"</f>
        <v>062847004412</v>
      </c>
    </row>
    <row r="9226" spans="1:9" x14ac:dyDescent="0.25">
      <c r="A9226" t="s">
        <v>8040</v>
      </c>
      <c r="B9226" t="s">
        <v>13</v>
      </c>
      <c r="C9226">
        <v>86.49</v>
      </c>
      <c r="D9226">
        <v>79.599999999999994</v>
      </c>
      <c r="E9226" t="s">
        <v>17</v>
      </c>
      <c r="F9226">
        <v>24.75</v>
      </c>
      <c r="G9226">
        <v>27.71</v>
      </c>
      <c r="H9226" t="s">
        <v>17</v>
      </c>
      <c r="I9226" t="str">
        <f>"060001405093"</f>
        <v>060001405093</v>
      </c>
    </row>
    <row r="9227" spans="1:9" x14ac:dyDescent="0.25">
      <c r="A9227" t="s">
        <v>8041</v>
      </c>
      <c r="B9227" t="s">
        <v>13</v>
      </c>
      <c r="C9227">
        <v>19.899999999999999</v>
      </c>
      <c r="D9227">
        <v>18.899999999999999</v>
      </c>
      <c r="E9227" t="s">
        <v>17</v>
      </c>
      <c r="F9227">
        <v>19.100000000000001</v>
      </c>
      <c r="G9227">
        <v>20.85</v>
      </c>
      <c r="H9227" t="s">
        <v>17</v>
      </c>
      <c r="I9227" t="str">
        <f>"062100002525"</f>
        <v>062100002525</v>
      </c>
    </row>
    <row r="9228" spans="1:9" x14ac:dyDescent="0.25">
      <c r="A9228" t="s">
        <v>8042</v>
      </c>
      <c r="B9228" t="s">
        <v>13</v>
      </c>
      <c r="C9228">
        <v>20</v>
      </c>
      <c r="D9228">
        <v>22</v>
      </c>
      <c r="E9228" t="s">
        <v>17</v>
      </c>
      <c r="F9228">
        <v>24.7</v>
      </c>
      <c r="G9228">
        <v>24</v>
      </c>
      <c r="H9228" t="s">
        <v>17</v>
      </c>
      <c r="I9228" t="str">
        <f>"060480000467"</f>
        <v>060480000467</v>
      </c>
    </row>
    <row r="9229" spans="1:9" x14ac:dyDescent="0.25">
      <c r="A9229" t="s">
        <v>8043</v>
      </c>
      <c r="B9229" t="s">
        <v>13</v>
      </c>
      <c r="C9229">
        <v>3</v>
      </c>
      <c r="D9229">
        <v>3</v>
      </c>
      <c r="E9229" t="s">
        <v>17</v>
      </c>
      <c r="F9229">
        <v>23</v>
      </c>
      <c r="G9229">
        <v>20</v>
      </c>
      <c r="H9229" t="s">
        <v>17</v>
      </c>
      <c r="I9229" t="str">
        <f>"060756000729"</f>
        <v>060756000729</v>
      </c>
    </row>
    <row r="9230" spans="1:9" x14ac:dyDescent="0.25">
      <c r="A9230" t="s">
        <v>8044</v>
      </c>
      <c r="B9230" t="s">
        <v>13</v>
      </c>
      <c r="C9230">
        <v>16.2</v>
      </c>
      <c r="D9230">
        <v>18</v>
      </c>
      <c r="E9230" t="s">
        <v>17</v>
      </c>
      <c r="F9230">
        <v>21.48</v>
      </c>
      <c r="G9230">
        <v>19.559999999999999</v>
      </c>
      <c r="H9230" t="s">
        <v>17</v>
      </c>
      <c r="I9230" t="str">
        <f>"063825006451"</f>
        <v>063825006451</v>
      </c>
    </row>
    <row r="9231" spans="1:9" x14ac:dyDescent="0.25">
      <c r="A9231" t="s">
        <v>8045</v>
      </c>
      <c r="B9231" t="s">
        <v>13</v>
      </c>
      <c r="C9231" t="s">
        <v>14</v>
      </c>
      <c r="D9231" t="s">
        <v>14</v>
      </c>
      <c r="E9231" t="s">
        <v>17</v>
      </c>
      <c r="F9231" t="s">
        <v>14</v>
      </c>
      <c r="G9231" t="s">
        <v>14</v>
      </c>
      <c r="H9231" t="s">
        <v>17</v>
      </c>
      <c r="I9231" t="str">
        <f>"063825007911"</f>
        <v>063825007911</v>
      </c>
    </row>
    <row r="9232" spans="1:9" x14ac:dyDescent="0.25">
      <c r="A9232" t="s">
        <v>8046</v>
      </c>
      <c r="B9232" t="s">
        <v>13</v>
      </c>
      <c r="C9232">
        <v>27.89</v>
      </c>
      <c r="D9232">
        <v>26.12</v>
      </c>
      <c r="E9232" t="s">
        <v>17</v>
      </c>
      <c r="F9232">
        <v>16.71</v>
      </c>
      <c r="G9232">
        <v>24.89</v>
      </c>
      <c r="H9232" t="s">
        <v>17</v>
      </c>
      <c r="I9232" t="str">
        <f>"063828006452"</f>
        <v>063828006452</v>
      </c>
    </row>
    <row r="9233" spans="1:9" x14ac:dyDescent="0.25">
      <c r="A9233" t="s">
        <v>8047</v>
      </c>
      <c r="B9233" t="s">
        <v>13</v>
      </c>
      <c r="C9233">
        <v>35</v>
      </c>
      <c r="D9233">
        <v>44.25</v>
      </c>
      <c r="E9233" t="s">
        <v>17</v>
      </c>
      <c r="F9233">
        <v>28.06</v>
      </c>
      <c r="G9233">
        <v>28.79</v>
      </c>
      <c r="H9233" t="s">
        <v>17</v>
      </c>
      <c r="I9233" t="str">
        <f>"062958009609"</f>
        <v>062958009609</v>
      </c>
    </row>
    <row r="9234" spans="1:9" x14ac:dyDescent="0.25">
      <c r="A9234" t="s">
        <v>8048</v>
      </c>
      <c r="B9234" t="s">
        <v>13</v>
      </c>
      <c r="C9234">
        <v>1</v>
      </c>
      <c r="D9234">
        <v>1</v>
      </c>
      <c r="E9234" t="s">
        <v>17</v>
      </c>
      <c r="F9234">
        <v>2</v>
      </c>
      <c r="G9234">
        <v>3</v>
      </c>
      <c r="H9234" t="s">
        <v>17</v>
      </c>
      <c r="I9234" t="str">
        <f>"061167007826"</f>
        <v>061167007826</v>
      </c>
    </row>
    <row r="9235" spans="1:9" x14ac:dyDescent="0.25">
      <c r="A9235" t="s">
        <v>8049</v>
      </c>
      <c r="B9235" t="s">
        <v>13</v>
      </c>
      <c r="C9235" t="s">
        <v>17</v>
      </c>
      <c r="D9235" t="s">
        <v>14</v>
      </c>
      <c r="E9235" t="s">
        <v>14</v>
      </c>
      <c r="F9235" t="s">
        <v>17</v>
      </c>
      <c r="G9235" t="s">
        <v>14</v>
      </c>
      <c r="H9235" t="s">
        <v>14</v>
      </c>
      <c r="I9235" t="str">
        <f>"060651013160"</f>
        <v>060651013160</v>
      </c>
    </row>
    <row r="9236" spans="1:9" x14ac:dyDescent="0.25">
      <c r="A9236" t="s">
        <v>8050</v>
      </c>
      <c r="B9236" t="s">
        <v>13</v>
      </c>
      <c r="C9236">
        <v>62.44</v>
      </c>
      <c r="D9236">
        <v>47.87</v>
      </c>
      <c r="E9236" t="s">
        <v>17</v>
      </c>
      <c r="F9236">
        <v>23.38</v>
      </c>
      <c r="G9236">
        <v>22.75</v>
      </c>
      <c r="H9236" t="s">
        <v>17</v>
      </c>
      <c r="I9236" t="str">
        <f>"060657011526"</f>
        <v>060657011526</v>
      </c>
    </row>
    <row r="9237" spans="1:9" x14ac:dyDescent="0.25">
      <c r="A9237" t="s">
        <v>8051</v>
      </c>
      <c r="B9237" t="s">
        <v>13</v>
      </c>
      <c r="C9237">
        <v>2</v>
      </c>
      <c r="D9237">
        <v>2</v>
      </c>
      <c r="E9237" t="s">
        <v>17</v>
      </c>
      <c r="F9237">
        <v>10.5</v>
      </c>
      <c r="G9237">
        <v>9.5</v>
      </c>
      <c r="H9237" t="s">
        <v>17</v>
      </c>
      <c r="I9237" t="str">
        <f>"061954008870"</f>
        <v>061954008870</v>
      </c>
    </row>
    <row r="9238" spans="1:9" x14ac:dyDescent="0.25">
      <c r="A9238" t="s">
        <v>8052</v>
      </c>
      <c r="B9238" t="s">
        <v>13</v>
      </c>
      <c r="C9238">
        <v>3</v>
      </c>
      <c r="D9238">
        <v>3</v>
      </c>
      <c r="E9238" t="s">
        <v>17</v>
      </c>
      <c r="F9238">
        <v>24.33</v>
      </c>
      <c r="G9238">
        <v>24.67</v>
      </c>
      <c r="H9238" t="s">
        <v>17</v>
      </c>
      <c r="I9238" t="str">
        <f>"062827004381"</f>
        <v>062827004381</v>
      </c>
    </row>
    <row r="9239" spans="1:9" x14ac:dyDescent="0.25">
      <c r="A9239" t="s">
        <v>8053</v>
      </c>
      <c r="B9239" t="s">
        <v>13</v>
      </c>
      <c r="C9239">
        <v>99.32</v>
      </c>
      <c r="D9239">
        <v>100.31</v>
      </c>
      <c r="E9239" t="s">
        <v>17</v>
      </c>
      <c r="F9239">
        <v>24.43</v>
      </c>
      <c r="G9239">
        <v>24.74</v>
      </c>
      <c r="H9239" t="s">
        <v>17</v>
      </c>
      <c r="I9239" t="str">
        <f>"061392011099"</f>
        <v>061392011099</v>
      </c>
    </row>
    <row r="9240" spans="1:9" x14ac:dyDescent="0.25">
      <c r="A9240" t="s">
        <v>8053</v>
      </c>
      <c r="B9240" t="s">
        <v>13</v>
      </c>
      <c r="C9240">
        <v>1</v>
      </c>
      <c r="D9240" t="s">
        <v>17</v>
      </c>
      <c r="E9240" t="s">
        <v>17</v>
      </c>
      <c r="F9240">
        <v>1</v>
      </c>
      <c r="G9240" t="s">
        <v>17</v>
      </c>
      <c r="H9240" t="s">
        <v>17</v>
      </c>
      <c r="I9240" t="str">
        <f>"069103411434"</f>
        <v>069103411434</v>
      </c>
    </row>
    <row r="9241" spans="1:9" x14ac:dyDescent="0.25">
      <c r="A9241" t="s">
        <v>8054</v>
      </c>
      <c r="B9241" t="s">
        <v>13</v>
      </c>
      <c r="C9241">
        <v>3.35</v>
      </c>
      <c r="D9241">
        <v>2.5</v>
      </c>
      <c r="E9241" t="s">
        <v>17</v>
      </c>
      <c r="F9241">
        <v>14.33</v>
      </c>
      <c r="G9241">
        <v>27.6</v>
      </c>
      <c r="H9241" t="s">
        <v>17</v>
      </c>
      <c r="I9241" t="str">
        <f>"062637000185"</f>
        <v>062637000185</v>
      </c>
    </row>
    <row r="9242" spans="1:9" x14ac:dyDescent="0.25">
      <c r="A9242" t="s">
        <v>8054</v>
      </c>
      <c r="B9242" t="s">
        <v>13</v>
      </c>
      <c r="C9242">
        <v>14</v>
      </c>
      <c r="D9242">
        <v>13</v>
      </c>
      <c r="E9242" t="s">
        <v>17</v>
      </c>
      <c r="F9242">
        <v>25.14</v>
      </c>
      <c r="G9242">
        <v>26</v>
      </c>
      <c r="H9242" t="s">
        <v>17</v>
      </c>
      <c r="I9242" t="str">
        <f>"061111012080"</f>
        <v>061111012080</v>
      </c>
    </row>
    <row r="9243" spans="1:9" x14ac:dyDescent="0.25">
      <c r="A9243" t="s">
        <v>8055</v>
      </c>
      <c r="B9243" t="s">
        <v>13</v>
      </c>
      <c r="C9243">
        <v>1</v>
      </c>
      <c r="D9243">
        <v>1</v>
      </c>
      <c r="E9243" t="s">
        <v>17</v>
      </c>
      <c r="F9243">
        <v>13</v>
      </c>
      <c r="G9243">
        <v>2</v>
      </c>
      <c r="H9243" t="s">
        <v>17</v>
      </c>
      <c r="I9243" t="str">
        <f>"069103412199"</f>
        <v>069103412199</v>
      </c>
    </row>
    <row r="9244" spans="1:9" x14ac:dyDescent="0.25">
      <c r="A9244" t="s">
        <v>8056</v>
      </c>
      <c r="B9244" t="s">
        <v>13</v>
      </c>
      <c r="C9244">
        <v>41.47</v>
      </c>
      <c r="D9244">
        <v>41.53</v>
      </c>
      <c r="E9244" t="s">
        <v>17</v>
      </c>
      <c r="F9244">
        <v>26.62</v>
      </c>
      <c r="G9244">
        <v>26.08</v>
      </c>
      <c r="H9244" t="s">
        <v>17</v>
      </c>
      <c r="I9244" t="str">
        <f>"061296001472"</f>
        <v>061296001472</v>
      </c>
    </row>
    <row r="9245" spans="1:9" x14ac:dyDescent="0.25">
      <c r="A9245" t="s">
        <v>8057</v>
      </c>
      <c r="B9245" t="s">
        <v>13</v>
      </c>
      <c r="C9245">
        <v>12</v>
      </c>
      <c r="D9245">
        <v>10.5</v>
      </c>
      <c r="E9245" t="s">
        <v>17</v>
      </c>
      <c r="F9245">
        <v>15.67</v>
      </c>
      <c r="G9245">
        <v>19.14</v>
      </c>
      <c r="H9245" t="s">
        <v>17</v>
      </c>
      <c r="I9245" t="str">
        <f>"060001411118"</f>
        <v>060001411118</v>
      </c>
    </row>
    <row r="9246" spans="1:9" x14ac:dyDescent="0.25">
      <c r="A9246" t="s">
        <v>8058</v>
      </c>
      <c r="B9246" t="s">
        <v>13</v>
      </c>
      <c r="C9246">
        <v>23.5</v>
      </c>
      <c r="D9246">
        <v>22</v>
      </c>
      <c r="E9246" t="s">
        <v>17</v>
      </c>
      <c r="F9246">
        <v>17.28</v>
      </c>
      <c r="G9246">
        <v>19.32</v>
      </c>
      <c r="H9246" t="s">
        <v>17</v>
      </c>
      <c r="I9246" t="str">
        <f>"063639011981"</f>
        <v>063639011981</v>
      </c>
    </row>
    <row r="9247" spans="1:9" x14ac:dyDescent="0.25">
      <c r="A9247" t="s">
        <v>8059</v>
      </c>
      <c r="B9247" t="s">
        <v>13</v>
      </c>
      <c r="C9247" t="s">
        <v>17</v>
      </c>
      <c r="D9247" t="s">
        <v>14</v>
      </c>
      <c r="E9247" t="s">
        <v>14</v>
      </c>
      <c r="F9247" t="s">
        <v>17</v>
      </c>
      <c r="G9247" t="s">
        <v>14</v>
      </c>
      <c r="H9247" t="s">
        <v>14</v>
      </c>
      <c r="I9247" t="str">
        <f>"069103513485"</f>
        <v>069103513485</v>
      </c>
    </row>
    <row r="9248" spans="1:9" x14ac:dyDescent="0.25">
      <c r="A9248" t="s">
        <v>8060</v>
      </c>
      <c r="B9248" t="s">
        <v>13</v>
      </c>
      <c r="C9248">
        <v>11</v>
      </c>
      <c r="D9248">
        <v>6</v>
      </c>
      <c r="E9248" t="s">
        <v>14</v>
      </c>
      <c r="F9248">
        <v>17.73</v>
      </c>
      <c r="G9248">
        <v>17.170000000000002</v>
      </c>
      <c r="H9248" t="s">
        <v>14</v>
      </c>
      <c r="I9248" t="str">
        <f>"061182012769"</f>
        <v>061182012769</v>
      </c>
    </row>
    <row r="9249" spans="1:9" x14ac:dyDescent="0.25">
      <c r="A9249" t="s">
        <v>8061</v>
      </c>
      <c r="B9249" t="s">
        <v>13</v>
      </c>
      <c r="C9249" t="s">
        <v>17</v>
      </c>
      <c r="D9249" t="s">
        <v>14</v>
      </c>
      <c r="E9249" t="s">
        <v>14</v>
      </c>
      <c r="F9249" t="s">
        <v>17</v>
      </c>
      <c r="G9249" t="s">
        <v>14</v>
      </c>
      <c r="H9249" t="s">
        <v>14</v>
      </c>
      <c r="I9249" t="str">
        <f>"061893013354"</f>
        <v>061893013354</v>
      </c>
    </row>
    <row r="9250" spans="1:9" x14ac:dyDescent="0.25">
      <c r="A9250" t="s">
        <v>8062</v>
      </c>
      <c r="B9250" t="s">
        <v>13</v>
      </c>
      <c r="C9250">
        <v>11</v>
      </c>
      <c r="D9250">
        <v>6</v>
      </c>
      <c r="E9250" t="s">
        <v>14</v>
      </c>
      <c r="F9250">
        <v>18</v>
      </c>
      <c r="G9250">
        <v>17.329999999999998</v>
      </c>
      <c r="H9250" t="s">
        <v>14</v>
      </c>
      <c r="I9250" t="str">
        <f>"069103512625"</f>
        <v>069103512625</v>
      </c>
    </row>
    <row r="9251" spans="1:9" x14ac:dyDescent="0.25">
      <c r="A9251" t="s">
        <v>8063</v>
      </c>
      <c r="B9251" t="s">
        <v>13</v>
      </c>
      <c r="C9251">
        <v>16.350000000000001</v>
      </c>
      <c r="D9251">
        <v>19.02</v>
      </c>
      <c r="E9251" t="s">
        <v>17</v>
      </c>
      <c r="F9251">
        <v>28.75</v>
      </c>
      <c r="G9251">
        <v>34.909999999999997</v>
      </c>
      <c r="H9251" t="s">
        <v>17</v>
      </c>
      <c r="I9251" t="str">
        <f>"063315008183"</f>
        <v>063315008183</v>
      </c>
    </row>
    <row r="9252" spans="1:9" x14ac:dyDescent="0.25">
      <c r="A9252" t="s">
        <v>8064</v>
      </c>
      <c r="B9252" t="s">
        <v>13</v>
      </c>
      <c r="C9252">
        <v>24.14</v>
      </c>
      <c r="D9252">
        <v>24.35</v>
      </c>
      <c r="E9252" t="s">
        <v>17</v>
      </c>
      <c r="F9252">
        <v>24.28</v>
      </c>
      <c r="G9252">
        <v>24.19</v>
      </c>
      <c r="H9252" t="s">
        <v>17</v>
      </c>
      <c r="I9252" t="str">
        <f>"060876000894"</f>
        <v>060876000894</v>
      </c>
    </row>
    <row r="9253" spans="1:9" x14ac:dyDescent="0.25">
      <c r="A9253" t="s">
        <v>8065</v>
      </c>
      <c r="B9253" t="s">
        <v>13</v>
      </c>
      <c r="C9253">
        <v>20</v>
      </c>
      <c r="D9253">
        <v>19</v>
      </c>
      <c r="E9253" t="s">
        <v>17</v>
      </c>
      <c r="F9253">
        <v>27.3</v>
      </c>
      <c r="G9253">
        <v>28.47</v>
      </c>
      <c r="H9253" t="s">
        <v>17</v>
      </c>
      <c r="I9253" t="str">
        <f>"061949008869"</f>
        <v>061949008869</v>
      </c>
    </row>
    <row r="9254" spans="1:9" x14ac:dyDescent="0.25">
      <c r="A9254" t="s">
        <v>8066</v>
      </c>
      <c r="B9254" t="s">
        <v>13</v>
      </c>
      <c r="C9254">
        <v>22.61</v>
      </c>
      <c r="D9254">
        <v>24.34</v>
      </c>
      <c r="E9254" t="s">
        <v>17</v>
      </c>
      <c r="F9254">
        <v>24.37</v>
      </c>
      <c r="G9254">
        <v>24.03</v>
      </c>
      <c r="H9254" t="s">
        <v>17</v>
      </c>
      <c r="I9254" t="str">
        <f>"062637003975"</f>
        <v>062637003975</v>
      </c>
    </row>
    <row r="9255" spans="1:9" x14ac:dyDescent="0.25">
      <c r="A9255" t="s">
        <v>8067</v>
      </c>
      <c r="B9255" t="s">
        <v>13</v>
      </c>
      <c r="C9255">
        <v>21</v>
      </c>
      <c r="D9255">
        <v>20.5</v>
      </c>
      <c r="E9255" t="s">
        <v>17</v>
      </c>
      <c r="F9255">
        <v>23.24</v>
      </c>
      <c r="G9255">
        <v>22.98</v>
      </c>
      <c r="H9255" t="s">
        <v>17</v>
      </c>
      <c r="I9255" t="str">
        <f>"063509005940"</f>
        <v>063509005940</v>
      </c>
    </row>
    <row r="9256" spans="1:9" x14ac:dyDescent="0.25">
      <c r="A9256" t="s">
        <v>8068</v>
      </c>
      <c r="B9256" t="s">
        <v>13</v>
      </c>
      <c r="C9256">
        <v>58.25</v>
      </c>
      <c r="D9256">
        <v>73.52</v>
      </c>
      <c r="E9256" t="s">
        <v>17</v>
      </c>
      <c r="F9256">
        <v>18.59</v>
      </c>
      <c r="G9256">
        <v>16.36</v>
      </c>
      <c r="H9256" t="s">
        <v>17</v>
      </c>
      <c r="I9256" t="str">
        <f>"062271003378"</f>
        <v>062271003378</v>
      </c>
    </row>
    <row r="9257" spans="1:9" x14ac:dyDescent="0.25">
      <c r="A9257" t="s">
        <v>8069</v>
      </c>
      <c r="B9257" t="s">
        <v>13</v>
      </c>
      <c r="C9257">
        <v>30.83</v>
      </c>
      <c r="D9257">
        <v>35.54</v>
      </c>
      <c r="E9257" t="s">
        <v>17</v>
      </c>
      <c r="F9257">
        <v>25.95</v>
      </c>
      <c r="G9257">
        <v>25.89</v>
      </c>
      <c r="H9257" t="s">
        <v>17</v>
      </c>
      <c r="I9257" t="str">
        <f>"062271012520"</f>
        <v>062271012520</v>
      </c>
    </row>
    <row r="9258" spans="1:9" x14ac:dyDescent="0.25">
      <c r="A9258" t="s">
        <v>8070</v>
      </c>
      <c r="B9258" t="s">
        <v>13</v>
      </c>
      <c r="C9258">
        <v>12.39</v>
      </c>
      <c r="D9258">
        <v>14</v>
      </c>
      <c r="E9258" t="s">
        <v>17</v>
      </c>
      <c r="F9258">
        <v>23.73</v>
      </c>
      <c r="G9258">
        <v>22.43</v>
      </c>
      <c r="H9258" t="s">
        <v>17</v>
      </c>
      <c r="I9258" t="str">
        <f>"062814004348"</f>
        <v>062814004348</v>
      </c>
    </row>
    <row r="9259" spans="1:9" x14ac:dyDescent="0.25">
      <c r="A9259" t="s">
        <v>8071</v>
      </c>
      <c r="B9259" t="s">
        <v>13</v>
      </c>
      <c r="C9259">
        <v>31</v>
      </c>
      <c r="D9259">
        <v>31</v>
      </c>
      <c r="E9259" t="s">
        <v>17</v>
      </c>
      <c r="F9259">
        <v>25.58</v>
      </c>
      <c r="G9259">
        <v>25.94</v>
      </c>
      <c r="H9259" t="s">
        <v>17</v>
      </c>
      <c r="I9259" t="str">
        <f>"063834006453"</f>
        <v>063834006453</v>
      </c>
    </row>
    <row r="9260" spans="1:9" x14ac:dyDescent="0.25">
      <c r="A9260" t="s">
        <v>8072</v>
      </c>
      <c r="B9260" t="s">
        <v>13</v>
      </c>
      <c r="C9260">
        <v>21</v>
      </c>
      <c r="D9260">
        <v>19</v>
      </c>
      <c r="E9260" t="s">
        <v>17</v>
      </c>
      <c r="F9260">
        <v>24.9</v>
      </c>
      <c r="G9260">
        <v>25.47</v>
      </c>
      <c r="H9260" t="s">
        <v>17</v>
      </c>
      <c r="I9260" t="str">
        <f>"063153004895"</f>
        <v>063153004895</v>
      </c>
    </row>
    <row r="9261" spans="1:9" x14ac:dyDescent="0.25">
      <c r="A9261" t="s">
        <v>8072</v>
      </c>
      <c r="B9261" t="s">
        <v>13</v>
      </c>
      <c r="C9261">
        <v>26</v>
      </c>
      <c r="D9261">
        <v>26</v>
      </c>
      <c r="E9261" t="s">
        <v>17</v>
      </c>
      <c r="F9261">
        <v>28.85</v>
      </c>
      <c r="G9261">
        <v>27.15</v>
      </c>
      <c r="H9261" t="s">
        <v>17</v>
      </c>
      <c r="I9261" t="str">
        <f>"060429011219"</f>
        <v>060429011219</v>
      </c>
    </row>
    <row r="9262" spans="1:9" x14ac:dyDescent="0.25">
      <c r="A9262" t="s">
        <v>8073</v>
      </c>
      <c r="B9262" t="s">
        <v>13</v>
      </c>
      <c r="C9262">
        <v>34</v>
      </c>
      <c r="D9262">
        <v>40</v>
      </c>
      <c r="E9262" t="s">
        <v>17</v>
      </c>
      <c r="F9262">
        <v>28.5</v>
      </c>
      <c r="G9262">
        <v>28</v>
      </c>
      <c r="H9262" t="s">
        <v>17</v>
      </c>
      <c r="I9262" t="str">
        <f>"064212003262"</f>
        <v>064212003262</v>
      </c>
    </row>
    <row r="9263" spans="1:9" x14ac:dyDescent="0.25">
      <c r="A9263" t="s">
        <v>8074</v>
      </c>
      <c r="B9263" t="s">
        <v>13</v>
      </c>
      <c r="C9263">
        <v>15</v>
      </c>
      <c r="D9263">
        <v>16</v>
      </c>
      <c r="E9263" t="s">
        <v>17</v>
      </c>
      <c r="F9263">
        <v>28.6</v>
      </c>
      <c r="G9263">
        <v>27.88</v>
      </c>
      <c r="H9263" t="s">
        <v>17</v>
      </c>
      <c r="I9263" t="str">
        <f>"061203005787"</f>
        <v>061203005787</v>
      </c>
    </row>
    <row r="9264" spans="1:9" x14ac:dyDescent="0.25">
      <c r="A9264" t="s">
        <v>8075</v>
      </c>
      <c r="B9264" t="s">
        <v>13</v>
      </c>
      <c r="C9264">
        <v>24</v>
      </c>
      <c r="D9264">
        <v>25</v>
      </c>
      <c r="E9264" t="s">
        <v>17</v>
      </c>
      <c r="F9264">
        <v>23.96</v>
      </c>
      <c r="G9264">
        <v>23</v>
      </c>
      <c r="H9264" t="s">
        <v>17</v>
      </c>
      <c r="I9264" t="str">
        <f>"060411000376"</f>
        <v>060411000376</v>
      </c>
    </row>
    <row r="9265" spans="1:9" x14ac:dyDescent="0.25">
      <c r="A9265" t="s">
        <v>8075</v>
      </c>
      <c r="B9265" t="s">
        <v>13</v>
      </c>
      <c r="C9265">
        <v>34.340000000000003</v>
      </c>
      <c r="D9265">
        <v>35.75</v>
      </c>
      <c r="E9265" t="s">
        <v>17</v>
      </c>
      <c r="F9265">
        <v>26.79</v>
      </c>
      <c r="G9265">
        <v>24.5</v>
      </c>
      <c r="H9265" t="s">
        <v>17</v>
      </c>
      <c r="I9265" t="str">
        <f>"060261000168"</f>
        <v>060261000168</v>
      </c>
    </row>
    <row r="9266" spans="1:9" x14ac:dyDescent="0.25">
      <c r="A9266" t="s">
        <v>8075</v>
      </c>
      <c r="B9266" t="s">
        <v>13</v>
      </c>
      <c r="C9266">
        <v>26.2</v>
      </c>
      <c r="D9266">
        <v>27.2</v>
      </c>
      <c r="E9266" t="s">
        <v>17</v>
      </c>
      <c r="F9266">
        <v>29.5</v>
      </c>
      <c r="G9266">
        <v>28.09</v>
      </c>
      <c r="H9266" t="s">
        <v>17</v>
      </c>
      <c r="I9266" t="str">
        <f>"061785002206"</f>
        <v>061785002206</v>
      </c>
    </row>
    <row r="9267" spans="1:9" x14ac:dyDescent="0.25">
      <c r="A9267" t="s">
        <v>8076</v>
      </c>
      <c r="B9267" t="s">
        <v>13</v>
      </c>
      <c r="C9267">
        <v>23</v>
      </c>
      <c r="D9267">
        <v>23</v>
      </c>
      <c r="E9267" t="s">
        <v>17</v>
      </c>
      <c r="F9267">
        <v>23.35</v>
      </c>
      <c r="G9267">
        <v>24.43</v>
      </c>
      <c r="H9267" t="s">
        <v>17</v>
      </c>
      <c r="I9267" t="str">
        <f>"062271003379"</f>
        <v>062271003379</v>
      </c>
    </row>
    <row r="9268" spans="1:9" x14ac:dyDescent="0.25">
      <c r="A9268" t="s">
        <v>8077</v>
      </c>
      <c r="B9268" t="s">
        <v>13</v>
      </c>
      <c r="C9268">
        <v>29</v>
      </c>
      <c r="D9268">
        <v>30</v>
      </c>
      <c r="E9268" t="s">
        <v>17</v>
      </c>
      <c r="F9268">
        <v>22.07</v>
      </c>
      <c r="G9268">
        <v>23.1</v>
      </c>
      <c r="H9268" t="s">
        <v>17</v>
      </c>
      <c r="I9268" t="str">
        <f>"062271003380"</f>
        <v>062271003380</v>
      </c>
    </row>
    <row r="9269" spans="1:9" x14ac:dyDescent="0.25">
      <c r="A9269" t="s">
        <v>8078</v>
      </c>
      <c r="B9269" t="s">
        <v>13</v>
      </c>
      <c r="C9269">
        <v>10.82</v>
      </c>
      <c r="D9269">
        <v>12.63</v>
      </c>
      <c r="E9269" t="s">
        <v>17</v>
      </c>
      <c r="F9269">
        <v>19.690000000000001</v>
      </c>
      <c r="G9269">
        <v>18.21</v>
      </c>
      <c r="H9269" t="s">
        <v>17</v>
      </c>
      <c r="I9269" t="str">
        <f>"060300000236"</f>
        <v>060300000236</v>
      </c>
    </row>
    <row r="9270" spans="1:9" x14ac:dyDescent="0.25">
      <c r="A9270" t="s">
        <v>8079</v>
      </c>
      <c r="B9270" t="s">
        <v>13</v>
      </c>
      <c r="C9270">
        <v>80.900000000000006</v>
      </c>
      <c r="D9270">
        <v>85</v>
      </c>
      <c r="E9270" t="s">
        <v>17</v>
      </c>
      <c r="F9270">
        <v>28.75</v>
      </c>
      <c r="G9270">
        <v>28.68</v>
      </c>
      <c r="H9270" t="s">
        <v>17</v>
      </c>
      <c r="I9270" t="str">
        <f>"061476001815"</f>
        <v>061476001815</v>
      </c>
    </row>
    <row r="9271" spans="1:9" x14ac:dyDescent="0.25">
      <c r="A9271" t="s">
        <v>8080</v>
      </c>
      <c r="B9271" t="s">
        <v>13</v>
      </c>
      <c r="C9271">
        <v>33</v>
      </c>
      <c r="D9271">
        <v>35</v>
      </c>
      <c r="E9271" t="s">
        <v>17</v>
      </c>
      <c r="F9271">
        <v>29.52</v>
      </c>
      <c r="G9271">
        <v>27.43</v>
      </c>
      <c r="H9271" t="s">
        <v>17</v>
      </c>
      <c r="I9271" t="str">
        <f>"062955009603"</f>
        <v>062955009603</v>
      </c>
    </row>
    <row r="9272" spans="1:9" x14ac:dyDescent="0.25">
      <c r="A9272" t="s">
        <v>8081</v>
      </c>
      <c r="B9272" t="s">
        <v>13</v>
      </c>
      <c r="C9272">
        <v>24.1</v>
      </c>
      <c r="D9272">
        <v>23.1</v>
      </c>
      <c r="E9272" t="s">
        <v>17</v>
      </c>
      <c r="F9272">
        <v>21.7</v>
      </c>
      <c r="G9272">
        <v>22.55</v>
      </c>
      <c r="H9272" t="s">
        <v>17</v>
      </c>
      <c r="I9272" t="str">
        <f>"063492005917"</f>
        <v>063492005917</v>
      </c>
    </row>
    <row r="9273" spans="1:9" x14ac:dyDescent="0.25">
      <c r="A9273" t="s">
        <v>8082</v>
      </c>
      <c r="B9273" t="s">
        <v>13</v>
      </c>
      <c r="C9273">
        <v>23</v>
      </c>
      <c r="D9273">
        <v>25</v>
      </c>
      <c r="E9273" t="s">
        <v>17</v>
      </c>
      <c r="F9273">
        <v>28.57</v>
      </c>
      <c r="G9273">
        <v>26.68</v>
      </c>
      <c r="H9273" t="s">
        <v>17</v>
      </c>
      <c r="I9273" t="str">
        <f>"062088002514"</f>
        <v>062088002514</v>
      </c>
    </row>
    <row r="9274" spans="1:9" x14ac:dyDescent="0.25">
      <c r="A9274" t="s">
        <v>8083</v>
      </c>
      <c r="B9274" t="s">
        <v>13</v>
      </c>
      <c r="C9274">
        <v>29.56</v>
      </c>
      <c r="D9274">
        <v>30.5</v>
      </c>
      <c r="E9274" t="s">
        <v>17</v>
      </c>
      <c r="F9274">
        <v>28.28</v>
      </c>
      <c r="G9274">
        <v>28.72</v>
      </c>
      <c r="H9274" t="s">
        <v>17</v>
      </c>
      <c r="I9274" t="str">
        <f>"062580003870"</f>
        <v>062580003870</v>
      </c>
    </row>
    <row r="9275" spans="1:9" x14ac:dyDescent="0.25">
      <c r="A9275" t="s">
        <v>8084</v>
      </c>
      <c r="B9275" t="s">
        <v>13</v>
      </c>
      <c r="C9275">
        <v>70.400000000000006</v>
      </c>
      <c r="D9275">
        <v>78.75</v>
      </c>
      <c r="E9275" t="s">
        <v>17</v>
      </c>
      <c r="F9275">
        <v>21.65</v>
      </c>
      <c r="G9275">
        <v>19.170000000000002</v>
      </c>
      <c r="H9275" t="s">
        <v>17</v>
      </c>
      <c r="I9275" t="str">
        <f>"062580009585"</f>
        <v>062580009585</v>
      </c>
    </row>
    <row r="9276" spans="1:9" x14ac:dyDescent="0.25">
      <c r="A9276" t="s">
        <v>8085</v>
      </c>
      <c r="B9276" t="s">
        <v>13</v>
      </c>
      <c r="C9276">
        <v>23.5</v>
      </c>
      <c r="D9276">
        <v>25.5</v>
      </c>
      <c r="E9276" t="s">
        <v>17</v>
      </c>
      <c r="F9276">
        <v>29.87</v>
      </c>
      <c r="G9276">
        <v>27.8</v>
      </c>
      <c r="H9276" t="s">
        <v>17</v>
      </c>
      <c r="I9276" t="str">
        <f>"062580008167"</f>
        <v>062580008167</v>
      </c>
    </row>
    <row r="9277" spans="1:9" x14ac:dyDescent="0.25">
      <c r="A9277" t="s">
        <v>8086</v>
      </c>
      <c r="B9277" t="s">
        <v>13</v>
      </c>
      <c r="C9277">
        <v>21</v>
      </c>
      <c r="D9277">
        <v>19</v>
      </c>
      <c r="E9277" t="s">
        <v>17</v>
      </c>
      <c r="F9277">
        <v>21.05</v>
      </c>
      <c r="G9277">
        <v>21.68</v>
      </c>
      <c r="H9277" t="s">
        <v>17</v>
      </c>
      <c r="I9277" t="str">
        <f>"060861000878"</f>
        <v>060861000878</v>
      </c>
    </row>
    <row r="9278" spans="1:9" x14ac:dyDescent="0.25">
      <c r="A9278" t="s">
        <v>8086</v>
      </c>
      <c r="B9278" t="s">
        <v>13</v>
      </c>
      <c r="C9278">
        <v>19.059999999999999</v>
      </c>
      <c r="D9278">
        <v>19</v>
      </c>
      <c r="E9278" t="s">
        <v>17</v>
      </c>
      <c r="F9278">
        <v>18.68</v>
      </c>
      <c r="G9278">
        <v>19.21</v>
      </c>
      <c r="H9278" t="s">
        <v>17</v>
      </c>
      <c r="I9278" t="str">
        <f>"063441005672"</f>
        <v>063441005672</v>
      </c>
    </row>
    <row r="9279" spans="1:9" x14ac:dyDescent="0.25">
      <c r="A9279" t="s">
        <v>8086</v>
      </c>
      <c r="B9279" t="s">
        <v>13</v>
      </c>
      <c r="C9279">
        <v>15.4</v>
      </c>
      <c r="D9279">
        <v>17.399999999999999</v>
      </c>
      <c r="E9279" t="s">
        <v>17</v>
      </c>
      <c r="F9279">
        <v>23.57</v>
      </c>
      <c r="G9279">
        <v>21.55</v>
      </c>
      <c r="H9279" t="s">
        <v>17</v>
      </c>
      <c r="I9279" t="str">
        <f>"063843006455"</f>
        <v>063843006455</v>
      </c>
    </row>
    <row r="9280" spans="1:9" x14ac:dyDescent="0.25">
      <c r="A9280" t="s">
        <v>8086</v>
      </c>
      <c r="B9280" t="s">
        <v>13</v>
      </c>
      <c r="C9280">
        <v>26</v>
      </c>
      <c r="D9280">
        <v>26.5</v>
      </c>
      <c r="E9280" t="s">
        <v>17</v>
      </c>
      <c r="F9280">
        <v>27.04</v>
      </c>
      <c r="G9280">
        <v>24.91</v>
      </c>
      <c r="H9280" t="s">
        <v>17</v>
      </c>
      <c r="I9280" t="str">
        <f>"061488001883"</f>
        <v>061488001883</v>
      </c>
    </row>
    <row r="9281" spans="1:9" x14ac:dyDescent="0.25">
      <c r="A9281" t="s">
        <v>8087</v>
      </c>
      <c r="B9281" t="s">
        <v>13</v>
      </c>
      <c r="C9281">
        <v>115.14</v>
      </c>
      <c r="D9281">
        <v>117.46</v>
      </c>
      <c r="E9281" t="s">
        <v>17</v>
      </c>
      <c r="F9281">
        <v>28.04</v>
      </c>
      <c r="G9281">
        <v>27.03</v>
      </c>
      <c r="H9281" t="s">
        <v>17</v>
      </c>
      <c r="I9281" t="str">
        <f>"061455007963"</f>
        <v>061455007963</v>
      </c>
    </row>
    <row r="9282" spans="1:9" x14ac:dyDescent="0.25">
      <c r="A9282" t="s">
        <v>8088</v>
      </c>
      <c r="B9282" t="s">
        <v>13</v>
      </c>
      <c r="C9282">
        <v>26.55</v>
      </c>
      <c r="D9282">
        <v>26.06</v>
      </c>
      <c r="E9282" t="s">
        <v>17</v>
      </c>
      <c r="F9282">
        <v>27.65</v>
      </c>
      <c r="G9282">
        <v>28.74</v>
      </c>
      <c r="H9282" t="s">
        <v>17</v>
      </c>
      <c r="I9282" t="str">
        <f>"061734002182"</f>
        <v>061734002182</v>
      </c>
    </row>
    <row r="9283" spans="1:9" x14ac:dyDescent="0.25">
      <c r="A9283" t="s">
        <v>8088</v>
      </c>
      <c r="B9283" t="s">
        <v>13</v>
      </c>
      <c r="C9283">
        <v>28</v>
      </c>
      <c r="D9283">
        <v>28</v>
      </c>
      <c r="E9283" t="s">
        <v>17</v>
      </c>
      <c r="F9283">
        <v>19.96</v>
      </c>
      <c r="G9283">
        <v>20.5</v>
      </c>
      <c r="H9283" t="s">
        <v>17</v>
      </c>
      <c r="I9283" t="str">
        <f>"063738006325"</f>
        <v>063738006325</v>
      </c>
    </row>
    <row r="9284" spans="1:9" x14ac:dyDescent="0.25">
      <c r="A9284" t="s">
        <v>8088</v>
      </c>
      <c r="B9284" t="s">
        <v>13</v>
      </c>
      <c r="C9284">
        <v>31.5</v>
      </c>
      <c r="D9284">
        <v>29.33</v>
      </c>
      <c r="E9284" t="s">
        <v>17</v>
      </c>
      <c r="F9284">
        <v>24</v>
      </c>
      <c r="G9284">
        <v>26.05</v>
      </c>
      <c r="H9284" t="s">
        <v>17</v>
      </c>
      <c r="I9284" t="str">
        <f>"061926009381"</f>
        <v>061926009381</v>
      </c>
    </row>
    <row r="9285" spans="1:9" x14ac:dyDescent="0.25">
      <c r="A9285" t="s">
        <v>8089</v>
      </c>
      <c r="B9285" t="s">
        <v>13</v>
      </c>
      <c r="C9285">
        <v>46.96</v>
      </c>
      <c r="D9285">
        <v>45.62</v>
      </c>
      <c r="E9285" t="s">
        <v>17</v>
      </c>
      <c r="F9285">
        <v>23.1</v>
      </c>
      <c r="G9285">
        <v>23.06</v>
      </c>
      <c r="H9285" t="s">
        <v>17</v>
      </c>
      <c r="I9285" t="str">
        <f>"063846006465"</f>
        <v>063846006465</v>
      </c>
    </row>
    <row r="9286" spans="1:9" x14ac:dyDescent="0.25">
      <c r="A9286" t="s">
        <v>8090</v>
      </c>
      <c r="B9286" t="s">
        <v>13</v>
      </c>
      <c r="C9286">
        <v>12.64</v>
      </c>
      <c r="D9286">
        <v>11.75</v>
      </c>
      <c r="E9286" t="s">
        <v>17</v>
      </c>
      <c r="F9286">
        <v>21.6</v>
      </c>
      <c r="G9286">
        <v>22.47</v>
      </c>
      <c r="H9286" t="s">
        <v>17</v>
      </c>
      <c r="I9286" t="str">
        <f>"060002109291"</f>
        <v>060002109291</v>
      </c>
    </row>
    <row r="9287" spans="1:9" x14ac:dyDescent="0.25">
      <c r="A9287" t="s">
        <v>8091</v>
      </c>
      <c r="B9287" t="s">
        <v>13</v>
      </c>
      <c r="C9287">
        <v>13.26</v>
      </c>
      <c r="D9287">
        <v>11.13</v>
      </c>
      <c r="E9287" t="s">
        <v>17</v>
      </c>
      <c r="F9287">
        <v>19</v>
      </c>
      <c r="G9287">
        <v>17.34</v>
      </c>
      <c r="H9287" t="s">
        <v>17</v>
      </c>
      <c r="I9287" t="str">
        <f>"064023010687"</f>
        <v>064023010687</v>
      </c>
    </row>
    <row r="9288" spans="1:9" x14ac:dyDescent="0.25">
      <c r="A9288" t="s">
        <v>8092</v>
      </c>
      <c r="B9288" t="s">
        <v>13</v>
      </c>
      <c r="C9288">
        <v>6.2</v>
      </c>
      <c r="D9288">
        <v>8</v>
      </c>
      <c r="E9288" t="s">
        <v>17</v>
      </c>
      <c r="F9288">
        <v>5.65</v>
      </c>
      <c r="G9288">
        <v>5.13</v>
      </c>
      <c r="H9288" t="s">
        <v>17</v>
      </c>
      <c r="I9288" t="str">
        <f>"062637003966"</f>
        <v>062637003966</v>
      </c>
    </row>
    <row r="9289" spans="1:9" x14ac:dyDescent="0.25">
      <c r="A9289" t="s">
        <v>8093</v>
      </c>
      <c r="B9289" t="s">
        <v>13</v>
      </c>
      <c r="C9289">
        <v>35</v>
      </c>
      <c r="D9289">
        <v>35.200000000000003</v>
      </c>
      <c r="E9289" t="s">
        <v>17</v>
      </c>
      <c r="F9289">
        <v>26.23</v>
      </c>
      <c r="G9289">
        <v>23.61</v>
      </c>
      <c r="H9289" t="s">
        <v>17</v>
      </c>
      <c r="I9289" t="str">
        <f>"061233012101"</f>
        <v>061233012101</v>
      </c>
    </row>
    <row r="9290" spans="1:9" x14ac:dyDescent="0.25">
      <c r="A9290" t="s">
        <v>8093</v>
      </c>
      <c r="B9290" t="s">
        <v>13</v>
      </c>
      <c r="C9290">
        <v>20.5</v>
      </c>
      <c r="D9290">
        <v>22</v>
      </c>
      <c r="E9290" t="s">
        <v>17</v>
      </c>
      <c r="F9290">
        <v>22.63</v>
      </c>
      <c r="G9290">
        <v>22.09</v>
      </c>
      <c r="H9290" t="s">
        <v>17</v>
      </c>
      <c r="I9290" t="str">
        <f>"062271008158"</f>
        <v>062271008158</v>
      </c>
    </row>
    <row r="9291" spans="1:9" x14ac:dyDescent="0.25">
      <c r="A9291" t="s">
        <v>8094</v>
      </c>
      <c r="B9291" t="s">
        <v>13</v>
      </c>
      <c r="C9291">
        <v>1.25</v>
      </c>
      <c r="D9291">
        <v>1</v>
      </c>
      <c r="E9291" t="s">
        <v>17</v>
      </c>
      <c r="F9291">
        <v>20</v>
      </c>
      <c r="G9291">
        <v>23</v>
      </c>
      <c r="H9291" t="s">
        <v>17</v>
      </c>
      <c r="I9291" t="str">
        <f>"063227007337"</f>
        <v>063227007337</v>
      </c>
    </row>
    <row r="9292" spans="1:9" x14ac:dyDescent="0.25">
      <c r="A9292" t="s">
        <v>8095</v>
      </c>
      <c r="B9292" t="s">
        <v>13</v>
      </c>
      <c r="C9292">
        <v>5</v>
      </c>
      <c r="D9292">
        <v>4</v>
      </c>
      <c r="E9292" t="s">
        <v>14</v>
      </c>
      <c r="F9292">
        <v>23.8</v>
      </c>
      <c r="G9292">
        <v>19.25</v>
      </c>
      <c r="H9292" t="s">
        <v>14</v>
      </c>
      <c r="I9292" t="str">
        <f>"063459012865"</f>
        <v>063459012865</v>
      </c>
    </row>
    <row r="9293" spans="1:9" x14ac:dyDescent="0.25">
      <c r="A9293" t="s">
        <v>8096</v>
      </c>
      <c r="B9293" t="s">
        <v>13</v>
      </c>
      <c r="C9293" t="s">
        <v>17</v>
      </c>
      <c r="D9293" t="s">
        <v>14</v>
      </c>
      <c r="E9293" t="s">
        <v>14</v>
      </c>
      <c r="F9293" t="s">
        <v>17</v>
      </c>
      <c r="G9293" t="s">
        <v>14</v>
      </c>
      <c r="H9293" t="s">
        <v>14</v>
      </c>
      <c r="I9293" t="str">
        <f>"062970013461"</f>
        <v>062970013461</v>
      </c>
    </row>
    <row r="9294" spans="1:9" x14ac:dyDescent="0.25">
      <c r="A9294" t="s">
        <v>8097</v>
      </c>
      <c r="B9294" t="s">
        <v>13</v>
      </c>
      <c r="C9294">
        <v>4</v>
      </c>
      <c r="D9294">
        <v>5</v>
      </c>
      <c r="E9294" t="s">
        <v>17</v>
      </c>
      <c r="F9294">
        <v>8</v>
      </c>
      <c r="G9294">
        <v>8.1999999999999993</v>
      </c>
      <c r="H9294" t="s">
        <v>17</v>
      </c>
      <c r="I9294" t="str">
        <f>"061632502066"</f>
        <v>061632502066</v>
      </c>
    </row>
    <row r="9295" spans="1:9" x14ac:dyDescent="0.25">
      <c r="A9295" t="s">
        <v>8097</v>
      </c>
      <c r="B9295" t="s">
        <v>13</v>
      </c>
      <c r="C9295">
        <v>15.5</v>
      </c>
      <c r="D9295">
        <v>16</v>
      </c>
      <c r="E9295" t="s">
        <v>17</v>
      </c>
      <c r="F9295">
        <v>18.579999999999998</v>
      </c>
      <c r="G9295">
        <v>23.25</v>
      </c>
      <c r="H9295" t="s">
        <v>17</v>
      </c>
      <c r="I9295" t="str">
        <f>"064113006783"</f>
        <v>064113006783</v>
      </c>
    </row>
    <row r="9296" spans="1:9" x14ac:dyDescent="0.25">
      <c r="A9296" t="s">
        <v>8098</v>
      </c>
      <c r="B9296" t="s">
        <v>13</v>
      </c>
      <c r="C9296">
        <v>11.2</v>
      </c>
      <c r="D9296">
        <v>11.2</v>
      </c>
      <c r="E9296" t="s">
        <v>17</v>
      </c>
      <c r="F9296">
        <v>24.11</v>
      </c>
      <c r="G9296">
        <v>25</v>
      </c>
      <c r="H9296" t="s">
        <v>17</v>
      </c>
      <c r="I9296" t="str">
        <f>"061632502065"</f>
        <v>061632502065</v>
      </c>
    </row>
    <row r="9297" spans="1:9" x14ac:dyDescent="0.25">
      <c r="A9297" t="s">
        <v>8098</v>
      </c>
      <c r="B9297" t="s">
        <v>13</v>
      </c>
      <c r="C9297">
        <v>10.44</v>
      </c>
      <c r="D9297">
        <v>8.44</v>
      </c>
      <c r="E9297" t="s">
        <v>17</v>
      </c>
      <c r="F9297">
        <v>25.77</v>
      </c>
      <c r="G9297">
        <v>30.92</v>
      </c>
      <c r="H9297" t="s">
        <v>17</v>
      </c>
      <c r="I9297" t="str">
        <f>"061455001769"</f>
        <v>061455001769</v>
      </c>
    </row>
    <row r="9298" spans="1:9" x14ac:dyDescent="0.25">
      <c r="A9298" t="s">
        <v>8098</v>
      </c>
      <c r="B9298" t="s">
        <v>13</v>
      </c>
      <c r="C9298">
        <v>15</v>
      </c>
      <c r="D9298">
        <v>14</v>
      </c>
      <c r="E9298" t="s">
        <v>17</v>
      </c>
      <c r="F9298">
        <v>28.73</v>
      </c>
      <c r="G9298">
        <v>29.43</v>
      </c>
      <c r="H9298" t="s">
        <v>17</v>
      </c>
      <c r="I9298" t="str">
        <f>"060912000931"</f>
        <v>060912000931</v>
      </c>
    </row>
    <row r="9299" spans="1:9" x14ac:dyDescent="0.25">
      <c r="A9299" t="s">
        <v>8098</v>
      </c>
      <c r="B9299" t="s">
        <v>13</v>
      </c>
      <c r="C9299">
        <v>13.83</v>
      </c>
      <c r="D9299">
        <v>13.34</v>
      </c>
      <c r="E9299" t="s">
        <v>17</v>
      </c>
      <c r="F9299">
        <v>23.36</v>
      </c>
      <c r="G9299">
        <v>25.11</v>
      </c>
      <c r="H9299" t="s">
        <v>17</v>
      </c>
      <c r="I9299" t="str">
        <f>"064098008669"</f>
        <v>064098008669</v>
      </c>
    </row>
    <row r="9300" spans="1:9" x14ac:dyDescent="0.25">
      <c r="A9300" t="s">
        <v>8098</v>
      </c>
      <c r="B9300" t="s">
        <v>13</v>
      </c>
      <c r="C9300">
        <v>18.2</v>
      </c>
      <c r="D9300">
        <v>19</v>
      </c>
      <c r="E9300" t="s">
        <v>17</v>
      </c>
      <c r="F9300">
        <v>22.75</v>
      </c>
      <c r="G9300">
        <v>20.95</v>
      </c>
      <c r="H9300" t="s">
        <v>17</v>
      </c>
      <c r="I9300" t="str">
        <f>"063441006556"</f>
        <v>063441006556</v>
      </c>
    </row>
    <row r="9301" spans="1:9" x14ac:dyDescent="0.25">
      <c r="A9301" t="s">
        <v>8098</v>
      </c>
      <c r="B9301" t="s">
        <v>13</v>
      </c>
      <c r="C9301">
        <v>29</v>
      </c>
      <c r="D9301">
        <v>29.5</v>
      </c>
      <c r="E9301" t="s">
        <v>17</v>
      </c>
      <c r="F9301">
        <v>27.66</v>
      </c>
      <c r="G9301">
        <v>25.02</v>
      </c>
      <c r="H9301" t="s">
        <v>17</v>
      </c>
      <c r="I9301" t="str">
        <f>"063522005966"</f>
        <v>063522005966</v>
      </c>
    </row>
    <row r="9302" spans="1:9" x14ac:dyDescent="0.25">
      <c r="A9302" t="s">
        <v>8098</v>
      </c>
      <c r="B9302" t="s">
        <v>13</v>
      </c>
      <c r="C9302">
        <v>33.5</v>
      </c>
      <c r="D9302">
        <v>33.5</v>
      </c>
      <c r="E9302" t="s">
        <v>17</v>
      </c>
      <c r="F9302">
        <v>24.15</v>
      </c>
      <c r="G9302">
        <v>23.16</v>
      </c>
      <c r="H9302" t="s">
        <v>17</v>
      </c>
      <c r="I9302" t="str">
        <f>"062211002635"</f>
        <v>062211002635</v>
      </c>
    </row>
    <row r="9303" spans="1:9" x14ac:dyDescent="0.25">
      <c r="A9303" t="s">
        <v>8099</v>
      </c>
      <c r="B9303" t="s">
        <v>13</v>
      </c>
      <c r="C9303">
        <v>5.8</v>
      </c>
      <c r="D9303">
        <v>5</v>
      </c>
      <c r="E9303" t="s">
        <v>17</v>
      </c>
      <c r="F9303">
        <v>21.9</v>
      </c>
      <c r="G9303">
        <v>11.8</v>
      </c>
      <c r="H9303" t="s">
        <v>17</v>
      </c>
      <c r="I9303" t="str">
        <f>"061077001200"</f>
        <v>061077001200</v>
      </c>
    </row>
    <row r="9304" spans="1:9" x14ac:dyDescent="0.25">
      <c r="A9304" t="s">
        <v>8100</v>
      </c>
      <c r="B9304" t="s">
        <v>13</v>
      </c>
      <c r="C9304">
        <v>7.6</v>
      </c>
      <c r="D9304">
        <v>7.4</v>
      </c>
      <c r="E9304" t="s">
        <v>17</v>
      </c>
      <c r="F9304">
        <v>17.37</v>
      </c>
      <c r="G9304">
        <v>17.84</v>
      </c>
      <c r="H9304" t="s">
        <v>17</v>
      </c>
      <c r="I9304" t="str">
        <f>"063438005578"</f>
        <v>063438005578</v>
      </c>
    </row>
    <row r="9305" spans="1:9" x14ac:dyDescent="0.25">
      <c r="A9305" t="s">
        <v>8101</v>
      </c>
      <c r="B9305" t="s">
        <v>13</v>
      </c>
      <c r="C9305">
        <v>19.5</v>
      </c>
      <c r="D9305">
        <v>17</v>
      </c>
      <c r="E9305" t="s">
        <v>17</v>
      </c>
      <c r="F9305">
        <v>22.82</v>
      </c>
      <c r="G9305">
        <v>24.65</v>
      </c>
      <c r="H9305" t="s">
        <v>17</v>
      </c>
      <c r="I9305" t="str">
        <f>"063153004896"</f>
        <v>063153004896</v>
      </c>
    </row>
    <row r="9306" spans="1:9" x14ac:dyDescent="0.25">
      <c r="A9306" t="s">
        <v>8102</v>
      </c>
      <c r="B9306" t="s">
        <v>13</v>
      </c>
      <c r="C9306">
        <v>25.8</v>
      </c>
      <c r="D9306">
        <v>25.3</v>
      </c>
      <c r="E9306" t="s">
        <v>17</v>
      </c>
      <c r="F9306">
        <v>29.3</v>
      </c>
      <c r="G9306">
        <v>29.25</v>
      </c>
      <c r="H9306" t="s">
        <v>17</v>
      </c>
      <c r="I9306" t="str">
        <f>"061473001805"</f>
        <v>061473001805</v>
      </c>
    </row>
    <row r="9307" spans="1:9" x14ac:dyDescent="0.25">
      <c r="A9307" t="s">
        <v>8103</v>
      </c>
      <c r="B9307" t="s">
        <v>13</v>
      </c>
      <c r="C9307">
        <v>26.7</v>
      </c>
      <c r="D9307">
        <v>24.2</v>
      </c>
      <c r="E9307" t="s">
        <v>17</v>
      </c>
      <c r="F9307">
        <v>25.62</v>
      </c>
      <c r="G9307">
        <v>25.17</v>
      </c>
      <c r="H9307" t="s">
        <v>17</v>
      </c>
      <c r="I9307" t="str">
        <f>"060001312558"</f>
        <v>060001312558</v>
      </c>
    </row>
    <row r="9308" spans="1:9" x14ac:dyDescent="0.25">
      <c r="A9308" t="s">
        <v>8104</v>
      </c>
      <c r="B9308" t="s">
        <v>13</v>
      </c>
      <c r="C9308">
        <v>27</v>
      </c>
      <c r="D9308">
        <v>26.8</v>
      </c>
      <c r="E9308" t="s">
        <v>17</v>
      </c>
      <c r="F9308">
        <v>23.3</v>
      </c>
      <c r="G9308">
        <v>22.91</v>
      </c>
      <c r="H9308" t="s">
        <v>17</v>
      </c>
      <c r="I9308" t="str">
        <f>"062046002471"</f>
        <v>062046002471</v>
      </c>
    </row>
    <row r="9309" spans="1:9" x14ac:dyDescent="0.25">
      <c r="A9309" t="s">
        <v>8105</v>
      </c>
      <c r="B9309" t="s">
        <v>13</v>
      </c>
      <c r="C9309">
        <v>21</v>
      </c>
      <c r="D9309">
        <v>21</v>
      </c>
      <c r="E9309" t="s">
        <v>17</v>
      </c>
      <c r="F9309">
        <v>21.57</v>
      </c>
      <c r="G9309">
        <v>20.52</v>
      </c>
      <c r="H9309" t="s">
        <v>17</v>
      </c>
      <c r="I9309" t="str">
        <f>"063432005557"</f>
        <v>063432005557</v>
      </c>
    </row>
    <row r="9310" spans="1:9" x14ac:dyDescent="0.25">
      <c r="A9310" t="s">
        <v>8106</v>
      </c>
      <c r="B9310" t="s">
        <v>13</v>
      </c>
      <c r="C9310">
        <v>16.600000000000001</v>
      </c>
      <c r="D9310">
        <v>15.6</v>
      </c>
      <c r="E9310" t="s">
        <v>17</v>
      </c>
      <c r="F9310">
        <v>24.7</v>
      </c>
      <c r="G9310">
        <v>25.26</v>
      </c>
      <c r="H9310" t="s">
        <v>17</v>
      </c>
      <c r="I9310" t="str">
        <f>"063753006355"</f>
        <v>063753006355</v>
      </c>
    </row>
    <row r="9311" spans="1:9" x14ac:dyDescent="0.25">
      <c r="A9311" t="s">
        <v>8107</v>
      </c>
      <c r="B9311" t="s">
        <v>13</v>
      </c>
      <c r="C9311">
        <v>4</v>
      </c>
      <c r="D9311">
        <v>4</v>
      </c>
      <c r="E9311" t="s">
        <v>17</v>
      </c>
      <c r="F9311">
        <v>12.75</v>
      </c>
      <c r="G9311">
        <v>13.5</v>
      </c>
      <c r="H9311" t="s">
        <v>17</v>
      </c>
      <c r="I9311" t="str">
        <f>"063315005159"</f>
        <v>063315005159</v>
      </c>
    </row>
    <row r="9312" spans="1:9" x14ac:dyDescent="0.25">
      <c r="A9312" t="s">
        <v>8108</v>
      </c>
      <c r="B9312" t="s">
        <v>13</v>
      </c>
      <c r="C9312">
        <v>21</v>
      </c>
      <c r="D9312">
        <v>21</v>
      </c>
      <c r="E9312" t="s">
        <v>17</v>
      </c>
      <c r="F9312">
        <v>26.52</v>
      </c>
      <c r="G9312">
        <v>27.33</v>
      </c>
      <c r="H9312" t="s">
        <v>17</v>
      </c>
      <c r="I9312" t="str">
        <f>"062271003381"</f>
        <v>062271003381</v>
      </c>
    </row>
    <row r="9313" spans="1:9" x14ac:dyDescent="0.25">
      <c r="A9313" t="s">
        <v>8109</v>
      </c>
      <c r="B9313" t="s">
        <v>13</v>
      </c>
      <c r="C9313" t="s">
        <v>17</v>
      </c>
      <c r="D9313" t="s">
        <v>17</v>
      </c>
      <c r="E9313" t="s">
        <v>17</v>
      </c>
      <c r="F9313" t="s">
        <v>17</v>
      </c>
      <c r="G9313" t="s">
        <v>17</v>
      </c>
      <c r="H9313" t="s">
        <v>17</v>
      </c>
      <c r="I9313" t="str">
        <f>"063852011691"</f>
        <v>063852011691</v>
      </c>
    </row>
    <row r="9314" spans="1:9" x14ac:dyDescent="0.25">
      <c r="A9314" t="s">
        <v>8110</v>
      </c>
      <c r="B9314" t="s">
        <v>13</v>
      </c>
      <c r="C9314">
        <v>5.25</v>
      </c>
      <c r="D9314">
        <v>5.75</v>
      </c>
      <c r="E9314" t="s">
        <v>17</v>
      </c>
      <c r="F9314">
        <v>16.38</v>
      </c>
      <c r="G9314">
        <v>16.87</v>
      </c>
      <c r="H9314" t="s">
        <v>17</v>
      </c>
      <c r="I9314" t="str">
        <f>"063852006469"</f>
        <v>063852006469</v>
      </c>
    </row>
    <row r="9315" spans="1:9" x14ac:dyDescent="0.25">
      <c r="A9315" t="s">
        <v>8111</v>
      </c>
      <c r="B9315" t="s">
        <v>13</v>
      </c>
      <c r="C9315">
        <v>4.67</v>
      </c>
      <c r="D9315">
        <v>5.17</v>
      </c>
      <c r="E9315" t="s">
        <v>17</v>
      </c>
      <c r="F9315">
        <v>8.7799999999999994</v>
      </c>
      <c r="G9315">
        <v>8.6999999999999993</v>
      </c>
      <c r="H9315" t="s">
        <v>17</v>
      </c>
      <c r="I9315" t="str">
        <f>"063852006470"</f>
        <v>063852006470</v>
      </c>
    </row>
    <row r="9316" spans="1:9" x14ac:dyDescent="0.25">
      <c r="A9316" t="s">
        <v>8112</v>
      </c>
      <c r="B9316" t="s">
        <v>13</v>
      </c>
      <c r="C9316">
        <v>19</v>
      </c>
      <c r="D9316">
        <v>18</v>
      </c>
      <c r="E9316" t="s">
        <v>17</v>
      </c>
      <c r="F9316">
        <v>22.53</v>
      </c>
      <c r="G9316">
        <v>23.72</v>
      </c>
      <c r="H9316" t="s">
        <v>17</v>
      </c>
      <c r="I9316" t="str">
        <f>"061455003007"</f>
        <v>061455003007</v>
      </c>
    </row>
    <row r="9317" spans="1:9" x14ac:dyDescent="0.25">
      <c r="A9317" t="s">
        <v>8112</v>
      </c>
      <c r="B9317" t="s">
        <v>13</v>
      </c>
      <c r="C9317">
        <v>21</v>
      </c>
      <c r="D9317">
        <v>22</v>
      </c>
      <c r="E9317" t="s">
        <v>17</v>
      </c>
      <c r="F9317">
        <v>23.9</v>
      </c>
      <c r="G9317">
        <v>23.64</v>
      </c>
      <c r="H9317" t="s">
        <v>17</v>
      </c>
      <c r="I9317" t="str">
        <f>"061488001824"</f>
        <v>061488001824</v>
      </c>
    </row>
    <row r="9318" spans="1:9" x14ac:dyDescent="0.25">
      <c r="A9318" t="s">
        <v>8112</v>
      </c>
      <c r="B9318" t="s">
        <v>13</v>
      </c>
      <c r="C9318">
        <v>34</v>
      </c>
      <c r="D9318">
        <v>34.5</v>
      </c>
      <c r="E9318" t="s">
        <v>17</v>
      </c>
      <c r="F9318">
        <v>27.24</v>
      </c>
      <c r="G9318">
        <v>26.03</v>
      </c>
      <c r="H9318" t="s">
        <v>17</v>
      </c>
      <c r="I9318" t="str">
        <f>"060985004978"</f>
        <v>060985004978</v>
      </c>
    </row>
    <row r="9319" spans="1:9" x14ac:dyDescent="0.25">
      <c r="A9319" t="s">
        <v>8112</v>
      </c>
      <c r="B9319" t="s">
        <v>13</v>
      </c>
      <c r="C9319">
        <v>10</v>
      </c>
      <c r="D9319">
        <v>7.8</v>
      </c>
      <c r="E9319" t="s">
        <v>17</v>
      </c>
      <c r="F9319">
        <v>27.8</v>
      </c>
      <c r="G9319">
        <v>38.21</v>
      </c>
      <c r="H9319" t="s">
        <v>17</v>
      </c>
      <c r="I9319" t="str">
        <f>"063384005282"</f>
        <v>063384005282</v>
      </c>
    </row>
    <row r="9320" spans="1:9" x14ac:dyDescent="0.25">
      <c r="A9320" t="s">
        <v>8112</v>
      </c>
      <c r="B9320" t="s">
        <v>13</v>
      </c>
      <c r="C9320">
        <v>21.9</v>
      </c>
      <c r="D9320">
        <v>22.5</v>
      </c>
      <c r="E9320" t="s">
        <v>17</v>
      </c>
      <c r="F9320">
        <v>24.29</v>
      </c>
      <c r="G9320">
        <v>23.24</v>
      </c>
      <c r="H9320" t="s">
        <v>17</v>
      </c>
      <c r="I9320" t="str">
        <f>"061887007778"</f>
        <v>061887007778</v>
      </c>
    </row>
    <row r="9321" spans="1:9" x14ac:dyDescent="0.25">
      <c r="A9321" t="s">
        <v>8113</v>
      </c>
      <c r="B9321" t="s">
        <v>13</v>
      </c>
      <c r="C9321">
        <v>19</v>
      </c>
      <c r="D9321">
        <v>29.97</v>
      </c>
      <c r="E9321" t="s">
        <v>17</v>
      </c>
      <c r="F9321">
        <v>31.05</v>
      </c>
      <c r="G9321">
        <v>22.89</v>
      </c>
      <c r="H9321" t="s">
        <v>17</v>
      </c>
      <c r="I9321" t="str">
        <f>"060384000349"</f>
        <v>060384000349</v>
      </c>
    </row>
    <row r="9322" spans="1:9" x14ac:dyDescent="0.25">
      <c r="A9322" t="s">
        <v>8114</v>
      </c>
      <c r="B9322" t="s">
        <v>13</v>
      </c>
      <c r="C9322">
        <v>8.4</v>
      </c>
      <c r="D9322">
        <v>7.42</v>
      </c>
      <c r="E9322" t="s">
        <v>17</v>
      </c>
      <c r="F9322">
        <v>24.52</v>
      </c>
      <c r="G9322">
        <v>24.66</v>
      </c>
      <c r="H9322" t="s">
        <v>17</v>
      </c>
      <c r="I9322" t="str">
        <f>"060002810589"</f>
        <v>060002810589</v>
      </c>
    </row>
    <row r="9323" spans="1:9" x14ac:dyDescent="0.25">
      <c r="A9323" t="s">
        <v>8115</v>
      </c>
      <c r="B9323" t="s">
        <v>13</v>
      </c>
      <c r="C9323">
        <v>26</v>
      </c>
      <c r="D9323">
        <v>32</v>
      </c>
      <c r="E9323" t="s">
        <v>17</v>
      </c>
      <c r="F9323">
        <v>28.42</v>
      </c>
      <c r="G9323">
        <v>22.09</v>
      </c>
      <c r="H9323" t="s">
        <v>17</v>
      </c>
      <c r="I9323" t="str">
        <f>"060002811042"</f>
        <v>060002811042</v>
      </c>
    </row>
    <row r="9324" spans="1:9" x14ac:dyDescent="0.25">
      <c r="A9324" t="s">
        <v>8116</v>
      </c>
      <c r="B9324" t="s">
        <v>13</v>
      </c>
      <c r="C9324">
        <v>70.010000000000005</v>
      </c>
      <c r="D9324">
        <v>89.52</v>
      </c>
      <c r="E9324" t="s">
        <v>17</v>
      </c>
      <c r="F9324">
        <v>17.309999999999999</v>
      </c>
      <c r="G9324">
        <v>15.42</v>
      </c>
      <c r="H9324" t="s">
        <v>17</v>
      </c>
      <c r="I9324" t="str">
        <f>"062271002965"</f>
        <v>062271002965</v>
      </c>
    </row>
    <row r="9325" spans="1:9" x14ac:dyDescent="0.25">
      <c r="A9325" t="s">
        <v>8117</v>
      </c>
      <c r="B9325" t="s">
        <v>13</v>
      </c>
      <c r="C9325" t="s">
        <v>14</v>
      </c>
      <c r="D9325" t="s">
        <v>17</v>
      </c>
      <c r="E9325" t="s">
        <v>17</v>
      </c>
      <c r="F9325" t="s">
        <v>17</v>
      </c>
      <c r="G9325" t="s">
        <v>17</v>
      </c>
      <c r="H9325" t="s">
        <v>17</v>
      </c>
      <c r="I9325" t="str">
        <f>"063855008003"</f>
        <v>063855008003</v>
      </c>
    </row>
    <row r="9326" spans="1:9" x14ac:dyDescent="0.25">
      <c r="A9326" t="s">
        <v>8118</v>
      </c>
      <c r="B9326" t="s">
        <v>13</v>
      </c>
      <c r="C9326">
        <v>52.05</v>
      </c>
      <c r="D9326">
        <v>52.35</v>
      </c>
      <c r="E9326" t="s">
        <v>17</v>
      </c>
      <c r="F9326">
        <v>23.54</v>
      </c>
      <c r="G9326">
        <v>24.93</v>
      </c>
      <c r="H9326" t="s">
        <v>17</v>
      </c>
      <c r="I9326" t="str">
        <f>"061146001275"</f>
        <v>061146001275</v>
      </c>
    </row>
    <row r="9327" spans="1:9" x14ac:dyDescent="0.25">
      <c r="A9327" t="s">
        <v>8119</v>
      </c>
      <c r="B9327" t="s">
        <v>13</v>
      </c>
      <c r="C9327">
        <v>22.25</v>
      </c>
      <c r="D9327">
        <v>23.3</v>
      </c>
      <c r="E9327" t="s">
        <v>17</v>
      </c>
      <c r="F9327">
        <v>26.83</v>
      </c>
      <c r="G9327">
        <v>24.94</v>
      </c>
      <c r="H9327" t="s">
        <v>17</v>
      </c>
      <c r="I9327" t="str">
        <f>"061527001959"</f>
        <v>061527001959</v>
      </c>
    </row>
    <row r="9328" spans="1:9" x14ac:dyDescent="0.25">
      <c r="A9328" t="s">
        <v>8119</v>
      </c>
      <c r="B9328" t="s">
        <v>13</v>
      </c>
      <c r="C9328">
        <v>17.920000000000002</v>
      </c>
      <c r="D9328">
        <v>20.73</v>
      </c>
      <c r="E9328" t="s">
        <v>17</v>
      </c>
      <c r="F9328">
        <v>19.36</v>
      </c>
      <c r="G9328">
        <v>18.96</v>
      </c>
      <c r="H9328" t="s">
        <v>17</v>
      </c>
      <c r="I9328" t="str">
        <f>"062223001341"</f>
        <v>062223001341</v>
      </c>
    </row>
    <row r="9329" spans="1:9" x14ac:dyDescent="0.25">
      <c r="A9329" t="s">
        <v>8120</v>
      </c>
      <c r="B9329" t="s">
        <v>13</v>
      </c>
      <c r="C9329">
        <v>1.1000000000000001</v>
      </c>
      <c r="D9329">
        <v>1.21</v>
      </c>
      <c r="E9329" t="s">
        <v>17</v>
      </c>
      <c r="F9329">
        <v>7.27</v>
      </c>
      <c r="G9329">
        <v>8.26</v>
      </c>
      <c r="H9329" t="s">
        <v>17</v>
      </c>
      <c r="I9329" t="str">
        <f>"062223011334"</f>
        <v>062223011334</v>
      </c>
    </row>
    <row r="9330" spans="1:9" x14ac:dyDescent="0.25">
      <c r="A9330" t="s">
        <v>8121</v>
      </c>
      <c r="B9330" t="s">
        <v>13</v>
      </c>
      <c r="C9330">
        <v>12</v>
      </c>
      <c r="D9330">
        <v>12</v>
      </c>
      <c r="E9330" t="s">
        <v>17</v>
      </c>
      <c r="F9330">
        <v>20.170000000000002</v>
      </c>
      <c r="G9330">
        <v>20</v>
      </c>
      <c r="H9330" t="s">
        <v>17</v>
      </c>
      <c r="I9330" t="str">
        <f>"063441005674"</f>
        <v>063441005674</v>
      </c>
    </row>
    <row r="9331" spans="1:9" x14ac:dyDescent="0.25">
      <c r="A9331" t="s">
        <v>8122</v>
      </c>
      <c r="B9331" t="s">
        <v>13</v>
      </c>
      <c r="C9331">
        <v>1.4</v>
      </c>
      <c r="D9331">
        <v>1.4</v>
      </c>
      <c r="E9331" t="s">
        <v>17</v>
      </c>
      <c r="F9331">
        <v>6.43</v>
      </c>
      <c r="G9331">
        <v>5.71</v>
      </c>
      <c r="H9331" t="s">
        <v>17</v>
      </c>
      <c r="I9331" t="str">
        <f>"069104201832"</f>
        <v>069104201832</v>
      </c>
    </row>
    <row r="9332" spans="1:9" x14ac:dyDescent="0.25">
      <c r="A9332" t="s">
        <v>8123</v>
      </c>
      <c r="B9332" t="s">
        <v>13</v>
      </c>
      <c r="C9332">
        <v>37.200000000000003</v>
      </c>
      <c r="D9332">
        <v>33.200000000000003</v>
      </c>
      <c r="E9332" t="s">
        <v>17</v>
      </c>
      <c r="F9332">
        <v>7.5</v>
      </c>
      <c r="G9332">
        <v>8.4600000000000009</v>
      </c>
      <c r="H9332" t="s">
        <v>17</v>
      </c>
      <c r="I9332" t="str">
        <f>"069104207231"</f>
        <v>069104207231</v>
      </c>
    </row>
    <row r="9333" spans="1:9" x14ac:dyDescent="0.25">
      <c r="A9333" t="s">
        <v>8124</v>
      </c>
      <c r="B9333" t="s">
        <v>13</v>
      </c>
      <c r="C9333">
        <v>12</v>
      </c>
      <c r="D9333">
        <v>12</v>
      </c>
      <c r="E9333" t="s">
        <v>17</v>
      </c>
      <c r="F9333">
        <v>27</v>
      </c>
      <c r="G9333">
        <v>28.92</v>
      </c>
      <c r="H9333" t="s">
        <v>17</v>
      </c>
      <c r="I9333" t="str">
        <f>"060245008793"</f>
        <v>060245008793</v>
      </c>
    </row>
    <row r="9334" spans="1:9" x14ac:dyDescent="0.25">
      <c r="A9334" t="s">
        <v>8125</v>
      </c>
      <c r="B9334" t="s">
        <v>13</v>
      </c>
      <c r="C9334">
        <v>20.25</v>
      </c>
      <c r="D9334">
        <v>19.55</v>
      </c>
      <c r="E9334" t="s">
        <v>17</v>
      </c>
      <c r="F9334">
        <v>22.52</v>
      </c>
      <c r="G9334">
        <v>23.48</v>
      </c>
      <c r="H9334" t="s">
        <v>17</v>
      </c>
      <c r="I9334" t="str">
        <f>"063543006052"</f>
        <v>063543006052</v>
      </c>
    </row>
    <row r="9335" spans="1:9" x14ac:dyDescent="0.25">
      <c r="A9335" t="s">
        <v>8125</v>
      </c>
      <c r="B9335" t="s">
        <v>13</v>
      </c>
      <c r="C9335">
        <v>20</v>
      </c>
      <c r="D9335">
        <v>20.9</v>
      </c>
      <c r="E9335" t="s">
        <v>17</v>
      </c>
      <c r="F9335">
        <v>29.2</v>
      </c>
      <c r="G9335">
        <v>26.12</v>
      </c>
      <c r="H9335" t="s">
        <v>17</v>
      </c>
      <c r="I9335" t="str">
        <f>"060285000217"</f>
        <v>060285000217</v>
      </c>
    </row>
    <row r="9336" spans="1:9" x14ac:dyDescent="0.25">
      <c r="A9336" t="s">
        <v>8126</v>
      </c>
      <c r="B9336" t="s">
        <v>13</v>
      </c>
      <c r="C9336">
        <v>30.36</v>
      </c>
      <c r="D9336">
        <v>29.55</v>
      </c>
      <c r="E9336" t="s">
        <v>17</v>
      </c>
      <c r="F9336">
        <v>21.38</v>
      </c>
      <c r="G9336">
        <v>23.08</v>
      </c>
      <c r="H9336" t="s">
        <v>17</v>
      </c>
      <c r="I9336" t="str">
        <f>"063861006473"</f>
        <v>063861006473</v>
      </c>
    </row>
    <row r="9337" spans="1:9" x14ac:dyDescent="0.25">
      <c r="A9337" t="s">
        <v>8127</v>
      </c>
      <c r="B9337" t="s">
        <v>13</v>
      </c>
      <c r="C9337">
        <v>49.69</v>
      </c>
      <c r="D9337">
        <v>30.76</v>
      </c>
      <c r="E9337" t="s">
        <v>17</v>
      </c>
      <c r="F9337">
        <v>25.3</v>
      </c>
      <c r="G9337">
        <v>43.99</v>
      </c>
      <c r="H9337" t="s">
        <v>17</v>
      </c>
      <c r="I9337" t="str">
        <f>"063384005283"</f>
        <v>063384005283</v>
      </c>
    </row>
    <row r="9338" spans="1:9" x14ac:dyDescent="0.25">
      <c r="A9338" t="s">
        <v>8127</v>
      </c>
      <c r="B9338" t="s">
        <v>13</v>
      </c>
      <c r="C9338">
        <v>49.71</v>
      </c>
      <c r="D9338">
        <v>47.3</v>
      </c>
      <c r="E9338" t="s">
        <v>17</v>
      </c>
      <c r="F9338">
        <v>26.39</v>
      </c>
      <c r="G9338">
        <v>26.87</v>
      </c>
      <c r="H9338" t="s">
        <v>17</v>
      </c>
      <c r="I9338" t="str">
        <f>"061389008577"</f>
        <v>061389008577</v>
      </c>
    </row>
    <row r="9339" spans="1:9" x14ac:dyDescent="0.25">
      <c r="A9339" t="s">
        <v>8128</v>
      </c>
      <c r="B9339" t="s">
        <v>13</v>
      </c>
      <c r="C9339">
        <v>11.7</v>
      </c>
      <c r="D9339">
        <v>10.7</v>
      </c>
      <c r="E9339" t="s">
        <v>17</v>
      </c>
      <c r="F9339">
        <v>21.88</v>
      </c>
      <c r="G9339">
        <v>23.93</v>
      </c>
      <c r="H9339" t="s">
        <v>17</v>
      </c>
      <c r="I9339" t="str">
        <f>"061545010200"</f>
        <v>061545010200</v>
      </c>
    </row>
    <row r="9340" spans="1:9" x14ac:dyDescent="0.25">
      <c r="A9340" t="s">
        <v>8129</v>
      </c>
      <c r="B9340" t="s">
        <v>13</v>
      </c>
      <c r="C9340">
        <v>20</v>
      </c>
      <c r="D9340">
        <v>17.100000000000001</v>
      </c>
      <c r="E9340" t="s">
        <v>17</v>
      </c>
      <c r="F9340">
        <v>29.8</v>
      </c>
      <c r="G9340">
        <v>33.57</v>
      </c>
      <c r="H9340" t="s">
        <v>17</v>
      </c>
      <c r="I9340" t="str">
        <f>"063384005284"</f>
        <v>063384005284</v>
      </c>
    </row>
    <row r="9341" spans="1:9" x14ac:dyDescent="0.25">
      <c r="A9341" t="s">
        <v>8130</v>
      </c>
      <c r="B9341" t="s">
        <v>13</v>
      </c>
      <c r="C9341">
        <v>29.5</v>
      </c>
      <c r="D9341">
        <v>28.83</v>
      </c>
      <c r="E9341" t="s">
        <v>17</v>
      </c>
      <c r="F9341">
        <v>34.31</v>
      </c>
      <c r="G9341">
        <v>33.65</v>
      </c>
      <c r="H9341" t="s">
        <v>17</v>
      </c>
      <c r="I9341" t="str">
        <f>"062547003809"</f>
        <v>062547003809</v>
      </c>
    </row>
    <row r="9342" spans="1:9" x14ac:dyDescent="0.25">
      <c r="A9342" t="s">
        <v>8131</v>
      </c>
      <c r="B9342" t="s">
        <v>13</v>
      </c>
      <c r="C9342">
        <v>38.090000000000003</v>
      </c>
      <c r="D9342">
        <v>37.89</v>
      </c>
      <c r="E9342" t="s">
        <v>17</v>
      </c>
      <c r="F9342">
        <v>25.54</v>
      </c>
      <c r="G9342">
        <v>23.86</v>
      </c>
      <c r="H9342" t="s">
        <v>17</v>
      </c>
      <c r="I9342" t="str">
        <f>"062547003810"</f>
        <v>062547003810</v>
      </c>
    </row>
    <row r="9343" spans="1:9" x14ac:dyDescent="0.25">
      <c r="A9343" t="s">
        <v>8132</v>
      </c>
      <c r="B9343" t="s">
        <v>13</v>
      </c>
      <c r="C9343">
        <v>53</v>
      </c>
      <c r="D9343">
        <v>52.06</v>
      </c>
      <c r="E9343" t="s">
        <v>17</v>
      </c>
      <c r="F9343">
        <v>26.38</v>
      </c>
      <c r="G9343">
        <v>26.76</v>
      </c>
      <c r="H9343" t="s">
        <v>17</v>
      </c>
      <c r="I9343" t="str">
        <f>"064128006840"</f>
        <v>064128006840</v>
      </c>
    </row>
    <row r="9344" spans="1:9" x14ac:dyDescent="0.25">
      <c r="A9344" t="s">
        <v>8133</v>
      </c>
      <c r="B9344" t="s">
        <v>13</v>
      </c>
      <c r="C9344">
        <v>14</v>
      </c>
      <c r="D9344">
        <v>17</v>
      </c>
      <c r="E9344" t="s">
        <v>17</v>
      </c>
      <c r="F9344">
        <v>10.210000000000001</v>
      </c>
      <c r="G9344">
        <v>9.4700000000000006</v>
      </c>
      <c r="H9344" t="s">
        <v>17</v>
      </c>
      <c r="I9344" t="str">
        <f>"062271007756"</f>
        <v>062271007756</v>
      </c>
    </row>
    <row r="9345" spans="1:9" x14ac:dyDescent="0.25">
      <c r="A9345" t="s">
        <v>8134</v>
      </c>
      <c r="B9345" t="s">
        <v>13</v>
      </c>
      <c r="C9345">
        <v>3</v>
      </c>
      <c r="D9345">
        <v>3.12</v>
      </c>
      <c r="E9345" t="s">
        <v>17</v>
      </c>
      <c r="F9345">
        <v>8.33</v>
      </c>
      <c r="G9345">
        <v>14.42</v>
      </c>
      <c r="H9345" t="s">
        <v>17</v>
      </c>
      <c r="I9345" t="str">
        <f>"063864008310"</f>
        <v>063864008310</v>
      </c>
    </row>
    <row r="9346" spans="1:9" x14ac:dyDescent="0.25">
      <c r="A9346" t="s">
        <v>8135</v>
      </c>
      <c r="B9346" t="s">
        <v>13</v>
      </c>
      <c r="C9346">
        <v>95.04</v>
      </c>
      <c r="D9346">
        <v>99.73</v>
      </c>
      <c r="E9346" t="s">
        <v>17</v>
      </c>
      <c r="F9346">
        <v>29.81</v>
      </c>
      <c r="G9346">
        <v>24.29</v>
      </c>
      <c r="H9346" t="s">
        <v>17</v>
      </c>
      <c r="I9346" t="str">
        <f>"063864006495"</f>
        <v>063864006495</v>
      </c>
    </row>
    <row r="9347" spans="1:9" x14ac:dyDescent="0.25">
      <c r="A9347" t="s">
        <v>8136</v>
      </c>
      <c r="B9347" t="s">
        <v>13</v>
      </c>
      <c r="C9347">
        <v>19.02</v>
      </c>
      <c r="D9347">
        <v>18.260000000000002</v>
      </c>
      <c r="E9347" t="s">
        <v>17</v>
      </c>
      <c r="F9347">
        <v>30.39</v>
      </c>
      <c r="G9347">
        <v>30.34</v>
      </c>
      <c r="H9347" t="s">
        <v>17</v>
      </c>
      <c r="I9347" t="str">
        <f>"062025002634"</f>
        <v>062025002634</v>
      </c>
    </row>
    <row r="9348" spans="1:9" x14ac:dyDescent="0.25">
      <c r="A9348" t="s">
        <v>8137</v>
      </c>
      <c r="B9348" t="s">
        <v>13</v>
      </c>
      <c r="C9348">
        <v>20</v>
      </c>
      <c r="D9348">
        <v>21</v>
      </c>
      <c r="E9348" t="s">
        <v>17</v>
      </c>
      <c r="F9348">
        <v>21.5</v>
      </c>
      <c r="G9348">
        <v>20</v>
      </c>
      <c r="H9348" t="s">
        <v>17</v>
      </c>
      <c r="I9348" t="str">
        <f>"064296006989"</f>
        <v>064296006989</v>
      </c>
    </row>
    <row r="9349" spans="1:9" x14ac:dyDescent="0.25">
      <c r="A9349" t="s">
        <v>8138</v>
      </c>
      <c r="B9349" t="s">
        <v>13</v>
      </c>
      <c r="C9349">
        <v>11</v>
      </c>
      <c r="D9349">
        <v>11.03</v>
      </c>
      <c r="E9349" t="s">
        <v>17</v>
      </c>
      <c r="F9349">
        <v>26.73</v>
      </c>
      <c r="G9349">
        <v>28.38</v>
      </c>
      <c r="H9349" t="s">
        <v>17</v>
      </c>
      <c r="I9349" t="str">
        <f>"060002712433"</f>
        <v>060002712433</v>
      </c>
    </row>
    <row r="9350" spans="1:9" x14ac:dyDescent="0.25">
      <c r="A9350" t="s">
        <v>8139</v>
      </c>
      <c r="B9350" t="s">
        <v>13</v>
      </c>
      <c r="C9350">
        <v>58.6</v>
      </c>
      <c r="D9350">
        <v>63.2</v>
      </c>
      <c r="E9350" t="s">
        <v>17</v>
      </c>
      <c r="F9350">
        <v>24.83</v>
      </c>
      <c r="G9350">
        <v>23.1</v>
      </c>
      <c r="H9350" t="s">
        <v>17</v>
      </c>
      <c r="I9350" t="str">
        <f>"060964010454"</f>
        <v>060964010454</v>
      </c>
    </row>
    <row r="9351" spans="1:9" x14ac:dyDescent="0.25">
      <c r="A9351" t="s">
        <v>8140</v>
      </c>
      <c r="B9351" t="s">
        <v>13</v>
      </c>
      <c r="C9351">
        <v>20</v>
      </c>
      <c r="D9351">
        <v>19</v>
      </c>
      <c r="E9351" t="s">
        <v>17</v>
      </c>
      <c r="F9351">
        <v>16.149999999999999</v>
      </c>
      <c r="G9351">
        <v>18.05</v>
      </c>
      <c r="H9351" t="s">
        <v>17</v>
      </c>
      <c r="I9351" t="str">
        <f>"063588006146"</f>
        <v>063588006146</v>
      </c>
    </row>
    <row r="9352" spans="1:9" x14ac:dyDescent="0.25">
      <c r="A9352" t="s">
        <v>8141</v>
      </c>
      <c r="B9352" t="s">
        <v>13</v>
      </c>
      <c r="C9352">
        <v>19</v>
      </c>
      <c r="D9352">
        <v>19.05</v>
      </c>
      <c r="E9352" t="s">
        <v>17</v>
      </c>
      <c r="F9352">
        <v>24.58</v>
      </c>
      <c r="G9352">
        <v>25.04</v>
      </c>
      <c r="H9352" t="s">
        <v>17</v>
      </c>
      <c r="I9352" t="str">
        <f>"060001609094"</f>
        <v>060001609094</v>
      </c>
    </row>
    <row r="9353" spans="1:9" x14ac:dyDescent="0.25">
      <c r="A9353" t="s">
        <v>8141</v>
      </c>
      <c r="B9353" t="s">
        <v>13</v>
      </c>
      <c r="C9353">
        <v>19</v>
      </c>
      <c r="D9353">
        <v>20.12</v>
      </c>
      <c r="E9353" t="s">
        <v>17</v>
      </c>
      <c r="F9353">
        <v>22.53</v>
      </c>
      <c r="G9353">
        <v>21.32</v>
      </c>
      <c r="H9353" t="s">
        <v>17</v>
      </c>
      <c r="I9353" t="str">
        <f>"063684006270"</f>
        <v>063684006270</v>
      </c>
    </row>
    <row r="9354" spans="1:9" x14ac:dyDescent="0.25">
      <c r="A9354" t="s">
        <v>8141</v>
      </c>
      <c r="B9354" t="s">
        <v>13</v>
      </c>
      <c r="C9354">
        <v>9</v>
      </c>
      <c r="D9354">
        <v>9</v>
      </c>
      <c r="E9354" t="s">
        <v>17</v>
      </c>
      <c r="F9354">
        <v>23.67</v>
      </c>
      <c r="G9354">
        <v>25.56</v>
      </c>
      <c r="H9354" t="s">
        <v>17</v>
      </c>
      <c r="I9354" t="str">
        <f>"063204004930"</f>
        <v>063204004930</v>
      </c>
    </row>
    <row r="9355" spans="1:9" x14ac:dyDescent="0.25">
      <c r="A9355" t="s">
        <v>8141</v>
      </c>
      <c r="B9355" t="s">
        <v>13</v>
      </c>
      <c r="C9355">
        <v>18</v>
      </c>
      <c r="D9355">
        <v>21</v>
      </c>
      <c r="E9355" t="s">
        <v>17</v>
      </c>
      <c r="F9355">
        <v>25.17</v>
      </c>
      <c r="G9355">
        <v>22.29</v>
      </c>
      <c r="H9355" t="s">
        <v>17</v>
      </c>
      <c r="I9355" t="str">
        <f>"062865004453"</f>
        <v>062865004453</v>
      </c>
    </row>
    <row r="9356" spans="1:9" x14ac:dyDescent="0.25">
      <c r="A9356" t="s">
        <v>8141</v>
      </c>
      <c r="B9356" t="s">
        <v>13</v>
      </c>
      <c r="C9356">
        <v>15.14</v>
      </c>
      <c r="D9356">
        <v>15.14</v>
      </c>
      <c r="E9356" t="s">
        <v>17</v>
      </c>
      <c r="F9356">
        <v>25.03</v>
      </c>
      <c r="G9356">
        <v>25.03</v>
      </c>
      <c r="H9356" t="s">
        <v>17</v>
      </c>
      <c r="I9356" t="str">
        <f>"060876000895"</f>
        <v>060876000895</v>
      </c>
    </row>
    <row r="9357" spans="1:9" x14ac:dyDescent="0.25">
      <c r="A9357" t="s">
        <v>8142</v>
      </c>
      <c r="B9357" t="s">
        <v>13</v>
      </c>
      <c r="C9357" t="str">
        <f>"0.50"</f>
        <v>0.50</v>
      </c>
      <c r="D9357">
        <v>1</v>
      </c>
      <c r="E9357" t="s">
        <v>17</v>
      </c>
      <c r="F9357">
        <v>14</v>
      </c>
      <c r="G9357">
        <v>14</v>
      </c>
      <c r="H9357" t="s">
        <v>17</v>
      </c>
      <c r="I9357" t="str">
        <f>"064015007201"</f>
        <v>064015007201</v>
      </c>
    </row>
    <row r="9358" spans="1:9" x14ac:dyDescent="0.25">
      <c r="A9358" t="s">
        <v>8143</v>
      </c>
      <c r="B9358" t="s">
        <v>13</v>
      </c>
      <c r="C9358">
        <v>39</v>
      </c>
      <c r="D9358">
        <v>37</v>
      </c>
      <c r="E9358" t="s">
        <v>17</v>
      </c>
      <c r="F9358">
        <v>23.08</v>
      </c>
      <c r="G9358">
        <v>25</v>
      </c>
      <c r="H9358" t="s">
        <v>17</v>
      </c>
      <c r="I9358" t="str">
        <f>"060939010608"</f>
        <v>060939010608</v>
      </c>
    </row>
    <row r="9359" spans="1:9" x14ac:dyDescent="0.25">
      <c r="A9359" t="s">
        <v>8144</v>
      </c>
      <c r="B9359" t="s">
        <v>13</v>
      </c>
      <c r="C9359">
        <v>70.510000000000005</v>
      </c>
      <c r="D9359">
        <v>73.5</v>
      </c>
      <c r="E9359" t="s">
        <v>17</v>
      </c>
      <c r="F9359">
        <v>21.13</v>
      </c>
      <c r="G9359">
        <v>20.48</v>
      </c>
      <c r="H9359" t="s">
        <v>17</v>
      </c>
      <c r="I9359" t="str">
        <f>"060263000189"</f>
        <v>060263000189</v>
      </c>
    </row>
    <row r="9360" spans="1:9" x14ac:dyDescent="0.25">
      <c r="A9360" t="s">
        <v>8145</v>
      </c>
      <c r="B9360" t="s">
        <v>13</v>
      </c>
      <c r="C9360">
        <v>19.55</v>
      </c>
      <c r="D9360">
        <v>20.9</v>
      </c>
      <c r="E9360" t="s">
        <v>17</v>
      </c>
      <c r="F9360">
        <v>22.25</v>
      </c>
      <c r="G9360">
        <v>20.72</v>
      </c>
      <c r="H9360" t="s">
        <v>17</v>
      </c>
      <c r="I9360" t="str">
        <f>"060005102013"</f>
        <v>060005102013</v>
      </c>
    </row>
    <row r="9361" spans="1:9" x14ac:dyDescent="0.25">
      <c r="A9361" t="s">
        <v>8146</v>
      </c>
      <c r="B9361" t="s">
        <v>13</v>
      </c>
      <c r="C9361">
        <v>25.23</v>
      </c>
      <c r="D9361">
        <v>25.99</v>
      </c>
      <c r="E9361" t="s">
        <v>17</v>
      </c>
      <c r="F9361">
        <v>18.190000000000001</v>
      </c>
      <c r="G9361">
        <v>17.510000000000002</v>
      </c>
      <c r="H9361" t="s">
        <v>17</v>
      </c>
      <c r="I9361" t="str">
        <f>"061074011753"</f>
        <v>061074011753</v>
      </c>
    </row>
    <row r="9362" spans="1:9" x14ac:dyDescent="0.25">
      <c r="A9362" t="s">
        <v>8147</v>
      </c>
      <c r="B9362" t="s">
        <v>13</v>
      </c>
      <c r="C9362">
        <v>24</v>
      </c>
      <c r="D9362">
        <v>23</v>
      </c>
      <c r="E9362" t="s">
        <v>17</v>
      </c>
      <c r="F9362">
        <v>25.67</v>
      </c>
      <c r="G9362">
        <v>26</v>
      </c>
      <c r="H9362" t="s">
        <v>17</v>
      </c>
      <c r="I9362" t="str">
        <f>"060001705167"</f>
        <v>060001705167</v>
      </c>
    </row>
    <row r="9363" spans="1:9" x14ac:dyDescent="0.25">
      <c r="A9363" t="s">
        <v>8148</v>
      </c>
      <c r="B9363" t="s">
        <v>13</v>
      </c>
      <c r="C9363">
        <v>5.77</v>
      </c>
      <c r="D9363" t="s">
        <v>14</v>
      </c>
      <c r="E9363" t="s">
        <v>14</v>
      </c>
      <c r="F9363">
        <v>22.36</v>
      </c>
      <c r="G9363" t="s">
        <v>14</v>
      </c>
      <c r="H9363" t="s">
        <v>14</v>
      </c>
      <c r="I9363" t="str">
        <f>"064116013015"</f>
        <v>064116013015</v>
      </c>
    </row>
    <row r="9364" spans="1:9" x14ac:dyDescent="0.25">
      <c r="A9364" t="s">
        <v>8149</v>
      </c>
      <c r="B9364" t="s">
        <v>13</v>
      </c>
      <c r="C9364">
        <v>28.58</v>
      </c>
      <c r="D9364">
        <v>28.83</v>
      </c>
      <c r="E9364" t="s">
        <v>17</v>
      </c>
      <c r="F9364">
        <v>23.2</v>
      </c>
      <c r="G9364">
        <v>23.17</v>
      </c>
      <c r="H9364" t="s">
        <v>17</v>
      </c>
      <c r="I9364" t="str">
        <f>"063513000289"</f>
        <v>063513000289</v>
      </c>
    </row>
    <row r="9365" spans="1:9" x14ac:dyDescent="0.25">
      <c r="A9365" t="s">
        <v>8150</v>
      </c>
      <c r="B9365" t="s">
        <v>13</v>
      </c>
      <c r="C9365">
        <v>26</v>
      </c>
      <c r="D9365">
        <v>33.01</v>
      </c>
      <c r="E9365" t="s">
        <v>17</v>
      </c>
      <c r="F9365">
        <v>23.12</v>
      </c>
      <c r="G9365">
        <v>24.33</v>
      </c>
      <c r="H9365" t="s">
        <v>17</v>
      </c>
      <c r="I9365" t="str">
        <f>"062271003384"</f>
        <v>062271003384</v>
      </c>
    </row>
    <row r="9366" spans="1:9" x14ac:dyDescent="0.25">
      <c r="A9366" t="s">
        <v>8151</v>
      </c>
      <c r="B9366" t="s">
        <v>13</v>
      </c>
      <c r="C9366">
        <v>31</v>
      </c>
      <c r="D9366" t="s">
        <v>14</v>
      </c>
      <c r="E9366" t="s">
        <v>14</v>
      </c>
      <c r="F9366">
        <v>24.45</v>
      </c>
      <c r="G9366" t="s">
        <v>14</v>
      </c>
      <c r="H9366" t="s">
        <v>14</v>
      </c>
      <c r="I9366" t="str">
        <f>"062271013198"</f>
        <v>062271013198</v>
      </c>
    </row>
    <row r="9367" spans="1:9" x14ac:dyDescent="0.25">
      <c r="A9367" t="s">
        <v>8152</v>
      </c>
      <c r="B9367" t="s">
        <v>13</v>
      </c>
      <c r="C9367">
        <v>106.02</v>
      </c>
      <c r="D9367">
        <v>121.62</v>
      </c>
      <c r="E9367" t="s">
        <v>17</v>
      </c>
      <c r="F9367">
        <v>22.71</v>
      </c>
      <c r="G9367">
        <v>21.92</v>
      </c>
      <c r="H9367" t="s">
        <v>17</v>
      </c>
      <c r="I9367" t="str">
        <f>"062271003385"</f>
        <v>062271003385</v>
      </c>
    </row>
    <row r="9368" spans="1:9" x14ac:dyDescent="0.25">
      <c r="A9368" t="s">
        <v>8153</v>
      </c>
      <c r="B9368" t="s">
        <v>13</v>
      </c>
      <c r="C9368">
        <v>12</v>
      </c>
      <c r="D9368">
        <v>11.5</v>
      </c>
      <c r="E9368" t="s">
        <v>17</v>
      </c>
      <c r="F9368">
        <v>28.33</v>
      </c>
      <c r="G9368">
        <v>28.96</v>
      </c>
      <c r="H9368" t="s">
        <v>17</v>
      </c>
      <c r="I9368" t="str">
        <f>"063867006502"</f>
        <v>063867006502</v>
      </c>
    </row>
    <row r="9369" spans="1:9" x14ac:dyDescent="0.25">
      <c r="A9369" t="s">
        <v>8154</v>
      </c>
      <c r="B9369" t="s">
        <v>13</v>
      </c>
      <c r="C9369">
        <v>25.56</v>
      </c>
      <c r="D9369">
        <v>28.1</v>
      </c>
      <c r="E9369" t="s">
        <v>17</v>
      </c>
      <c r="F9369">
        <v>25.51</v>
      </c>
      <c r="G9369">
        <v>23.35</v>
      </c>
      <c r="H9369" t="s">
        <v>17</v>
      </c>
      <c r="I9369" t="str">
        <f>"063462005824"</f>
        <v>063462005824</v>
      </c>
    </row>
    <row r="9370" spans="1:9" x14ac:dyDescent="0.25">
      <c r="A9370" t="s">
        <v>8155</v>
      </c>
      <c r="B9370" t="s">
        <v>13</v>
      </c>
      <c r="C9370">
        <v>37</v>
      </c>
      <c r="D9370">
        <v>35</v>
      </c>
      <c r="E9370" t="s">
        <v>17</v>
      </c>
      <c r="F9370">
        <v>23.46</v>
      </c>
      <c r="G9370">
        <v>24.6</v>
      </c>
      <c r="H9370" t="s">
        <v>17</v>
      </c>
      <c r="I9370" t="str">
        <f>"062271003386"</f>
        <v>062271003386</v>
      </c>
    </row>
    <row r="9371" spans="1:9" x14ac:dyDescent="0.25">
      <c r="A9371" t="s">
        <v>8156</v>
      </c>
      <c r="B9371" t="s">
        <v>13</v>
      </c>
      <c r="C9371">
        <v>35.200000000000003</v>
      </c>
      <c r="D9371">
        <v>31.8</v>
      </c>
      <c r="E9371" t="s">
        <v>17</v>
      </c>
      <c r="F9371">
        <v>23.66</v>
      </c>
      <c r="G9371">
        <v>25.38</v>
      </c>
      <c r="H9371" t="s">
        <v>17</v>
      </c>
      <c r="I9371" t="str">
        <f>"061437001653"</f>
        <v>061437001653</v>
      </c>
    </row>
    <row r="9372" spans="1:9" x14ac:dyDescent="0.25">
      <c r="A9372" t="s">
        <v>8157</v>
      </c>
      <c r="B9372" t="s">
        <v>13</v>
      </c>
      <c r="C9372">
        <v>27.63</v>
      </c>
      <c r="D9372">
        <v>29.7</v>
      </c>
      <c r="E9372" t="s">
        <v>17</v>
      </c>
      <c r="F9372">
        <v>18.170000000000002</v>
      </c>
      <c r="G9372">
        <v>19.059999999999999</v>
      </c>
      <c r="H9372" t="s">
        <v>17</v>
      </c>
      <c r="I9372" t="str">
        <f>"060231000101"</f>
        <v>060231000101</v>
      </c>
    </row>
    <row r="9373" spans="1:9" x14ac:dyDescent="0.25">
      <c r="A9373" t="s">
        <v>8158</v>
      </c>
      <c r="B9373" t="s">
        <v>13</v>
      </c>
      <c r="C9373">
        <v>3.5</v>
      </c>
      <c r="D9373" t="s">
        <v>14</v>
      </c>
      <c r="E9373" t="s">
        <v>14</v>
      </c>
      <c r="F9373">
        <v>25.43</v>
      </c>
      <c r="G9373" t="s">
        <v>14</v>
      </c>
      <c r="H9373" t="s">
        <v>14</v>
      </c>
      <c r="I9373" t="str">
        <f>"060141913136"</f>
        <v>060141913136</v>
      </c>
    </row>
    <row r="9374" spans="1:9" x14ac:dyDescent="0.25">
      <c r="A9374" t="s">
        <v>8159</v>
      </c>
      <c r="B9374" t="s">
        <v>13</v>
      </c>
      <c r="C9374">
        <v>14</v>
      </c>
      <c r="D9374">
        <v>14</v>
      </c>
      <c r="E9374" t="s">
        <v>17</v>
      </c>
      <c r="F9374">
        <v>22.21</v>
      </c>
      <c r="G9374">
        <v>22.21</v>
      </c>
      <c r="H9374" t="s">
        <v>17</v>
      </c>
      <c r="I9374" t="str">
        <f>"062271010846"</f>
        <v>062271010846</v>
      </c>
    </row>
    <row r="9375" spans="1:9" x14ac:dyDescent="0.25">
      <c r="A9375" t="s">
        <v>8160</v>
      </c>
      <c r="B9375" t="s">
        <v>13</v>
      </c>
      <c r="C9375">
        <v>19</v>
      </c>
      <c r="D9375">
        <v>17</v>
      </c>
      <c r="E9375" t="s">
        <v>17</v>
      </c>
      <c r="F9375">
        <v>24.95</v>
      </c>
      <c r="G9375">
        <v>27.94</v>
      </c>
      <c r="H9375" t="s">
        <v>17</v>
      </c>
      <c r="I9375" t="str">
        <f>"062271012276"</f>
        <v>062271012276</v>
      </c>
    </row>
    <row r="9376" spans="1:9" x14ac:dyDescent="0.25">
      <c r="A9376" t="s">
        <v>8161</v>
      </c>
      <c r="B9376" t="s">
        <v>13</v>
      </c>
      <c r="C9376">
        <v>18.5</v>
      </c>
      <c r="D9376">
        <v>14.01</v>
      </c>
      <c r="E9376" t="s">
        <v>14</v>
      </c>
      <c r="F9376">
        <v>29.03</v>
      </c>
      <c r="G9376">
        <v>28.34</v>
      </c>
      <c r="H9376" t="s">
        <v>14</v>
      </c>
      <c r="I9376" t="str">
        <f>"062271012883"</f>
        <v>062271012883</v>
      </c>
    </row>
    <row r="9377" spans="1:9" x14ac:dyDescent="0.25">
      <c r="A9377" t="s">
        <v>8162</v>
      </c>
      <c r="B9377" t="s">
        <v>13</v>
      </c>
      <c r="C9377">
        <v>33</v>
      </c>
      <c r="D9377">
        <v>33</v>
      </c>
      <c r="E9377" t="s">
        <v>17</v>
      </c>
      <c r="F9377">
        <v>23.36</v>
      </c>
      <c r="G9377">
        <v>21.52</v>
      </c>
      <c r="H9377" t="s">
        <v>17</v>
      </c>
      <c r="I9377" t="str">
        <f>"061821008489"</f>
        <v>061821008489</v>
      </c>
    </row>
    <row r="9378" spans="1:9" x14ac:dyDescent="0.25">
      <c r="A9378" t="s">
        <v>8163</v>
      </c>
      <c r="B9378" t="s">
        <v>13</v>
      </c>
      <c r="C9378">
        <v>17.37</v>
      </c>
      <c r="D9378">
        <v>15.83</v>
      </c>
      <c r="E9378" t="s">
        <v>17</v>
      </c>
      <c r="F9378">
        <v>24.35</v>
      </c>
      <c r="G9378">
        <v>24.19</v>
      </c>
      <c r="H9378" t="s">
        <v>17</v>
      </c>
      <c r="I9378" t="str">
        <f>"064308007008"</f>
        <v>064308007008</v>
      </c>
    </row>
    <row r="9379" spans="1:9" x14ac:dyDescent="0.25">
      <c r="A9379" t="s">
        <v>8164</v>
      </c>
      <c r="B9379" t="s">
        <v>13</v>
      </c>
      <c r="C9379">
        <v>46.18</v>
      </c>
      <c r="D9379">
        <v>50.5</v>
      </c>
      <c r="E9379" t="s">
        <v>17</v>
      </c>
      <c r="F9379">
        <v>21.65</v>
      </c>
      <c r="G9379">
        <v>22.55</v>
      </c>
      <c r="H9379" t="s">
        <v>17</v>
      </c>
      <c r="I9379" t="str">
        <f>"061233007234"</f>
        <v>061233007234</v>
      </c>
    </row>
    <row r="9380" spans="1:9" x14ac:dyDescent="0.25">
      <c r="A9380" t="s">
        <v>8165</v>
      </c>
      <c r="B9380" t="s">
        <v>13</v>
      </c>
      <c r="C9380">
        <v>23</v>
      </c>
      <c r="D9380">
        <v>24</v>
      </c>
      <c r="E9380" t="s">
        <v>17</v>
      </c>
      <c r="F9380">
        <v>29.65</v>
      </c>
      <c r="G9380">
        <v>28.92</v>
      </c>
      <c r="H9380" t="s">
        <v>17</v>
      </c>
      <c r="I9380" t="str">
        <f>"062949004552"</f>
        <v>062949004552</v>
      </c>
    </row>
    <row r="9381" spans="1:9" x14ac:dyDescent="0.25">
      <c r="A9381" t="s">
        <v>8166</v>
      </c>
      <c r="B9381" t="s">
        <v>13</v>
      </c>
      <c r="C9381">
        <v>5.75</v>
      </c>
      <c r="D9381">
        <v>5</v>
      </c>
      <c r="E9381" t="s">
        <v>17</v>
      </c>
      <c r="F9381">
        <v>7.3</v>
      </c>
      <c r="G9381">
        <v>8.1999999999999993</v>
      </c>
      <c r="H9381" t="s">
        <v>17</v>
      </c>
      <c r="I9381" t="str">
        <f>"069100209213"</f>
        <v>069100209213</v>
      </c>
    </row>
    <row r="9382" spans="1:9" x14ac:dyDescent="0.25">
      <c r="A9382" t="s">
        <v>8167</v>
      </c>
      <c r="B9382" t="s">
        <v>13</v>
      </c>
      <c r="C9382">
        <v>1</v>
      </c>
      <c r="D9382">
        <v>1</v>
      </c>
      <c r="E9382" t="s">
        <v>17</v>
      </c>
      <c r="F9382">
        <v>2</v>
      </c>
      <c r="G9382">
        <v>8</v>
      </c>
      <c r="H9382" t="s">
        <v>17</v>
      </c>
      <c r="I9382" t="str">
        <f>"063870010508"</f>
        <v>063870010508</v>
      </c>
    </row>
    <row r="9383" spans="1:9" x14ac:dyDescent="0.25">
      <c r="A9383" t="s">
        <v>8168</v>
      </c>
      <c r="B9383" t="s">
        <v>13</v>
      </c>
      <c r="C9383">
        <v>17.600000000000001</v>
      </c>
      <c r="D9383">
        <v>18</v>
      </c>
      <c r="E9383" t="s">
        <v>17</v>
      </c>
      <c r="F9383">
        <v>29.77</v>
      </c>
      <c r="G9383">
        <v>28.22</v>
      </c>
      <c r="H9383" t="s">
        <v>17</v>
      </c>
      <c r="I9383" t="str">
        <f>"062865004454"</f>
        <v>062865004454</v>
      </c>
    </row>
    <row r="9384" spans="1:9" x14ac:dyDescent="0.25">
      <c r="A9384" t="s">
        <v>8168</v>
      </c>
      <c r="B9384" t="s">
        <v>13</v>
      </c>
      <c r="C9384">
        <v>31.5</v>
      </c>
      <c r="D9384">
        <v>36</v>
      </c>
      <c r="E9384" t="s">
        <v>17</v>
      </c>
      <c r="F9384">
        <v>21.52</v>
      </c>
      <c r="G9384">
        <v>19.579999999999998</v>
      </c>
      <c r="H9384" t="s">
        <v>17</v>
      </c>
      <c r="I9384" t="str">
        <f>"063531006009"</f>
        <v>063531006009</v>
      </c>
    </row>
    <row r="9385" spans="1:9" x14ac:dyDescent="0.25">
      <c r="A9385" t="s">
        <v>8168</v>
      </c>
      <c r="B9385" t="s">
        <v>13</v>
      </c>
      <c r="C9385">
        <v>27</v>
      </c>
      <c r="D9385">
        <v>29.02</v>
      </c>
      <c r="E9385" t="s">
        <v>17</v>
      </c>
      <c r="F9385">
        <v>21.41</v>
      </c>
      <c r="G9385">
        <v>19.329999999999998</v>
      </c>
      <c r="H9385" t="s">
        <v>17</v>
      </c>
      <c r="I9385" t="str">
        <f>"063213004974"</f>
        <v>063213004974</v>
      </c>
    </row>
    <row r="9386" spans="1:9" x14ac:dyDescent="0.25">
      <c r="A9386" t="s">
        <v>8168</v>
      </c>
      <c r="B9386" t="s">
        <v>13</v>
      </c>
      <c r="C9386">
        <v>17.5</v>
      </c>
      <c r="D9386">
        <v>20.83</v>
      </c>
      <c r="E9386" t="s">
        <v>17</v>
      </c>
      <c r="F9386">
        <v>23.6</v>
      </c>
      <c r="G9386">
        <v>20.399999999999999</v>
      </c>
      <c r="H9386" t="s">
        <v>17</v>
      </c>
      <c r="I9386" t="str">
        <f>"063801001375"</f>
        <v>063801001375</v>
      </c>
    </row>
    <row r="9387" spans="1:9" x14ac:dyDescent="0.25">
      <c r="A9387" t="s">
        <v>8169</v>
      </c>
      <c r="B9387" t="s">
        <v>13</v>
      </c>
      <c r="C9387">
        <v>3.6</v>
      </c>
      <c r="D9387">
        <v>3.1</v>
      </c>
      <c r="E9387" t="s">
        <v>17</v>
      </c>
      <c r="F9387">
        <v>41.11</v>
      </c>
      <c r="G9387">
        <v>43.55</v>
      </c>
      <c r="H9387" t="s">
        <v>17</v>
      </c>
      <c r="I9387" t="str">
        <f>"063525010074"</f>
        <v>063525010074</v>
      </c>
    </row>
    <row r="9388" spans="1:9" x14ac:dyDescent="0.25">
      <c r="A9388" t="s">
        <v>8170</v>
      </c>
      <c r="B9388" t="s">
        <v>13</v>
      </c>
      <c r="C9388">
        <v>31.51</v>
      </c>
      <c r="D9388">
        <v>35.51</v>
      </c>
      <c r="E9388" t="s">
        <v>17</v>
      </c>
      <c r="F9388">
        <v>15.58</v>
      </c>
      <c r="G9388">
        <v>15.32</v>
      </c>
      <c r="H9388" t="s">
        <v>17</v>
      </c>
      <c r="I9388" t="str">
        <f>"063432005558"</f>
        <v>063432005558</v>
      </c>
    </row>
    <row r="9389" spans="1:9" x14ac:dyDescent="0.25">
      <c r="A9389" t="s">
        <v>8171</v>
      </c>
      <c r="B9389" t="s">
        <v>13</v>
      </c>
      <c r="C9389">
        <v>9.3800000000000008</v>
      </c>
      <c r="D9389">
        <v>9.3800000000000008</v>
      </c>
      <c r="E9389" t="s">
        <v>17</v>
      </c>
      <c r="F9389">
        <v>24.31</v>
      </c>
      <c r="G9389">
        <v>23.45</v>
      </c>
      <c r="H9389" t="s">
        <v>17</v>
      </c>
      <c r="I9389" t="str">
        <f>"063870006509"</f>
        <v>063870006509</v>
      </c>
    </row>
    <row r="9390" spans="1:9" x14ac:dyDescent="0.25">
      <c r="A9390" t="s">
        <v>8172</v>
      </c>
      <c r="B9390" t="s">
        <v>13</v>
      </c>
      <c r="C9390">
        <v>3.5</v>
      </c>
      <c r="D9390" t="s">
        <v>14</v>
      </c>
      <c r="E9390" t="s">
        <v>14</v>
      </c>
      <c r="F9390">
        <v>23.43</v>
      </c>
      <c r="G9390" t="s">
        <v>14</v>
      </c>
      <c r="H9390" t="s">
        <v>14</v>
      </c>
      <c r="I9390" t="str">
        <f>"063417013181"</f>
        <v>063417013181</v>
      </c>
    </row>
    <row r="9391" spans="1:9" x14ac:dyDescent="0.25">
      <c r="A9391" t="s">
        <v>8173</v>
      </c>
      <c r="B9391" t="s">
        <v>13</v>
      </c>
      <c r="C9391">
        <v>62.89</v>
      </c>
      <c r="D9391">
        <v>65.040000000000006</v>
      </c>
      <c r="E9391" t="s">
        <v>17</v>
      </c>
      <c r="F9391">
        <v>14.93</v>
      </c>
      <c r="G9391">
        <v>14.76</v>
      </c>
      <c r="H9391" t="s">
        <v>17</v>
      </c>
      <c r="I9391" t="str">
        <f>"063873006511"</f>
        <v>063873006511</v>
      </c>
    </row>
    <row r="9392" spans="1:9" x14ac:dyDescent="0.25">
      <c r="A9392" t="s">
        <v>8174</v>
      </c>
      <c r="B9392" t="s">
        <v>13</v>
      </c>
      <c r="C9392">
        <v>12</v>
      </c>
      <c r="D9392">
        <v>14.2</v>
      </c>
      <c r="E9392" t="s">
        <v>17</v>
      </c>
      <c r="F9392">
        <v>26.25</v>
      </c>
      <c r="G9392">
        <v>22.32</v>
      </c>
      <c r="H9392" t="s">
        <v>17</v>
      </c>
      <c r="I9392" t="str">
        <f>"063384005285"</f>
        <v>063384005285</v>
      </c>
    </row>
    <row r="9393" spans="1:9" x14ac:dyDescent="0.25">
      <c r="A9393" t="s">
        <v>8175</v>
      </c>
      <c r="B9393" t="s">
        <v>13</v>
      </c>
      <c r="C9393">
        <v>14.5</v>
      </c>
      <c r="D9393">
        <v>9.5</v>
      </c>
      <c r="E9393" t="s">
        <v>17</v>
      </c>
      <c r="F9393">
        <v>22.76</v>
      </c>
      <c r="G9393">
        <v>26.84</v>
      </c>
      <c r="H9393" t="s">
        <v>17</v>
      </c>
      <c r="I9393" t="str">
        <f>"063877006519"</f>
        <v>063877006519</v>
      </c>
    </row>
    <row r="9394" spans="1:9" x14ac:dyDescent="0.25">
      <c r="A9394" t="s">
        <v>8176</v>
      </c>
      <c r="B9394" t="s">
        <v>13</v>
      </c>
      <c r="C9394">
        <v>32.630000000000003</v>
      </c>
      <c r="D9394">
        <v>36.33</v>
      </c>
      <c r="E9394" t="s">
        <v>17</v>
      </c>
      <c r="F9394">
        <v>18.510000000000002</v>
      </c>
      <c r="G9394">
        <v>17.399999999999999</v>
      </c>
      <c r="H9394" t="s">
        <v>17</v>
      </c>
      <c r="I9394" t="str">
        <f>"063877006520"</f>
        <v>063877006520</v>
      </c>
    </row>
    <row r="9395" spans="1:9" x14ac:dyDescent="0.25">
      <c r="A9395" t="s">
        <v>8177</v>
      </c>
      <c r="B9395" t="s">
        <v>13</v>
      </c>
      <c r="C9395">
        <v>23.06</v>
      </c>
      <c r="D9395">
        <v>23.81</v>
      </c>
      <c r="E9395" t="s">
        <v>17</v>
      </c>
      <c r="F9395">
        <v>18.82</v>
      </c>
      <c r="G9395">
        <v>19.239999999999998</v>
      </c>
      <c r="H9395" t="s">
        <v>17</v>
      </c>
      <c r="I9395" t="str">
        <f>"062064002483"</f>
        <v>062064002483</v>
      </c>
    </row>
    <row r="9396" spans="1:9" x14ac:dyDescent="0.25">
      <c r="A9396" t="s">
        <v>8178</v>
      </c>
      <c r="B9396" t="s">
        <v>13</v>
      </c>
      <c r="C9396">
        <v>62.5</v>
      </c>
      <c r="D9396">
        <v>59.7</v>
      </c>
      <c r="E9396" t="s">
        <v>17</v>
      </c>
      <c r="F9396">
        <v>25.42</v>
      </c>
      <c r="G9396">
        <v>25.96</v>
      </c>
      <c r="H9396" t="s">
        <v>17</v>
      </c>
      <c r="I9396" t="str">
        <f>"061692012024"</f>
        <v>061692012024</v>
      </c>
    </row>
    <row r="9397" spans="1:9" x14ac:dyDescent="0.25">
      <c r="A9397" t="s">
        <v>8179</v>
      </c>
      <c r="B9397" t="s">
        <v>13</v>
      </c>
      <c r="C9397">
        <v>27</v>
      </c>
      <c r="D9397">
        <v>22</v>
      </c>
      <c r="E9397" t="s">
        <v>17</v>
      </c>
      <c r="F9397">
        <v>24.67</v>
      </c>
      <c r="G9397">
        <v>24.32</v>
      </c>
      <c r="H9397" t="s">
        <v>17</v>
      </c>
      <c r="I9397" t="str">
        <f>"061422001634"</f>
        <v>061422001634</v>
      </c>
    </row>
    <row r="9398" spans="1:9" x14ac:dyDescent="0.25">
      <c r="A9398" t="s">
        <v>8180</v>
      </c>
      <c r="B9398" t="s">
        <v>13</v>
      </c>
      <c r="C9398" t="s">
        <v>17</v>
      </c>
      <c r="D9398" t="s">
        <v>17</v>
      </c>
      <c r="E9398" t="s">
        <v>17</v>
      </c>
      <c r="F9398" t="s">
        <v>17</v>
      </c>
      <c r="G9398" t="s">
        <v>17</v>
      </c>
      <c r="H9398" t="s">
        <v>17</v>
      </c>
      <c r="I9398" t="str">
        <f>"069101910956"</f>
        <v>069101910956</v>
      </c>
    </row>
    <row r="9399" spans="1:9" x14ac:dyDescent="0.25">
      <c r="A9399" t="s">
        <v>8181</v>
      </c>
      <c r="B9399" t="s">
        <v>13</v>
      </c>
      <c r="C9399" t="s">
        <v>14</v>
      </c>
      <c r="D9399" t="s">
        <v>17</v>
      </c>
      <c r="E9399" t="s">
        <v>17</v>
      </c>
      <c r="F9399" t="s">
        <v>17</v>
      </c>
      <c r="G9399" t="s">
        <v>17</v>
      </c>
      <c r="H9399" t="s">
        <v>17</v>
      </c>
      <c r="I9399" t="str">
        <f>"063879012604"</f>
        <v>063879012604</v>
      </c>
    </row>
    <row r="9400" spans="1:9" x14ac:dyDescent="0.25">
      <c r="A9400" t="s">
        <v>8182</v>
      </c>
      <c r="B9400" t="s">
        <v>13</v>
      </c>
      <c r="C9400">
        <v>69.91</v>
      </c>
      <c r="D9400">
        <v>69.3</v>
      </c>
      <c r="E9400" t="s">
        <v>17</v>
      </c>
      <c r="F9400">
        <v>17.579999999999998</v>
      </c>
      <c r="G9400">
        <v>17.760000000000002</v>
      </c>
      <c r="H9400" t="s">
        <v>17</v>
      </c>
      <c r="I9400" t="str">
        <f>"063879006526"</f>
        <v>063879006526</v>
      </c>
    </row>
    <row r="9401" spans="1:9" x14ac:dyDescent="0.25">
      <c r="A9401" t="s">
        <v>8183</v>
      </c>
      <c r="B9401" t="s">
        <v>13</v>
      </c>
      <c r="C9401">
        <v>25.55</v>
      </c>
      <c r="D9401">
        <v>26.55</v>
      </c>
      <c r="E9401" t="s">
        <v>17</v>
      </c>
      <c r="F9401">
        <v>20.16</v>
      </c>
      <c r="G9401">
        <v>19.36</v>
      </c>
      <c r="H9401" t="s">
        <v>17</v>
      </c>
      <c r="I9401" t="str">
        <f>"062487003716"</f>
        <v>062487003716</v>
      </c>
    </row>
    <row r="9402" spans="1:9" x14ac:dyDescent="0.25">
      <c r="A9402" t="s">
        <v>8184</v>
      </c>
      <c r="B9402" t="s">
        <v>13</v>
      </c>
      <c r="C9402">
        <v>18</v>
      </c>
      <c r="D9402">
        <v>19</v>
      </c>
      <c r="E9402" t="s">
        <v>17</v>
      </c>
      <c r="F9402">
        <v>28.78</v>
      </c>
      <c r="G9402">
        <v>27</v>
      </c>
      <c r="H9402" t="s">
        <v>17</v>
      </c>
      <c r="I9402" t="str">
        <f>"063227008710"</f>
        <v>063227008710</v>
      </c>
    </row>
    <row r="9403" spans="1:9" x14ac:dyDescent="0.25">
      <c r="A9403" t="s">
        <v>8185</v>
      </c>
      <c r="B9403" t="s">
        <v>13</v>
      </c>
      <c r="C9403">
        <v>9</v>
      </c>
      <c r="D9403">
        <v>9</v>
      </c>
      <c r="E9403" t="s">
        <v>17</v>
      </c>
      <c r="F9403">
        <v>9.44</v>
      </c>
      <c r="G9403">
        <v>9.67</v>
      </c>
      <c r="H9403" t="s">
        <v>17</v>
      </c>
      <c r="I9403" t="str">
        <f>"063879010109"</f>
        <v>063879010109</v>
      </c>
    </row>
    <row r="9404" spans="1:9" x14ac:dyDescent="0.25">
      <c r="A9404" t="s">
        <v>8186</v>
      </c>
      <c r="B9404" t="s">
        <v>13</v>
      </c>
      <c r="C9404">
        <v>22</v>
      </c>
      <c r="D9404">
        <v>19</v>
      </c>
      <c r="E9404" t="s">
        <v>17</v>
      </c>
      <c r="F9404">
        <v>28.27</v>
      </c>
      <c r="G9404">
        <v>28.26</v>
      </c>
      <c r="H9404" t="s">
        <v>17</v>
      </c>
      <c r="I9404" t="str">
        <f>"061422001635"</f>
        <v>061422001635</v>
      </c>
    </row>
    <row r="9405" spans="1:9" x14ac:dyDescent="0.25">
      <c r="A9405" t="s">
        <v>8187</v>
      </c>
      <c r="B9405" t="s">
        <v>13</v>
      </c>
      <c r="C9405">
        <v>26</v>
      </c>
      <c r="D9405">
        <v>27</v>
      </c>
      <c r="E9405" t="s">
        <v>17</v>
      </c>
      <c r="F9405">
        <v>24.23</v>
      </c>
      <c r="G9405">
        <v>23.15</v>
      </c>
      <c r="H9405" t="s">
        <v>17</v>
      </c>
      <c r="I9405" t="str">
        <f>"062271003388"</f>
        <v>062271003388</v>
      </c>
    </row>
    <row r="9406" spans="1:9" x14ac:dyDescent="0.25">
      <c r="A9406" t="s">
        <v>8188</v>
      </c>
      <c r="B9406" t="s">
        <v>13</v>
      </c>
      <c r="C9406">
        <v>21</v>
      </c>
      <c r="D9406">
        <v>24</v>
      </c>
      <c r="E9406" t="s">
        <v>17</v>
      </c>
      <c r="F9406">
        <v>26.95</v>
      </c>
      <c r="G9406">
        <v>22.88</v>
      </c>
      <c r="H9406" t="s">
        <v>17</v>
      </c>
      <c r="I9406" t="str">
        <f>"063255005063"</f>
        <v>063255005063</v>
      </c>
    </row>
    <row r="9407" spans="1:9" x14ac:dyDescent="0.25">
      <c r="A9407" t="s">
        <v>8189</v>
      </c>
      <c r="B9407" t="s">
        <v>13</v>
      </c>
      <c r="C9407">
        <v>24</v>
      </c>
      <c r="D9407">
        <v>25</v>
      </c>
      <c r="E9407" t="s">
        <v>17</v>
      </c>
      <c r="F9407">
        <v>28.79</v>
      </c>
      <c r="G9407">
        <v>27.04</v>
      </c>
      <c r="H9407" t="s">
        <v>17</v>
      </c>
      <c r="I9407" t="str">
        <f>"060903000917"</f>
        <v>060903000917</v>
      </c>
    </row>
    <row r="9408" spans="1:9" x14ac:dyDescent="0.25">
      <c r="A9408" t="s">
        <v>8190</v>
      </c>
      <c r="B9408" t="s">
        <v>13</v>
      </c>
      <c r="C9408">
        <v>19</v>
      </c>
      <c r="D9408">
        <v>20</v>
      </c>
      <c r="E9408" t="s">
        <v>17</v>
      </c>
      <c r="F9408">
        <v>24.53</v>
      </c>
      <c r="G9408">
        <v>24.65</v>
      </c>
      <c r="H9408" t="s">
        <v>17</v>
      </c>
      <c r="I9408" t="str">
        <f>"062271003390"</f>
        <v>062271003390</v>
      </c>
    </row>
    <row r="9409" spans="1:9" x14ac:dyDescent="0.25">
      <c r="A9409" t="s">
        <v>8191</v>
      </c>
      <c r="B9409" t="s">
        <v>13</v>
      </c>
      <c r="C9409">
        <v>25.2</v>
      </c>
      <c r="D9409">
        <v>27.8</v>
      </c>
      <c r="E9409" t="s">
        <v>17</v>
      </c>
      <c r="F9409">
        <v>22.62</v>
      </c>
      <c r="G9409">
        <v>22.59</v>
      </c>
      <c r="H9409" t="s">
        <v>17</v>
      </c>
      <c r="I9409" t="str">
        <f>"063513007082"</f>
        <v>063513007082</v>
      </c>
    </row>
    <row r="9410" spans="1:9" x14ac:dyDescent="0.25">
      <c r="A9410" t="s">
        <v>8192</v>
      </c>
      <c r="B9410" t="s">
        <v>13</v>
      </c>
      <c r="C9410">
        <v>22</v>
      </c>
      <c r="D9410">
        <v>24</v>
      </c>
      <c r="E9410" t="s">
        <v>17</v>
      </c>
      <c r="F9410">
        <v>30.68</v>
      </c>
      <c r="G9410">
        <v>27.29</v>
      </c>
      <c r="H9410" t="s">
        <v>17</v>
      </c>
      <c r="I9410" t="str">
        <f>"062781004224"</f>
        <v>062781004224</v>
      </c>
    </row>
    <row r="9411" spans="1:9" x14ac:dyDescent="0.25">
      <c r="A9411" t="s">
        <v>8193</v>
      </c>
      <c r="B9411" t="s">
        <v>13</v>
      </c>
      <c r="C9411">
        <v>31</v>
      </c>
      <c r="D9411">
        <v>34.6</v>
      </c>
      <c r="E9411" t="s">
        <v>17</v>
      </c>
      <c r="F9411">
        <v>21.32</v>
      </c>
      <c r="G9411">
        <v>19.22</v>
      </c>
      <c r="H9411" t="s">
        <v>17</v>
      </c>
      <c r="I9411" t="str">
        <f>"063441005604"</f>
        <v>063441005604</v>
      </c>
    </row>
    <row r="9412" spans="1:9" x14ac:dyDescent="0.25">
      <c r="A9412" t="s">
        <v>8194</v>
      </c>
      <c r="B9412" t="s">
        <v>13</v>
      </c>
      <c r="C9412">
        <v>35</v>
      </c>
      <c r="D9412">
        <v>34</v>
      </c>
      <c r="E9412" t="s">
        <v>17</v>
      </c>
      <c r="F9412">
        <v>26.6</v>
      </c>
      <c r="G9412">
        <v>28.32</v>
      </c>
      <c r="H9412" t="s">
        <v>17</v>
      </c>
      <c r="I9412" t="str">
        <f>"060558010659"</f>
        <v>060558010659</v>
      </c>
    </row>
    <row r="9413" spans="1:9" x14ac:dyDescent="0.25">
      <c r="A9413" t="s">
        <v>8195</v>
      </c>
      <c r="B9413" t="s">
        <v>13</v>
      </c>
      <c r="C9413">
        <v>15.7</v>
      </c>
      <c r="D9413">
        <v>19.62</v>
      </c>
      <c r="E9413" t="s">
        <v>17</v>
      </c>
      <c r="F9413">
        <v>34.200000000000003</v>
      </c>
      <c r="G9413">
        <v>28.59</v>
      </c>
      <c r="H9413" t="s">
        <v>17</v>
      </c>
      <c r="I9413" t="str">
        <f>"063801006434"</f>
        <v>063801006434</v>
      </c>
    </row>
    <row r="9414" spans="1:9" x14ac:dyDescent="0.25">
      <c r="A9414" t="s">
        <v>8196</v>
      </c>
      <c r="B9414" t="s">
        <v>13</v>
      </c>
      <c r="C9414">
        <v>40.299999999999997</v>
      </c>
      <c r="D9414">
        <v>39.200000000000003</v>
      </c>
      <c r="E9414" t="s">
        <v>17</v>
      </c>
      <c r="F9414">
        <v>22.01</v>
      </c>
      <c r="G9414">
        <v>22.09</v>
      </c>
      <c r="H9414" t="s">
        <v>17</v>
      </c>
      <c r="I9414" t="str">
        <f>"062490003722"</f>
        <v>062490003722</v>
      </c>
    </row>
    <row r="9415" spans="1:9" x14ac:dyDescent="0.25">
      <c r="A9415" t="s">
        <v>8197</v>
      </c>
      <c r="B9415" t="s">
        <v>13</v>
      </c>
      <c r="C9415">
        <v>21.65</v>
      </c>
      <c r="D9415">
        <v>23.2</v>
      </c>
      <c r="E9415" t="s">
        <v>17</v>
      </c>
      <c r="F9415">
        <v>22.4</v>
      </c>
      <c r="G9415">
        <v>21.12</v>
      </c>
      <c r="H9415" t="s">
        <v>17</v>
      </c>
      <c r="I9415" t="str">
        <f>"060438011843"</f>
        <v>060438011843</v>
      </c>
    </row>
    <row r="9416" spans="1:9" x14ac:dyDescent="0.25">
      <c r="A9416" t="s">
        <v>8198</v>
      </c>
      <c r="B9416" t="s">
        <v>13</v>
      </c>
      <c r="C9416">
        <v>17</v>
      </c>
      <c r="D9416">
        <v>18</v>
      </c>
      <c r="E9416" t="s">
        <v>17</v>
      </c>
      <c r="F9416">
        <v>26.65</v>
      </c>
      <c r="G9416">
        <v>24.61</v>
      </c>
      <c r="H9416" t="s">
        <v>17</v>
      </c>
      <c r="I9416" t="str">
        <f>"063324008954"</f>
        <v>063324008954</v>
      </c>
    </row>
    <row r="9417" spans="1:9" x14ac:dyDescent="0.25">
      <c r="A9417" t="s">
        <v>8199</v>
      </c>
      <c r="B9417" t="s">
        <v>13</v>
      </c>
      <c r="C9417" t="s">
        <v>14</v>
      </c>
      <c r="D9417" t="s">
        <v>17</v>
      </c>
      <c r="E9417" t="s">
        <v>17</v>
      </c>
      <c r="F9417" t="s">
        <v>17</v>
      </c>
      <c r="G9417" t="s">
        <v>17</v>
      </c>
      <c r="H9417" t="s">
        <v>17</v>
      </c>
      <c r="I9417" t="str">
        <f>"063117004829"</f>
        <v>063117004829</v>
      </c>
    </row>
    <row r="9418" spans="1:9" x14ac:dyDescent="0.25">
      <c r="A9418" t="s">
        <v>8200</v>
      </c>
      <c r="B9418" t="s">
        <v>13</v>
      </c>
      <c r="C9418">
        <v>11.2</v>
      </c>
      <c r="D9418">
        <v>7</v>
      </c>
      <c r="E9418" t="s">
        <v>17</v>
      </c>
      <c r="F9418">
        <v>24.46</v>
      </c>
      <c r="G9418">
        <v>20.29</v>
      </c>
      <c r="H9418" t="s">
        <v>17</v>
      </c>
      <c r="I9418" t="str">
        <f>"062271012622"</f>
        <v>062271012622</v>
      </c>
    </row>
    <row r="9419" spans="1:9" x14ac:dyDescent="0.25">
      <c r="A9419" t="s">
        <v>8201</v>
      </c>
      <c r="B9419" t="s">
        <v>13</v>
      </c>
      <c r="C9419">
        <v>5.4</v>
      </c>
      <c r="D9419">
        <v>5.68</v>
      </c>
      <c r="E9419" t="s">
        <v>17</v>
      </c>
      <c r="F9419">
        <v>28.89</v>
      </c>
      <c r="G9419">
        <v>26.58</v>
      </c>
      <c r="H9419" t="s">
        <v>17</v>
      </c>
      <c r="I9419" t="str">
        <f>"063480009192"</f>
        <v>063480009192</v>
      </c>
    </row>
    <row r="9420" spans="1:9" x14ac:dyDescent="0.25">
      <c r="A9420" t="s">
        <v>8202</v>
      </c>
      <c r="B9420" t="s">
        <v>13</v>
      </c>
      <c r="C9420">
        <v>26.33</v>
      </c>
      <c r="D9420">
        <v>26.83</v>
      </c>
      <c r="E9420" t="s">
        <v>17</v>
      </c>
      <c r="F9420">
        <v>26.43</v>
      </c>
      <c r="G9420">
        <v>25.27</v>
      </c>
      <c r="H9420" t="s">
        <v>17</v>
      </c>
      <c r="I9420" t="str">
        <f>"060797007674"</f>
        <v>060797007674</v>
      </c>
    </row>
    <row r="9421" spans="1:9" x14ac:dyDescent="0.25">
      <c r="A9421" t="s">
        <v>8203</v>
      </c>
      <c r="B9421" t="s">
        <v>13</v>
      </c>
      <c r="C9421">
        <v>15</v>
      </c>
      <c r="D9421">
        <v>8.48</v>
      </c>
      <c r="E9421" t="s">
        <v>14</v>
      </c>
      <c r="F9421">
        <v>17.399999999999999</v>
      </c>
      <c r="G9421">
        <v>13.92</v>
      </c>
      <c r="H9421" t="s">
        <v>14</v>
      </c>
      <c r="I9421" t="str">
        <f>"063801012900"</f>
        <v>063801012900</v>
      </c>
    </row>
    <row r="9422" spans="1:9" x14ac:dyDescent="0.25">
      <c r="A9422" t="s">
        <v>8204</v>
      </c>
      <c r="B9422" t="s">
        <v>13</v>
      </c>
      <c r="C9422">
        <v>10.8</v>
      </c>
      <c r="D9422">
        <v>10.17</v>
      </c>
      <c r="E9422" t="s">
        <v>17</v>
      </c>
      <c r="F9422">
        <v>22.69</v>
      </c>
      <c r="G9422">
        <v>21.14</v>
      </c>
      <c r="H9422" t="s">
        <v>17</v>
      </c>
      <c r="I9422" t="str">
        <f>"060994010688"</f>
        <v>060994010688</v>
      </c>
    </row>
    <row r="9423" spans="1:9" x14ac:dyDescent="0.25">
      <c r="A9423" t="s">
        <v>8205</v>
      </c>
      <c r="B9423" t="s">
        <v>13</v>
      </c>
      <c r="C9423" t="str">
        <f>"0.70"</f>
        <v>0.70</v>
      </c>
      <c r="D9423">
        <v>1</v>
      </c>
      <c r="E9423" t="s">
        <v>17</v>
      </c>
      <c r="F9423">
        <v>7.14</v>
      </c>
      <c r="G9423">
        <v>13</v>
      </c>
      <c r="H9423" t="s">
        <v>17</v>
      </c>
      <c r="I9423" t="str">
        <f>"061068001187"</f>
        <v>061068001187</v>
      </c>
    </row>
    <row r="9424" spans="1:9" x14ac:dyDescent="0.25">
      <c r="A9424" t="s">
        <v>8206</v>
      </c>
      <c r="B9424" t="s">
        <v>13</v>
      </c>
      <c r="C9424">
        <v>27.68</v>
      </c>
      <c r="D9424">
        <v>26.5</v>
      </c>
      <c r="E9424" t="s">
        <v>17</v>
      </c>
      <c r="F9424">
        <v>29.08</v>
      </c>
      <c r="G9424">
        <v>28.6</v>
      </c>
      <c r="H9424" t="s">
        <v>17</v>
      </c>
      <c r="I9424" t="str">
        <f>"061392010612"</f>
        <v>061392010612</v>
      </c>
    </row>
    <row r="9425" spans="1:9" x14ac:dyDescent="0.25">
      <c r="A9425" t="s">
        <v>8207</v>
      </c>
      <c r="B9425" t="s">
        <v>13</v>
      </c>
      <c r="C9425" t="s">
        <v>14</v>
      </c>
      <c r="D9425" t="str">
        <f>"0.70"</f>
        <v>0.70</v>
      </c>
      <c r="E9425" t="s">
        <v>17</v>
      </c>
      <c r="F9425" t="s">
        <v>17</v>
      </c>
      <c r="G9425" t="s">
        <v>17</v>
      </c>
      <c r="H9425" t="s">
        <v>17</v>
      </c>
      <c r="I9425" t="str">
        <f>"063888012582"</f>
        <v>063888012582</v>
      </c>
    </row>
    <row r="9426" spans="1:9" x14ac:dyDescent="0.25">
      <c r="A9426" t="s">
        <v>8208</v>
      </c>
      <c r="B9426" t="s">
        <v>13</v>
      </c>
      <c r="C9426">
        <v>53.72</v>
      </c>
      <c r="D9426">
        <v>58.88</v>
      </c>
      <c r="E9426" t="s">
        <v>17</v>
      </c>
      <c r="F9426">
        <v>24.26</v>
      </c>
      <c r="G9426">
        <v>22.44</v>
      </c>
      <c r="H9426" t="s">
        <v>17</v>
      </c>
      <c r="I9426" t="str">
        <f>"063888006529"</f>
        <v>063888006529</v>
      </c>
    </row>
    <row r="9427" spans="1:9" x14ac:dyDescent="0.25">
      <c r="A9427" t="s">
        <v>8209</v>
      </c>
      <c r="B9427" t="s">
        <v>13</v>
      </c>
      <c r="C9427" t="s">
        <v>17</v>
      </c>
      <c r="D9427" t="s">
        <v>17</v>
      </c>
      <c r="E9427" t="s">
        <v>14</v>
      </c>
      <c r="F9427" t="s">
        <v>17</v>
      </c>
      <c r="G9427" t="s">
        <v>17</v>
      </c>
      <c r="H9427" t="s">
        <v>14</v>
      </c>
      <c r="I9427" t="str">
        <f>"069104312996"</f>
        <v>069104312996</v>
      </c>
    </row>
    <row r="9428" spans="1:9" x14ac:dyDescent="0.25">
      <c r="A9428" t="s">
        <v>8210</v>
      </c>
      <c r="B9428" t="s">
        <v>13</v>
      </c>
      <c r="C9428" t="s">
        <v>17</v>
      </c>
      <c r="D9428" t="s">
        <v>17</v>
      </c>
      <c r="E9428" t="s">
        <v>17</v>
      </c>
      <c r="F9428" t="s">
        <v>17</v>
      </c>
      <c r="G9428" t="s">
        <v>17</v>
      </c>
      <c r="H9428" t="s">
        <v>17</v>
      </c>
      <c r="I9428" t="str">
        <f>"069104312126"</f>
        <v>069104312126</v>
      </c>
    </row>
    <row r="9429" spans="1:9" x14ac:dyDescent="0.25">
      <c r="A9429" t="s">
        <v>8211</v>
      </c>
      <c r="B9429" t="s">
        <v>13</v>
      </c>
      <c r="C9429">
        <v>1</v>
      </c>
      <c r="D9429">
        <v>1</v>
      </c>
      <c r="E9429" t="s">
        <v>17</v>
      </c>
      <c r="F9429">
        <v>12</v>
      </c>
      <c r="G9429">
        <v>18</v>
      </c>
      <c r="H9429" t="s">
        <v>17</v>
      </c>
      <c r="I9429" t="str">
        <f>"069104309256"</f>
        <v>069104309256</v>
      </c>
    </row>
    <row r="9430" spans="1:9" x14ac:dyDescent="0.25">
      <c r="A9430" t="s">
        <v>8212</v>
      </c>
      <c r="B9430" t="s">
        <v>13</v>
      </c>
      <c r="C9430" t="s">
        <v>17</v>
      </c>
      <c r="D9430" t="s">
        <v>17</v>
      </c>
      <c r="E9430" t="s">
        <v>17</v>
      </c>
      <c r="F9430" t="s">
        <v>17</v>
      </c>
      <c r="G9430" t="s">
        <v>17</v>
      </c>
      <c r="H9430" t="s">
        <v>17</v>
      </c>
      <c r="I9430" t="str">
        <f>"060014611524"</f>
        <v>060014611524</v>
      </c>
    </row>
    <row r="9431" spans="1:9" x14ac:dyDescent="0.25">
      <c r="A9431" t="s">
        <v>8213</v>
      </c>
      <c r="B9431" t="s">
        <v>13</v>
      </c>
      <c r="C9431">
        <v>9</v>
      </c>
      <c r="D9431">
        <v>6</v>
      </c>
      <c r="E9431" t="s">
        <v>17</v>
      </c>
      <c r="F9431">
        <v>4</v>
      </c>
      <c r="G9431">
        <v>5.67</v>
      </c>
      <c r="H9431" t="s">
        <v>17</v>
      </c>
      <c r="I9431" t="str">
        <f>"069104307232"</f>
        <v>069104307232</v>
      </c>
    </row>
    <row r="9432" spans="1:9" x14ac:dyDescent="0.25">
      <c r="A9432" t="s">
        <v>8214</v>
      </c>
      <c r="B9432" t="s">
        <v>13</v>
      </c>
      <c r="C9432">
        <v>23.51</v>
      </c>
      <c r="D9432">
        <v>26</v>
      </c>
      <c r="E9432" t="s">
        <v>17</v>
      </c>
      <c r="F9432">
        <v>18.72</v>
      </c>
      <c r="G9432">
        <v>18.88</v>
      </c>
      <c r="H9432" t="s">
        <v>17</v>
      </c>
      <c r="I9432" t="str">
        <f>"061455001770"</f>
        <v>061455001770</v>
      </c>
    </row>
    <row r="9433" spans="1:9" x14ac:dyDescent="0.25">
      <c r="A9433" t="s">
        <v>8215</v>
      </c>
      <c r="B9433" t="s">
        <v>13</v>
      </c>
      <c r="C9433">
        <v>29.11</v>
      </c>
      <c r="D9433">
        <v>21.92</v>
      </c>
      <c r="E9433" t="s">
        <v>14</v>
      </c>
      <c r="F9433">
        <v>25.63</v>
      </c>
      <c r="G9433">
        <v>26.51</v>
      </c>
      <c r="H9433" t="s">
        <v>14</v>
      </c>
      <c r="I9433" t="str">
        <f>"063375013012"</f>
        <v>063375013012</v>
      </c>
    </row>
    <row r="9434" spans="1:9" x14ac:dyDescent="0.25">
      <c r="A9434" t="s">
        <v>8216</v>
      </c>
      <c r="B9434" t="s">
        <v>13</v>
      </c>
      <c r="C9434">
        <v>38.5</v>
      </c>
      <c r="D9434">
        <v>40</v>
      </c>
      <c r="E9434" t="s">
        <v>17</v>
      </c>
      <c r="F9434">
        <v>24.36</v>
      </c>
      <c r="G9434">
        <v>24.65</v>
      </c>
      <c r="H9434" t="s">
        <v>17</v>
      </c>
      <c r="I9434" t="str">
        <f>"062271003391"</f>
        <v>062271003391</v>
      </c>
    </row>
    <row r="9435" spans="1:9" x14ac:dyDescent="0.25">
      <c r="A9435" t="s">
        <v>8217</v>
      </c>
      <c r="B9435" t="s">
        <v>13</v>
      </c>
      <c r="C9435">
        <v>25.5</v>
      </c>
      <c r="D9435">
        <v>28</v>
      </c>
      <c r="E9435" t="s">
        <v>17</v>
      </c>
      <c r="F9435">
        <v>27.22</v>
      </c>
      <c r="G9435">
        <v>22.89</v>
      </c>
      <c r="H9435" t="s">
        <v>17</v>
      </c>
      <c r="I9435" t="str">
        <f>"060002809506"</f>
        <v>060002809506</v>
      </c>
    </row>
    <row r="9436" spans="1:9" x14ac:dyDescent="0.25">
      <c r="A9436" t="s">
        <v>8218</v>
      </c>
      <c r="B9436" t="s">
        <v>13</v>
      </c>
      <c r="C9436">
        <v>37</v>
      </c>
      <c r="D9436">
        <v>42.3</v>
      </c>
      <c r="E9436" t="s">
        <v>17</v>
      </c>
      <c r="F9436">
        <v>26.92</v>
      </c>
      <c r="G9436">
        <v>23.31</v>
      </c>
      <c r="H9436" t="s">
        <v>17</v>
      </c>
      <c r="I9436" t="str">
        <f>"060002811838"</f>
        <v>060002811838</v>
      </c>
    </row>
    <row r="9437" spans="1:9" x14ac:dyDescent="0.25">
      <c r="A9437" t="s">
        <v>8219</v>
      </c>
      <c r="B9437" t="s">
        <v>13</v>
      </c>
      <c r="C9437">
        <v>41.21</v>
      </c>
      <c r="D9437">
        <v>45</v>
      </c>
      <c r="E9437" t="s">
        <v>17</v>
      </c>
      <c r="F9437">
        <v>25.45</v>
      </c>
      <c r="G9437">
        <v>25.84</v>
      </c>
      <c r="H9437" t="s">
        <v>17</v>
      </c>
      <c r="I9437" t="str">
        <f>"060002809501"</f>
        <v>060002809501</v>
      </c>
    </row>
    <row r="9438" spans="1:9" x14ac:dyDescent="0.25">
      <c r="A9438" t="s">
        <v>8220</v>
      </c>
      <c r="B9438" t="s">
        <v>13</v>
      </c>
      <c r="C9438">
        <v>45.25</v>
      </c>
      <c r="D9438">
        <v>44.75</v>
      </c>
      <c r="E9438" t="s">
        <v>17</v>
      </c>
      <c r="F9438">
        <v>22.41</v>
      </c>
      <c r="G9438">
        <v>21.52</v>
      </c>
      <c r="H9438" t="s">
        <v>17</v>
      </c>
      <c r="I9438" t="str">
        <f>"060002808564"</f>
        <v>060002808564</v>
      </c>
    </row>
    <row r="9439" spans="1:9" x14ac:dyDescent="0.25">
      <c r="A9439" t="s">
        <v>8221</v>
      </c>
      <c r="B9439" t="s">
        <v>13</v>
      </c>
      <c r="C9439" t="s">
        <v>14</v>
      </c>
      <c r="D9439">
        <v>2</v>
      </c>
      <c r="E9439" t="s">
        <v>17</v>
      </c>
      <c r="F9439" t="s">
        <v>17</v>
      </c>
      <c r="G9439" t="s">
        <v>17</v>
      </c>
      <c r="H9439" t="s">
        <v>17</v>
      </c>
      <c r="I9439" t="str">
        <f>"060002812584"</f>
        <v>060002812584</v>
      </c>
    </row>
    <row r="9440" spans="1:9" x14ac:dyDescent="0.25">
      <c r="A9440" t="s">
        <v>8222</v>
      </c>
      <c r="B9440" t="s">
        <v>13</v>
      </c>
      <c r="C9440">
        <v>19.5</v>
      </c>
      <c r="D9440">
        <v>18.399999999999999</v>
      </c>
      <c r="E9440" t="s">
        <v>17</v>
      </c>
      <c r="F9440">
        <v>26.1</v>
      </c>
      <c r="G9440">
        <v>24.78</v>
      </c>
      <c r="H9440" t="s">
        <v>17</v>
      </c>
      <c r="I9440" t="str">
        <f>"060002803648"</f>
        <v>060002803648</v>
      </c>
    </row>
    <row r="9441" spans="1:9" x14ac:dyDescent="0.25">
      <c r="A9441" t="s">
        <v>8223</v>
      </c>
      <c r="B9441" t="s">
        <v>13</v>
      </c>
      <c r="C9441">
        <v>105.93</v>
      </c>
      <c r="D9441">
        <v>101.07</v>
      </c>
      <c r="E9441" t="s">
        <v>17</v>
      </c>
      <c r="F9441">
        <v>26.59</v>
      </c>
      <c r="G9441">
        <v>27.04</v>
      </c>
      <c r="H9441" t="s">
        <v>17</v>
      </c>
      <c r="I9441" t="str">
        <f>"060002809499"</f>
        <v>060002809499</v>
      </c>
    </row>
    <row r="9442" spans="1:9" x14ac:dyDescent="0.25">
      <c r="A9442" t="s">
        <v>8224</v>
      </c>
      <c r="B9442" t="s">
        <v>13</v>
      </c>
      <c r="C9442">
        <v>84.93</v>
      </c>
      <c r="D9442">
        <v>82.93</v>
      </c>
      <c r="E9442" t="s">
        <v>17</v>
      </c>
      <c r="F9442">
        <v>24.69</v>
      </c>
      <c r="G9442">
        <v>24.62</v>
      </c>
      <c r="H9442" t="s">
        <v>17</v>
      </c>
      <c r="I9442" t="str">
        <f>"060002710280"</f>
        <v>060002710280</v>
      </c>
    </row>
    <row r="9443" spans="1:9" x14ac:dyDescent="0.25">
      <c r="A9443" t="s">
        <v>8225</v>
      </c>
      <c r="B9443" t="s">
        <v>13</v>
      </c>
      <c r="C9443">
        <v>33</v>
      </c>
      <c r="D9443">
        <v>33</v>
      </c>
      <c r="E9443" t="s">
        <v>17</v>
      </c>
      <c r="F9443">
        <v>26.58</v>
      </c>
      <c r="G9443">
        <v>25.58</v>
      </c>
      <c r="H9443" t="s">
        <v>17</v>
      </c>
      <c r="I9443" t="str">
        <f>"060985011245"</f>
        <v>060985011245</v>
      </c>
    </row>
    <row r="9444" spans="1:9" x14ac:dyDescent="0.25">
      <c r="A9444" t="s">
        <v>8226</v>
      </c>
      <c r="B9444" t="s">
        <v>13</v>
      </c>
      <c r="C9444">
        <v>23</v>
      </c>
      <c r="D9444">
        <v>24</v>
      </c>
      <c r="E9444" t="s">
        <v>17</v>
      </c>
      <c r="F9444">
        <v>29.17</v>
      </c>
      <c r="G9444">
        <v>25.63</v>
      </c>
      <c r="H9444" t="s">
        <v>17</v>
      </c>
      <c r="I9444" t="str">
        <f>"060903000918"</f>
        <v>060903000918</v>
      </c>
    </row>
    <row r="9445" spans="1:9" x14ac:dyDescent="0.25">
      <c r="A9445" t="s">
        <v>8227</v>
      </c>
      <c r="B9445" t="s">
        <v>13</v>
      </c>
      <c r="C9445">
        <v>17.600000000000001</v>
      </c>
      <c r="D9445">
        <v>18.86</v>
      </c>
      <c r="E9445" t="s">
        <v>17</v>
      </c>
      <c r="F9445">
        <v>26.82</v>
      </c>
      <c r="G9445">
        <v>24.39</v>
      </c>
      <c r="H9445" t="s">
        <v>17</v>
      </c>
      <c r="I9445" t="str">
        <f>"061494007288"</f>
        <v>061494007288</v>
      </c>
    </row>
    <row r="9446" spans="1:9" x14ac:dyDescent="0.25">
      <c r="A9446" t="s">
        <v>8228</v>
      </c>
      <c r="B9446" t="s">
        <v>13</v>
      </c>
      <c r="C9446">
        <v>14</v>
      </c>
      <c r="D9446">
        <v>14</v>
      </c>
      <c r="E9446" t="s">
        <v>17</v>
      </c>
      <c r="F9446">
        <v>22.57</v>
      </c>
      <c r="G9446">
        <v>22.79</v>
      </c>
      <c r="H9446" t="s">
        <v>17</v>
      </c>
      <c r="I9446" t="str">
        <f>"061632502067"</f>
        <v>061632502067</v>
      </c>
    </row>
    <row r="9447" spans="1:9" x14ac:dyDescent="0.25">
      <c r="A9447" t="s">
        <v>8229</v>
      </c>
      <c r="B9447" t="s">
        <v>13</v>
      </c>
      <c r="C9447">
        <v>1</v>
      </c>
      <c r="D9447">
        <v>1</v>
      </c>
      <c r="E9447" t="s">
        <v>17</v>
      </c>
      <c r="F9447">
        <v>12</v>
      </c>
      <c r="G9447">
        <v>15</v>
      </c>
      <c r="H9447" t="s">
        <v>17</v>
      </c>
      <c r="I9447" t="str">
        <f>"063898007145"</f>
        <v>063898007145</v>
      </c>
    </row>
    <row r="9448" spans="1:9" x14ac:dyDescent="0.25">
      <c r="A9448" t="s">
        <v>8230</v>
      </c>
      <c r="B9448" t="s">
        <v>13</v>
      </c>
      <c r="C9448">
        <v>81.260000000000005</v>
      </c>
      <c r="D9448">
        <v>81.260000000000005</v>
      </c>
      <c r="E9448" t="s">
        <v>17</v>
      </c>
      <c r="F9448">
        <v>25.09</v>
      </c>
      <c r="G9448">
        <v>24.91</v>
      </c>
      <c r="H9448" t="s">
        <v>17</v>
      </c>
      <c r="I9448" t="str">
        <f>"063898006540"</f>
        <v>063898006540</v>
      </c>
    </row>
    <row r="9449" spans="1:9" x14ac:dyDescent="0.25">
      <c r="A9449" t="s">
        <v>8231</v>
      </c>
      <c r="B9449" t="s">
        <v>13</v>
      </c>
      <c r="C9449">
        <v>26</v>
      </c>
      <c r="D9449">
        <v>25.53</v>
      </c>
      <c r="E9449" t="s">
        <v>17</v>
      </c>
      <c r="F9449">
        <v>25.85</v>
      </c>
      <c r="G9449">
        <v>25.66</v>
      </c>
      <c r="H9449" t="s">
        <v>17</v>
      </c>
      <c r="I9449" t="str">
        <f>"064119011270"</f>
        <v>064119011270</v>
      </c>
    </row>
    <row r="9450" spans="1:9" x14ac:dyDescent="0.25">
      <c r="A9450" t="s">
        <v>8232</v>
      </c>
      <c r="B9450" t="s">
        <v>13</v>
      </c>
      <c r="C9450" t="s">
        <v>14</v>
      </c>
      <c r="D9450" t="s">
        <v>17</v>
      </c>
      <c r="E9450" t="s">
        <v>14</v>
      </c>
      <c r="F9450" t="s">
        <v>17</v>
      </c>
      <c r="G9450" t="s">
        <v>17</v>
      </c>
      <c r="H9450" t="s">
        <v>14</v>
      </c>
      <c r="I9450" t="str">
        <f>"063900012548"</f>
        <v>063900012548</v>
      </c>
    </row>
    <row r="9451" spans="1:9" x14ac:dyDescent="0.25">
      <c r="A9451" t="s">
        <v>8233</v>
      </c>
      <c r="B9451" t="s">
        <v>13</v>
      </c>
      <c r="C9451" t="s">
        <v>17</v>
      </c>
      <c r="D9451" t="s">
        <v>14</v>
      </c>
      <c r="E9451" t="s">
        <v>14</v>
      </c>
      <c r="F9451" t="s">
        <v>17</v>
      </c>
      <c r="G9451" t="s">
        <v>14</v>
      </c>
      <c r="H9451" t="s">
        <v>14</v>
      </c>
      <c r="I9451" t="str">
        <f>"063900013178"</f>
        <v>063900013178</v>
      </c>
    </row>
    <row r="9452" spans="1:9" x14ac:dyDescent="0.25">
      <c r="A9452" t="s">
        <v>8234</v>
      </c>
      <c r="B9452" t="s">
        <v>13</v>
      </c>
      <c r="C9452">
        <v>20</v>
      </c>
      <c r="D9452">
        <v>19.75</v>
      </c>
      <c r="E9452" t="s">
        <v>17</v>
      </c>
      <c r="F9452">
        <v>24.9</v>
      </c>
      <c r="G9452">
        <v>22.68</v>
      </c>
      <c r="H9452" t="s">
        <v>17</v>
      </c>
      <c r="I9452" t="str">
        <f>"063900006541"</f>
        <v>063900006541</v>
      </c>
    </row>
    <row r="9453" spans="1:9" x14ac:dyDescent="0.25">
      <c r="A9453" t="s">
        <v>8235</v>
      </c>
      <c r="B9453" t="s">
        <v>13</v>
      </c>
      <c r="C9453">
        <v>33.68</v>
      </c>
      <c r="D9453">
        <v>33.72</v>
      </c>
      <c r="E9453" t="s">
        <v>17</v>
      </c>
      <c r="F9453">
        <v>21.73</v>
      </c>
      <c r="G9453">
        <v>22.18</v>
      </c>
      <c r="H9453" t="s">
        <v>17</v>
      </c>
      <c r="I9453" t="str">
        <f>"063900006542"</f>
        <v>063900006542</v>
      </c>
    </row>
    <row r="9454" spans="1:9" x14ac:dyDescent="0.25">
      <c r="A9454" t="s">
        <v>8236</v>
      </c>
      <c r="B9454" t="s">
        <v>13</v>
      </c>
      <c r="C9454">
        <v>3.6</v>
      </c>
      <c r="D9454">
        <v>1.93</v>
      </c>
      <c r="E9454" t="s">
        <v>17</v>
      </c>
      <c r="F9454">
        <v>21.39</v>
      </c>
      <c r="G9454">
        <v>26.42</v>
      </c>
      <c r="H9454" t="s">
        <v>17</v>
      </c>
      <c r="I9454" t="str">
        <f>"063900008622"</f>
        <v>063900008622</v>
      </c>
    </row>
    <row r="9455" spans="1:9" x14ac:dyDescent="0.25">
      <c r="A9455" t="s">
        <v>8237</v>
      </c>
      <c r="B9455" t="s">
        <v>13</v>
      </c>
      <c r="C9455">
        <v>3.9</v>
      </c>
      <c r="D9455">
        <v>3.9</v>
      </c>
      <c r="E9455" t="s">
        <v>17</v>
      </c>
      <c r="F9455">
        <v>25.13</v>
      </c>
      <c r="G9455">
        <v>30.26</v>
      </c>
      <c r="H9455" t="s">
        <v>17</v>
      </c>
      <c r="I9455" t="str">
        <f>"063900007776"</f>
        <v>063900007776</v>
      </c>
    </row>
    <row r="9456" spans="1:9" x14ac:dyDescent="0.25">
      <c r="A9456" t="s">
        <v>8238</v>
      </c>
      <c r="B9456" t="s">
        <v>13</v>
      </c>
      <c r="C9456">
        <v>19.27</v>
      </c>
      <c r="D9456">
        <v>22.59</v>
      </c>
      <c r="E9456" t="s">
        <v>17</v>
      </c>
      <c r="F9456">
        <v>25.79</v>
      </c>
      <c r="G9456">
        <v>21.43</v>
      </c>
      <c r="H9456" t="s">
        <v>17</v>
      </c>
      <c r="I9456" t="str">
        <f>"063900008996"</f>
        <v>063900008996</v>
      </c>
    </row>
    <row r="9457" spans="1:9" x14ac:dyDescent="0.25">
      <c r="A9457" t="s">
        <v>8239</v>
      </c>
      <c r="B9457" t="s">
        <v>13</v>
      </c>
      <c r="C9457">
        <v>3.6</v>
      </c>
      <c r="D9457">
        <v>4.75</v>
      </c>
      <c r="E9457" t="s">
        <v>17</v>
      </c>
      <c r="F9457">
        <v>26.39</v>
      </c>
      <c r="G9457">
        <v>21.05</v>
      </c>
      <c r="H9457" t="s">
        <v>17</v>
      </c>
      <c r="I9457" t="str">
        <f>"060002911241"</f>
        <v>060002911241</v>
      </c>
    </row>
    <row r="9458" spans="1:9" x14ac:dyDescent="0.25">
      <c r="A9458" t="s">
        <v>8240</v>
      </c>
      <c r="B9458" t="s">
        <v>13</v>
      </c>
      <c r="C9458">
        <v>13.8</v>
      </c>
      <c r="D9458">
        <v>14.5</v>
      </c>
      <c r="E9458" t="s">
        <v>17</v>
      </c>
      <c r="F9458">
        <v>18.190000000000001</v>
      </c>
      <c r="G9458">
        <v>17.66</v>
      </c>
      <c r="H9458" t="s">
        <v>17</v>
      </c>
      <c r="I9458" t="str">
        <f>"069113710341"</f>
        <v>069113710341</v>
      </c>
    </row>
    <row r="9459" spans="1:9" x14ac:dyDescent="0.25">
      <c r="A9459" t="s">
        <v>8241</v>
      </c>
      <c r="B9459" t="s">
        <v>13</v>
      </c>
      <c r="C9459">
        <v>32.549999999999997</v>
      </c>
      <c r="D9459">
        <v>35.270000000000003</v>
      </c>
      <c r="E9459" t="s">
        <v>17</v>
      </c>
      <c r="F9459">
        <v>26.97</v>
      </c>
      <c r="G9459">
        <v>25.57</v>
      </c>
      <c r="H9459" t="s">
        <v>17</v>
      </c>
      <c r="I9459" t="str">
        <f>"062460003696"</f>
        <v>062460003696</v>
      </c>
    </row>
    <row r="9460" spans="1:9" x14ac:dyDescent="0.25">
      <c r="A9460" t="s">
        <v>8241</v>
      </c>
      <c r="B9460" t="s">
        <v>13</v>
      </c>
      <c r="C9460">
        <v>38.909999999999997</v>
      </c>
      <c r="D9460">
        <v>40.200000000000003</v>
      </c>
      <c r="E9460" t="s">
        <v>17</v>
      </c>
      <c r="F9460">
        <v>24.54</v>
      </c>
      <c r="G9460">
        <v>22.89</v>
      </c>
      <c r="H9460" t="s">
        <v>17</v>
      </c>
      <c r="I9460" t="str">
        <f>"061455001771"</f>
        <v>061455001771</v>
      </c>
    </row>
    <row r="9461" spans="1:9" x14ac:dyDescent="0.25">
      <c r="A9461" t="s">
        <v>8242</v>
      </c>
      <c r="B9461" t="s">
        <v>13</v>
      </c>
      <c r="C9461">
        <v>19.8</v>
      </c>
      <c r="D9461">
        <v>19</v>
      </c>
      <c r="E9461" t="s">
        <v>17</v>
      </c>
      <c r="F9461">
        <v>19.600000000000001</v>
      </c>
      <c r="G9461">
        <v>20.47</v>
      </c>
      <c r="H9461" t="s">
        <v>17</v>
      </c>
      <c r="I9461" t="str">
        <f>"063441007732"</f>
        <v>063441007732</v>
      </c>
    </row>
    <row r="9462" spans="1:9" x14ac:dyDescent="0.25">
      <c r="A9462" t="s">
        <v>8243</v>
      </c>
      <c r="B9462" t="s">
        <v>13</v>
      </c>
      <c r="C9462">
        <v>58.78</v>
      </c>
      <c r="D9462">
        <v>62.44</v>
      </c>
      <c r="E9462" t="s">
        <v>17</v>
      </c>
      <c r="F9462">
        <v>22.32</v>
      </c>
      <c r="G9462">
        <v>20.34</v>
      </c>
      <c r="H9462" t="s">
        <v>17</v>
      </c>
      <c r="I9462" t="str">
        <f>"061674002135"</f>
        <v>061674002135</v>
      </c>
    </row>
    <row r="9463" spans="1:9" x14ac:dyDescent="0.25">
      <c r="A9463" t="s">
        <v>8244</v>
      </c>
      <c r="B9463" t="s">
        <v>13</v>
      </c>
      <c r="C9463">
        <v>39</v>
      </c>
      <c r="D9463">
        <v>41</v>
      </c>
      <c r="E9463" t="s">
        <v>17</v>
      </c>
      <c r="F9463">
        <v>20.38</v>
      </c>
      <c r="G9463">
        <v>20.68</v>
      </c>
      <c r="H9463" t="s">
        <v>17</v>
      </c>
      <c r="I9463" t="str">
        <f>"062271003393"</f>
        <v>062271003393</v>
      </c>
    </row>
    <row r="9464" spans="1:9" x14ac:dyDescent="0.25">
      <c r="A9464" t="s">
        <v>8245</v>
      </c>
      <c r="B9464" t="s">
        <v>13</v>
      </c>
      <c r="C9464">
        <v>37.200000000000003</v>
      </c>
      <c r="D9464">
        <v>37</v>
      </c>
      <c r="E9464" t="s">
        <v>17</v>
      </c>
      <c r="F9464">
        <v>26.85</v>
      </c>
      <c r="G9464">
        <v>26.68</v>
      </c>
      <c r="H9464" t="s">
        <v>17</v>
      </c>
      <c r="I9464" t="str">
        <f>"063738008308"</f>
        <v>063738008308</v>
      </c>
    </row>
    <row r="9465" spans="1:9" x14ac:dyDescent="0.25">
      <c r="A9465" t="s">
        <v>8246</v>
      </c>
      <c r="B9465" t="s">
        <v>13</v>
      </c>
      <c r="C9465">
        <v>27.9</v>
      </c>
      <c r="D9465">
        <v>27.5</v>
      </c>
      <c r="E9465" t="s">
        <v>17</v>
      </c>
      <c r="F9465">
        <v>28.24</v>
      </c>
      <c r="G9465">
        <v>26.84</v>
      </c>
      <c r="H9465" t="s">
        <v>17</v>
      </c>
      <c r="I9465" t="str">
        <f>"064140012045"</f>
        <v>064140012045</v>
      </c>
    </row>
    <row r="9466" spans="1:9" x14ac:dyDescent="0.25">
      <c r="A9466" t="s">
        <v>8247</v>
      </c>
      <c r="B9466" t="s">
        <v>13</v>
      </c>
      <c r="C9466">
        <v>37</v>
      </c>
      <c r="D9466">
        <v>35.01</v>
      </c>
      <c r="E9466" t="s">
        <v>17</v>
      </c>
      <c r="F9466">
        <v>23.7</v>
      </c>
      <c r="G9466">
        <v>25.11</v>
      </c>
      <c r="H9466" t="s">
        <v>17</v>
      </c>
      <c r="I9466" t="str">
        <f>"062271009395"</f>
        <v>062271009395</v>
      </c>
    </row>
    <row r="9467" spans="1:9" x14ac:dyDescent="0.25">
      <c r="A9467" t="s">
        <v>8248</v>
      </c>
      <c r="B9467" t="s">
        <v>13</v>
      </c>
      <c r="C9467">
        <v>45.1</v>
      </c>
      <c r="D9467">
        <v>42.9</v>
      </c>
      <c r="E9467" t="s">
        <v>17</v>
      </c>
      <c r="F9467">
        <v>15.08</v>
      </c>
      <c r="G9467">
        <v>15.43</v>
      </c>
      <c r="H9467" t="s">
        <v>17</v>
      </c>
      <c r="I9467" t="str">
        <f>"062961011454"</f>
        <v>062961011454</v>
      </c>
    </row>
    <row r="9468" spans="1:9" x14ac:dyDescent="0.25">
      <c r="A9468" t="s">
        <v>8249</v>
      </c>
      <c r="B9468" t="s">
        <v>13</v>
      </c>
      <c r="C9468">
        <v>28</v>
      </c>
      <c r="D9468">
        <v>27</v>
      </c>
      <c r="E9468" t="s">
        <v>17</v>
      </c>
      <c r="F9468">
        <v>22.96</v>
      </c>
      <c r="G9468">
        <v>23.48</v>
      </c>
      <c r="H9468" t="s">
        <v>17</v>
      </c>
      <c r="I9468" t="str">
        <f>"063906006543"</f>
        <v>063906006543</v>
      </c>
    </row>
    <row r="9469" spans="1:9" x14ac:dyDescent="0.25">
      <c r="A9469" t="s">
        <v>8250</v>
      </c>
      <c r="B9469" t="s">
        <v>13</v>
      </c>
      <c r="C9469">
        <v>46.4</v>
      </c>
      <c r="D9469">
        <v>47.4</v>
      </c>
      <c r="E9469" t="s">
        <v>17</v>
      </c>
      <c r="F9469">
        <v>28.51</v>
      </c>
      <c r="G9469">
        <v>27.74</v>
      </c>
      <c r="H9469" t="s">
        <v>17</v>
      </c>
      <c r="I9469" t="str">
        <f>"060002709496"</f>
        <v>060002709496</v>
      </c>
    </row>
    <row r="9470" spans="1:9" x14ac:dyDescent="0.25">
      <c r="A9470" t="s">
        <v>8251</v>
      </c>
      <c r="B9470" t="s">
        <v>13</v>
      </c>
      <c r="C9470">
        <v>50.66</v>
      </c>
      <c r="D9470">
        <v>51.36</v>
      </c>
      <c r="E9470" t="s">
        <v>17</v>
      </c>
      <c r="F9470">
        <v>20.350000000000001</v>
      </c>
      <c r="G9470">
        <v>20.81</v>
      </c>
      <c r="H9470" t="s">
        <v>17</v>
      </c>
      <c r="I9470" t="str">
        <f>"063511005941"</f>
        <v>063511005941</v>
      </c>
    </row>
    <row r="9471" spans="1:9" x14ac:dyDescent="0.25">
      <c r="A9471" t="s">
        <v>8252</v>
      </c>
      <c r="B9471" t="s">
        <v>13</v>
      </c>
      <c r="C9471">
        <v>49.8</v>
      </c>
      <c r="D9471">
        <v>50.3</v>
      </c>
      <c r="E9471" t="s">
        <v>17</v>
      </c>
      <c r="F9471">
        <v>22.99</v>
      </c>
      <c r="G9471">
        <v>24.45</v>
      </c>
      <c r="H9471" t="s">
        <v>17</v>
      </c>
      <c r="I9471" t="str">
        <f>"061893002296"</f>
        <v>061893002296</v>
      </c>
    </row>
    <row r="9472" spans="1:9" x14ac:dyDescent="0.25">
      <c r="A9472" t="s">
        <v>8253</v>
      </c>
      <c r="B9472" t="s">
        <v>13</v>
      </c>
      <c r="C9472">
        <v>28</v>
      </c>
      <c r="D9472">
        <v>27.5</v>
      </c>
      <c r="E9472" t="s">
        <v>17</v>
      </c>
      <c r="F9472">
        <v>26.43</v>
      </c>
      <c r="G9472">
        <v>27.16</v>
      </c>
      <c r="H9472" t="s">
        <v>17</v>
      </c>
      <c r="I9472" t="str">
        <f>"061296003831"</f>
        <v>061296003831</v>
      </c>
    </row>
    <row r="9473" spans="1:9" x14ac:dyDescent="0.25">
      <c r="A9473" t="s">
        <v>8254</v>
      </c>
      <c r="B9473" t="s">
        <v>13</v>
      </c>
      <c r="C9473">
        <v>25.22</v>
      </c>
      <c r="D9473">
        <v>24.22</v>
      </c>
      <c r="E9473" t="s">
        <v>17</v>
      </c>
      <c r="F9473">
        <v>21.02</v>
      </c>
      <c r="G9473">
        <v>20.85</v>
      </c>
      <c r="H9473" t="s">
        <v>17</v>
      </c>
      <c r="I9473" t="str">
        <f>"062067002487"</f>
        <v>062067002487</v>
      </c>
    </row>
    <row r="9474" spans="1:9" x14ac:dyDescent="0.25">
      <c r="A9474" t="s">
        <v>8255</v>
      </c>
      <c r="B9474" t="s">
        <v>13</v>
      </c>
      <c r="C9474">
        <v>28.5</v>
      </c>
      <c r="D9474">
        <v>26.5</v>
      </c>
      <c r="E9474" t="s">
        <v>17</v>
      </c>
      <c r="F9474">
        <v>20.39</v>
      </c>
      <c r="G9474">
        <v>23.21</v>
      </c>
      <c r="H9474" t="s">
        <v>17</v>
      </c>
      <c r="I9474" t="str">
        <f>"061089001211"</f>
        <v>061089001211</v>
      </c>
    </row>
    <row r="9475" spans="1:9" x14ac:dyDescent="0.25">
      <c r="A9475" t="s">
        <v>8255</v>
      </c>
      <c r="B9475" t="s">
        <v>13</v>
      </c>
      <c r="C9475">
        <v>23</v>
      </c>
      <c r="D9475">
        <v>26.1</v>
      </c>
      <c r="E9475" t="s">
        <v>17</v>
      </c>
      <c r="F9475">
        <v>30.78</v>
      </c>
      <c r="G9475">
        <v>29.5</v>
      </c>
      <c r="H9475" t="s">
        <v>17</v>
      </c>
      <c r="I9475" t="str">
        <f>"060243000139"</f>
        <v>060243000139</v>
      </c>
    </row>
    <row r="9476" spans="1:9" x14ac:dyDescent="0.25">
      <c r="A9476" t="s">
        <v>8256</v>
      </c>
      <c r="B9476" t="s">
        <v>13</v>
      </c>
      <c r="C9476">
        <v>35.71</v>
      </c>
      <c r="D9476">
        <v>36.9</v>
      </c>
      <c r="E9476" t="s">
        <v>17</v>
      </c>
      <c r="F9476">
        <v>26.27</v>
      </c>
      <c r="G9476">
        <v>24.74</v>
      </c>
      <c r="H9476" t="s">
        <v>17</v>
      </c>
      <c r="I9476" t="str">
        <f>"060939000957"</f>
        <v>060939000957</v>
      </c>
    </row>
    <row r="9477" spans="1:9" x14ac:dyDescent="0.25">
      <c r="A9477" t="s">
        <v>8257</v>
      </c>
      <c r="B9477" t="s">
        <v>13</v>
      </c>
      <c r="C9477">
        <v>33</v>
      </c>
      <c r="D9477">
        <v>33</v>
      </c>
      <c r="E9477" t="s">
        <v>17</v>
      </c>
      <c r="F9477">
        <v>23.52</v>
      </c>
      <c r="G9477">
        <v>22.91</v>
      </c>
      <c r="H9477" t="s">
        <v>17</v>
      </c>
      <c r="I9477" t="str">
        <f>"060939000958"</f>
        <v>060939000958</v>
      </c>
    </row>
    <row r="9478" spans="1:9" x14ac:dyDescent="0.25">
      <c r="A9478" t="s">
        <v>8258</v>
      </c>
      <c r="B9478" t="s">
        <v>13</v>
      </c>
      <c r="C9478">
        <v>23.75</v>
      </c>
      <c r="D9478">
        <v>23.9</v>
      </c>
      <c r="E9478" t="s">
        <v>17</v>
      </c>
      <c r="F9478">
        <v>22.27</v>
      </c>
      <c r="G9478">
        <v>22.55</v>
      </c>
      <c r="H9478" t="s">
        <v>17</v>
      </c>
      <c r="I9478" t="str">
        <f>"063459005740"</f>
        <v>063459005740</v>
      </c>
    </row>
    <row r="9479" spans="1:9" x14ac:dyDescent="0.25">
      <c r="A9479" t="s">
        <v>8259</v>
      </c>
      <c r="B9479" t="s">
        <v>13</v>
      </c>
      <c r="C9479">
        <v>10.35</v>
      </c>
      <c r="D9479">
        <v>10.119999999999999</v>
      </c>
      <c r="E9479" t="s">
        <v>17</v>
      </c>
      <c r="F9479">
        <v>24.25</v>
      </c>
      <c r="G9479">
        <v>23.81</v>
      </c>
      <c r="H9479" t="s">
        <v>17</v>
      </c>
      <c r="I9479" t="str">
        <f>"063627006189"</f>
        <v>063627006189</v>
      </c>
    </row>
    <row r="9480" spans="1:9" x14ac:dyDescent="0.25">
      <c r="A9480" t="s">
        <v>8260</v>
      </c>
      <c r="B9480" t="s">
        <v>13</v>
      </c>
      <c r="C9480">
        <v>21.5</v>
      </c>
      <c r="D9480">
        <v>24</v>
      </c>
      <c r="E9480" t="s">
        <v>17</v>
      </c>
      <c r="F9480">
        <v>28.09</v>
      </c>
      <c r="G9480">
        <v>25.5</v>
      </c>
      <c r="H9480" t="s">
        <v>17</v>
      </c>
      <c r="I9480" t="str">
        <f>"063597010910"</f>
        <v>063597010910</v>
      </c>
    </row>
    <row r="9481" spans="1:9" x14ac:dyDescent="0.25">
      <c r="A9481" t="s">
        <v>8261</v>
      </c>
      <c r="B9481" t="s">
        <v>13</v>
      </c>
      <c r="C9481">
        <v>83.54</v>
      </c>
      <c r="D9481">
        <v>88.71</v>
      </c>
      <c r="E9481" t="s">
        <v>17</v>
      </c>
      <c r="F9481">
        <v>28.72</v>
      </c>
      <c r="G9481">
        <v>27.53</v>
      </c>
      <c r="H9481" t="s">
        <v>17</v>
      </c>
      <c r="I9481" t="str">
        <f>"060744008750"</f>
        <v>060744008750</v>
      </c>
    </row>
    <row r="9482" spans="1:9" x14ac:dyDescent="0.25">
      <c r="A9482" t="s">
        <v>8262</v>
      </c>
      <c r="B9482" t="s">
        <v>13</v>
      </c>
      <c r="C9482">
        <v>25.5</v>
      </c>
      <c r="D9482">
        <v>24.7</v>
      </c>
      <c r="E9482" t="s">
        <v>17</v>
      </c>
      <c r="F9482">
        <v>24.59</v>
      </c>
      <c r="G9482">
        <v>24.41</v>
      </c>
      <c r="H9482" t="s">
        <v>17</v>
      </c>
      <c r="I9482" t="str">
        <f>"060162000027"</f>
        <v>060162000027</v>
      </c>
    </row>
    <row r="9483" spans="1:9" x14ac:dyDescent="0.25">
      <c r="A9483" t="s">
        <v>8263</v>
      </c>
      <c r="B9483" t="s">
        <v>13</v>
      </c>
      <c r="C9483">
        <v>30.31</v>
      </c>
      <c r="D9483">
        <v>28.7</v>
      </c>
      <c r="E9483" t="s">
        <v>17</v>
      </c>
      <c r="F9483">
        <v>24.98</v>
      </c>
      <c r="G9483">
        <v>25.99</v>
      </c>
      <c r="H9483" t="s">
        <v>17</v>
      </c>
      <c r="I9483" t="str">
        <f>"060639009338"</f>
        <v>060639009338</v>
      </c>
    </row>
    <row r="9484" spans="1:9" x14ac:dyDescent="0.25">
      <c r="A9484" t="s">
        <v>8264</v>
      </c>
      <c r="B9484" t="s">
        <v>13</v>
      </c>
      <c r="C9484">
        <v>2</v>
      </c>
      <c r="D9484">
        <v>2</v>
      </c>
      <c r="E9484" t="s">
        <v>17</v>
      </c>
      <c r="F9484">
        <v>6.5</v>
      </c>
      <c r="G9484">
        <v>8.5</v>
      </c>
      <c r="H9484" t="s">
        <v>17</v>
      </c>
      <c r="I9484" t="str">
        <f>"062781008359"</f>
        <v>062781008359</v>
      </c>
    </row>
    <row r="9485" spans="1:9" x14ac:dyDescent="0.25">
      <c r="A9485" t="s">
        <v>8264</v>
      </c>
      <c r="B9485" t="s">
        <v>13</v>
      </c>
      <c r="C9485" t="s">
        <v>17</v>
      </c>
      <c r="D9485" t="s">
        <v>14</v>
      </c>
      <c r="E9485" t="s">
        <v>14</v>
      </c>
      <c r="F9485" t="s">
        <v>17</v>
      </c>
      <c r="G9485" t="s">
        <v>14</v>
      </c>
      <c r="H9485" t="s">
        <v>14</v>
      </c>
      <c r="I9485" t="str">
        <f>"069102413076"</f>
        <v>069102413076</v>
      </c>
    </row>
    <row r="9486" spans="1:9" x14ac:dyDescent="0.25">
      <c r="A9486" t="s">
        <v>8265</v>
      </c>
      <c r="B9486" t="s">
        <v>13</v>
      </c>
      <c r="C9486">
        <v>6</v>
      </c>
      <c r="D9486">
        <v>6.74</v>
      </c>
      <c r="E9486" t="s">
        <v>17</v>
      </c>
      <c r="F9486">
        <v>12.17</v>
      </c>
      <c r="G9486">
        <v>13.5</v>
      </c>
      <c r="H9486" t="s">
        <v>17</v>
      </c>
      <c r="I9486" t="str">
        <f>"063021006249"</f>
        <v>063021006249</v>
      </c>
    </row>
    <row r="9487" spans="1:9" x14ac:dyDescent="0.25">
      <c r="A9487" t="s">
        <v>8266</v>
      </c>
      <c r="B9487" t="s">
        <v>13</v>
      </c>
      <c r="C9487">
        <v>24.4</v>
      </c>
      <c r="D9487">
        <v>24.2</v>
      </c>
      <c r="E9487" t="s">
        <v>17</v>
      </c>
      <c r="F9487">
        <v>20.57</v>
      </c>
      <c r="G9487">
        <v>19.38</v>
      </c>
      <c r="H9487" t="s">
        <v>17</v>
      </c>
      <c r="I9487" t="str">
        <f>"060177000042"</f>
        <v>060177000042</v>
      </c>
    </row>
    <row r="9488" spans="1:9" x14ac:dyDescent="0.25">
      <c r="A9488" t="s">
        <v>8267</v>
      </c>
      <c r="B9488" t="s">
        <v>13</v>
      </c>
      <c r="C9488">
        <v>25.49</v>
      </c>
      <c r="D9488">
        <v>14.5</v>
      </c>
      <c r="E9488" t="s">
        <v>17</v>
      </c>
      <c r="F9488">
        <v>25.34</v>
      </c>
      <c r="G9488">
        <v>31.52</v>
      </c>
      <c r="H9488" t="s">
        <v>17</v>
      </c>
      <c r="I9488" t="str">
        <f>"063417012727"</f>
        <v>063417012727</v>
      </c>
    </row>
    <row r="9489" spans="1:9" x14ac:dyDescent="0.25">
      <c r="A9489" t="s">
        <v>8268</v>
      </c>
      <c r="B9489" t="s">
        <v>13</v>
      </c>
      <c r="C9489" t="s">
        <v>17</v>
      </c>
      <c r="D9489" t="s">
        <v>17</v>
      </c>
      <c r="E9489" t="s">
        <v>17</v>
      </c>
      <c r="F9489" t="s">
        <v>17</v>
      </c>
      <c r="G9489" t="s">
        <v>17</v>
      </c>
      <c r="H9489" t="s">
        <v>17</v>
      </c>
      <c r="I9489" t="str">
        <f>"064047007508"</f>
        <v>064047007508</v>
      </c>
    </row>
    <row r="9490" spans="1:9" x14ac:dyDescent="0.25">
      <c r="A9490" t="s">
        <v>8269</v>
      </c>
      <c r="B9490" t="s">
        <v>13</v>
      </c>
      <c r="C9490" t="s">
        <v>17</v>
      </c>
      <c r="D9490" t="s">
        <v>14</v>
      </c>
      <c r="E9490" t="s">
        <v>14</v>
      </c>
      <c r="F9490" t="s">
        <v>17</v>
      </c>
      <c r="G9490" t="s">
        <v>14</v>
      </c>
      <c r="H9490" t="s">
        <v>14</v>
      </c>
      <c r="I9490" t="str">
        <f>"061071013185"</f>
        <v>061071013185</v>
      </c>
    </row>
    <row r="9491" spans="1:9" x14ac:dyDescent="0.25">
      <c r="A9491" t="s">
        <v>8270</v>
      </c>
      <c r="B9491" t="s">
        <v>13</v>
      </c>
      <c r="C9491">
        <v>4</v>
      </c>
      <c r="D9491">
        <v>4.2</v>
      </c>
      <c r="E9491" t="s">
        <v>17</v>
      </c>
      <c r="F9491">
        <v>21.25</v>
      </c>
      <c r="G9491">
        <v>28.81</v>
      </c>
      <c r="H9491" t="s">
        <v>17</v>
      </c>
      <c r="I9491" t="str">
        <f>"062569010455"</f>
        <v>062569010455</v>
      </c>
    </row>
    <row r="9492" spans="1:9" x14ac:dyDescent="0.25">
      <c r="A9492" t="s">
        <v>8271</v>
      </c>
      <c r="B9492" t="s">
        <v>13</v>
      </c>
      <c r="C9492">
        <v>22</v>
      </c>
      <c r="D9492">
        <v>14.56</v>
      </c>
      <c r="E9492" t="s">
        <v>17</v>
      </c>
      <c r="F9492">
        <v>20.09</v>
      </c>
      <c r="G9492">
        <v>28.37</v>
      </c>
      <c r="H9492" t="s">
        <v>17</v>
      </c>
      <c r="I9492" t="str">
        <f>"063384011076"</f>
        <v>063384011076</v>
      </c>
    </row>
    <row r="9493" spans="1:9" x14ac:dyDescent="0.25">
      <c r="A9493" t="s">
        <v>8272</v>
      </c>
      <c r="B9493" t="s">
        <v>13</v>
      </c>
      <c r="C9493">
        <v>10.199999999999999</v>
      </c>
      <c r="D9493">
        <v>8.6</v>
      </c>
      <c r="E9493" t="s">
        <v>17</v>
      </c>
      <c r="F9493">
        <v>30.69</v>
      </c>
      <c r="G9493">
        <v>31.63</v>
      </c>
      <c r="H9493" t="s">
        <v>17</v>
      </c>
      <c r="I9493" t="str">
        <f>"063384011194"</f>
        <v>063384011194</v>
      </c>
    </row>
    <row r="9494" spans="1:9" x14ac:dyDescent="0.25">
      <c r="A9494" t="s">
        <v>8273</v>
      </c>
      <c r="B9494" t="s">
        <v>13</v>
      </c>
      <c r="C9494">
        <v>54.48</v>
      </c>
      <c r="D9494">
        <v>45.41</v>
      </c>
      <c r="E9494" t="s">
        <v>17</v>
      </c>
      <c r="F9494">
        <v>19.899999999999999</v>
      </c>
      <c r="G9494">
        <v>20.170000000000002</v>
      </c>
      <c r="H9494" t="s">
        <v>17</v>
      </c>
      <c r="I9494" t="str">
        <f>"063432010056"</f>
        <v>063432010056</v>
      </c>
    </row>
    <row r="9495" spans="1:9" x14ac:dyDescent="0.25">
      <c r="A9495" t="s">
        <v>8274</v>
      </c>
      <c r="B9495" t="s">
        <v>13</v>
      </c>
      <c r="C9495">
        <v>32</v>
      </c>
      <c r="D9495">
        <v>28</v>
      </c>
      <c r="E9495" t="s">
        <v>17</v>
      </c>
      <c r="F9495">
        <v>23.47</v>
      </c>
      <c r="G9495">
        <v>25.96</v>
      </c>
      <c r="H9495" t="s">
        <v>17</v>
      </c>
      <c r="I9495" t="str">
        <f>"061630009841"</f>
        <v>061630009841</v>
      </c>
    </row>
    <row r="9496" spans="1:9" x14ac:dyDescent="0.25">
      <c r="A9496" t="s">
        <v>8275</v>
      </c>
      <c r="B9496" t="s">
        <v>13</v>
      </c>
      <c r="C9496">
        <v>15</v>
      </c>
      <c r="D9496">
        <v>15</v>
      </c>
      <c r="E9496" t="s">
        <v>17</v>
      </c>
      <c r="F9496">
        <v>24.07</v>
      </c>
      <c r="G9496">
        <v>23.13</v>
      </c>
      <c r="H9496" t="s">
        <v>17</v>
      </c>
      <c r="I9496" t="str">
        <f>"063573006112"</f>
        <v>063573006112</v>
      </c>
    </row>
    <row r="9497" spans="1:9" x14ac:dyDescent="0.25">
      <c r="A9497" t="s">
        <v>8276</v>
      </c>
      <c r="B9497" t="s">
        <v>13</v>
      </c>
      <c r="C9497">
        <v>3.22</v>
      </c>
      <c r="D9497">
        <v>2.84</v>
      </c>
      <c r="E9497" t="s">
        <v>17</v>
      </c>
      <c r="F9497">
        <v>19.57</v>
      </c>
      <c r="G9497">
        <v>24.3</v>
      </c>
      <c r="H9497" t="s">
        <v>17</v>
      </c>
      <c r="I9497" t="str">
        <f>"063726009445"</f>
        <v>063726009445</v>
      </c>
    </row>
    <row r="9498" spans="1:9" x14ac:dyDescent="0.25">
      <c r="A9498" t="s">
        <v>8277</v>
      </c>
      <c r="B9498" t="s">
        <v>13</v>
      </c>
      <c r="C9498">
        <v>16.7</v>
      </c>
      <c r="D9498">
        <v>15.6</v>
      </c>
      <c r="E9498" t="s">
        <v>17</v>
      </c>
      <c r="F9498">
        <v>26.17</v>
      </c>
      <c r="G9498">
        <v>26.73</v>
      </c>
      <c r="H9498" t="s">
        <v>17</v>
      </c>
      <c r="I9498" t="str">
        <f>"061389001572"</f>
        <v>061389001572</v>
      </c>
    </row>
    <row r="9499" spans="1:9" x14ac:dyDescent="0.25">
      <c r="A9499" t="s">
        <v>8277</v>
      </c>
      <c r="B9499" t="s">
        <v>13</v>
      </c>
      <c r="C9499">
        <v>18</v>
      </c>
      <c r="D9499">
        <v>19</v>
      </c>
      <c r="E9499" t="s">
        <v>17</v>
      </c>
      <c r="F9499">
        <v>27.83</v>
      </c>
      <c r="G9499">
        <v>23.89</v>
      </c>
      <c r="H9499" t="s">
        <v>17</v>
      </c>
      <c r="I9499" t="str">
        <f>"063384005286"</f>
        <v>063384005286</v>
      </c>
    </row>
    <row r="9500" spans="1:9" x14ac:dyDescent="0.25">
      <c r="A9500" t="s">
        <v>8278</v>
      </c>
      <c r="B9500" t="s">
        <v>13</v>
      </c>
      <c r="C9500">
        <v>25.5</v>
      </c>
      <c r="D9500">
        <v>27</v>
      </c>
      <c r="E9500" t="s">
        <v>17</v>
      </c>
      <c r="F9500">
        <v>30.12</v>
      </c>
      <c r="G9500">
        <v>28.15</v>
      </c>
      <c r="H9500" t="s">
        <v>17</v>
      </c>
      <c r="I9500" t="str">
        <f>"062985004654"</f>
        <v>062985004654</v>
      </c>
    </row>
    <row r="9501" spans="1:9" x14ac:dyDescent="0.25">
      <c r="A9501" t="s">
        <v>8279</v>
      </c>
      <c r="B9501" t="s">
        <v>13</v>
      </c>
      <c r="C9501">
        <v>30</v>
      </c>
      <c r="D9501">
        <v>33.020000000000003</v>
      </c>
      <c r="E9501" t="s">
        <v>17</v>
      </c>
      <c r="F9501">
        <v>26.7</v>
      </c>
      <c r="G9501">
        <v>26.59</v>
      </c>
      <c r="H9501" t="s">
        <v>17</v>
      </c>
      <c r="I9501" t="str">
        <f>"063531006003"</f>
        <v>063531006003</v>
      </c>
    </row>
    <row r="9502" spans="1:9" x14ac:dyDescent="0.25">
      <c r="A9502" t="s">
        <v>8279</v>
      </c>
      <c r="B9502" t="s">
        <v>13</v>
      </c>
      <c r="C9502">
        <v>30.86</v>
      </c>
      <c r="D9502">
        <v>31.9</v>
      </c>
      <c r="E9502" t="s">
        <v>17</v>
      </c>
      <c r="F9502">
        <v>24.85</v>
      </c>
      <c r="G9502">
        <v>24.64</v>
      </c>
      <c r="H9502" t="s">
        <v>17</v>
      </c>
      <c r="I9502" t="str">
        <f>"063627006187"</f>
        <v>063627006187</v>
      </c>
    </row>
    <row r="9503" spans="1:9" x14ac:dyDescent="0.25">
      <c r="A9503" t="s">
        <v>8279</v>
      </c>
      <c r="B9503" t="s">
        <v>13</v>
      </c>
      <c r="C9503">
        <v>22</v>
      </c>
      <c r="D9503">
        <v>22</v>
      </c>
      <c r="E9503" t="s">
        <v>17</v>
      </c>
      <c r="F9503">
        <v>26.45</v>
      </c>
      <c r="G9503">
        <v>26.55</v>
      </c>
      <c r="H9503" t="s">
        <v>17</v>
      </c>
      <c r="I9503" t="str">
        <f>"060645000578"</f>
        <v>060645000578</v>
      </c>
    </row>
    <row r="9504" spans="1:9" x14ac:dyDescent="0.25">
      <c r="A9504" t="s">
        <v>8279</v>
      </c>
      <c r="B9504" t="s">
        <v>13</v>
      </c>
      <c r="C9504">
        <v>22</v>
      </c>
      <c r="D9504">
        <v>23.2</v>
      </c>
      <c r="E9504" t="s">
        <v>17</v>
      </c>
      <c r="F9504">
        <v>26.91</v>
      </c>
      <c r="G9504">
        <v>27.28</v>
      </c>
      <c r="H9504" t="s">
        <v>17</v>
      </c>
      <c r="I9504" t="str">
        <f>"061111001232"</f>
        <v>061111001232</v>
      </c>
    </row>
    <row r="9505" spans="1:9" x14ac:dyDescent="0.25">
      <c r="A9505" t="s">
        <v>8280</v>
      </c>
      <c r="B9505" t="s">
        <v>13</v>
      </c>
      <c r="C9505">
        <v>38.6</v>
      </c>
      <c r="D9505">
        <v>41.6</v>
      </c>
      <c r="E9505" t="s">
        <v>17</v>
      </c>
      <c r="F9505">
        <v>21.4</v>
      </c>
      <c r="G9505">
        <v>20.22</v>
      </c>
      <c r="H9505" t="s">
        <v>17</v>
      </c>
      <c r="I9505" t="str">
        <f>"061524001943"</f>
        <v>061524001943</v>
      </c>
    </row>
    <row r="9506" spans="1:9" x14ac:dyDescent="0.25">
      <c r="A9506" t="s">
        <v>8281</v>
      </c>
      <c r="B9506" t="s">
        <v>13</v>
      </c>
      <c r="C9506">
        <v>20.66</v>
      </c>
      <c r="D9506">
        <v>27.01</v>
      </c>
      <c r="E9506" t="s">
        <v>17</v>
      </c>
      <c r="F9506">
        <v>20.09</v>
      </c>
      <c r="G9506">
        <v>17.77</v>
      </c>
      <c r="H9506" t="s">
        <v>17</v>
      </c>
      <c r="I9506" t="str">
        <f>"062271003315"</f>
        <v>062271003315</v>
      </c>
    </row>
    <row r="9507" spans="1:9" x14ac:dyDescent="0.25">
      <c r="A9507" t="s">
        <v>8282</v>
      </c>
      <c r="B9507" t="s">
        <v>13</v>
      </c>
      <c r="C9507">
        <v>24</v>
      </c>
      <c r="D9507">
        <v>24</v>
      </c>
      <c r="E9507" t="s">
        <v>17</v>
      </c>
      <c r="F9507">
        <v>29.38</v>
      </c>
      <c r="G9507">
        <v>31.88</v>
      </c>
      <c r="H9507" t="s">
        <v>17</v>
      </c>
      <c r="I9507" t="str">
        <f>"060171011091"</f>
        <v>060171011091</v>
      </c>
    </row>
    <row r="9508" spans="1:9" x14ac:dyDescent="0.25">
      <c r="A9508" t="s">
        <v>8283</v>
      </c>
      <c r="B9508" t="s">
        <v>13</v>
      </c>
      <c r="C9508">
        <v>19.5</v>
      </c>
      <c r="D9508">
        <v>20.34</v>
      </c>
      <c r="E9508" t="s">
        <v>17</v>
      </c>
      <c r="F9508">
        <v>22.97</v>
      </c>
      <c r="G9508">
        <v>23.11</v>
      </c>
      <c r="H9508" t="s">
        <v>17</v>
      </c>
      <c r="I9508" t="str">
        <f>"062628006933"</f>
        <v>062628006933</v>
      </c>
    </row>
    <row r="9509" spans="1:9" x14ac:dyDescent="0.25">
      <c r="A9509" t="s">
        <v>8284</v>
      </c>
      <c r="B9509" t="s">
        <v>13</v>
      </c>
      <c r="C9509">
        <v>12</v>
      </c>
      <c r="D9509">
        <v>12</v>
      </c>
      <c r="E9509" t="s">
        <v>17</v>
      </c>
      <c r="F9509">
        <v>24.17</v>
      </c>
      <c r="G9509">
        <v>24.83</v>
      </c>
      <c r="H9509" t="s">
        <v>17</v>
      </c>
      <c r="I9509" t="str">
        <f>"062805011294"</f>
        <v>062805011294</v>
      </c>
    </row>
    <row r="9510" spans="1:9" x14ac:dyDescent="0.25">
      <c r="A9510" t="s">
        <v>8285</v>
      </c>
      <c r="B9510" t="s">
        <v>13</v>
      </c>
      <c r="C9510">
        <v>29</v>
      </c>
      <c r="D9510">
        <v>30</v>
      </c>
      <c r="E9510" t="s">
        <v>17</v>
      </c>
      <c r="F9510">
        <v>24.45</v>
      </c>
      <c r="G9510">
        <v>24.77</v>
      </c>
      <c r="H9510" t="s">
        <v>17</v>
      </c>
      <c r="I9510" t="str">
        <f>"062271003394"</f>
        <v>062271003394</v>
      </c>
    </row>
    <row r="9511" spans="1:9" x14ac:dyDescent="0.25">
      <c r="A9511" t="s">
        <v>8286</v>
      </c>
      <c r="B9511" t="s">
        <v>13</v>
      </c>
      <c r="C9511">
        <v>42.51</v>
      </c>
      <c r="D9511">
        <v>50.01</v>
      </c>
      <c r="E9511" t="s">
        <v>17</v>
      </c>
      <c r="F9511">
        <v>25.78</v>
      </c>
      <c r="G9511">
        <v>21.22</v>
      </c>
      <c r="H9511" t="s">
        <v>17</v>
      </c>
      <c r="I9511" t="str">
        <f>"062271003395"</f>
        <v>062271003395</v>
      </c>
    </row>
    <row r="9512" spans="1:9" x14ac:dyDescent="0.25">
      <c r="A9512" t="s">
        <v>8287</v>
      </c>
      <c r="B9512" t="s">
        <v>13</v>
      </c>
      <c r="C9512">
        <v>21</v>
      </c>
      <c r="D9512">
        <v>29</v>
      </c>
      <c r="E9512" t="s">
        <v>17</v>
      </c>
      <c r="F9512">
        <v>30.33</v>
      </c>
      <c r="G9512">
        <v>23.59</v>
      </c>
      <c r="H9512" t="s">
        <v>17</v>
      </c>
      <c r="I9512" t="str">
        <f>"063531005984"</f>
        <v>063531005984</v>
      </c>
    </row>
    <row r="9513" spans="1:9" x14ac:dyDescent="0.25">
      <c r="A9513" t="s">
        <v>8288</v>
      </c>
      <c r="B9513" t="s">
        <v>13</v>
      </c>
      <c r="C9513">
        <v>59.52</v>
      </c>
      <c r="D9513">
        <v>60.52</v>
      </c>
      <c r="E9513" t="s">
        <v>17</v>
      </c>
      <c r="F9513">
        <v>19.809999999999999</v>
      </c>
      <c r="G9513">
        <v>19.27</v>
      </c>
      <c r="H9513" t="s">
        <v>17</v>
      </c>
      <c r="I9513" t="str">
        <f>"062271002975"</f>
        <v>062271002975</v>
      </c>
    </row>
    <row r="9514" spans="1:9" x14ac:dyDescent="0.25">
      <c r="A9514" t="s">
        <v>8289</v>
      </c>
      <c r="B9514" t="s">
        <v>13</v>
      </c>
      <c r="C9514">
        <v>24</v>
      </c>
      <c r="D9514">
        <v>26.64</v>
      </c>
      <c r="E9514" t="s">
        <v>17</v>
      </c>
      <c r="F9514">
        <v>25.29</v>
      </c>
      <c r="G9514">
        <v>25.08</v>
      </c>
      <c r="H9514" t="s">
        <v>17</v>
      </c>
      <c r="I9514" t="str">
        <f>"062769004176"</f>
        <v>062769004176</v>
      </c>
    </row>
    <row r="9515" spans="1:9" x14ac:dyDescent="0.25">
      <c r="A9515" t="s">
        <v>8290</v>
      </c>
      <c r="B9515" t="s">
        <v>13</v>
      </c>
      <c r="C9515">
        <v>81.760000000000005</v>
      </c>
      <c r="D9515">
        <v>77.98</v>
      </c>
      <c r="E9515" t="s">
        <v>17</v>
      </c>
      <c r="F9515">
        <v>24.03</v>
      </c>
      <c r="G9515">
        <v>25.46</v>
      </c>
      <c r="H9515" t="s">
        <v>17</v>
      </c>
      <c r="I9515" t="str">
        <f>"062515003753"</f>
        <v>062515003753</v>
      </c>
    </row>
    <row r="9516" spans="1:9" x14ac:dyDescent="0.25">
      <c r="A9516" t="s">
        <v>8291</v>
      </c>
      <c r="B9516" t="s">
        <v>13</v>
      </c>
      <c r="C9516">
        <v>2</v>
      </c>
      <c r="D9516">
        <v>3.5</v>
      </c>
      <c r="E9516" t="s">
        <v>17</v>
      </c>
      <c r="F9516">
        <v>15</v>
      </c>
      <c r="G9516">
        <v>9.14</v>
      </c>
      <c r="H9516" t="s">
        <v>17</v>
      </c>
      <c r="I9516" t="str">
        <f>"069104811993"</f>
        <v>069104811993</v>
      </c>
    </row>
    <row r="9517" spans="1:9" x14ac:dyDescent="0.25">
      <c r="A9517" t="s">
        <v>8292</v>
      </c>
      <c r="B9517" t="s">
        <v>13</v>
      </c>
      <c r="C9517">
        <v>32.75</v>
      </c>
      <c r="D9517">
        <v>33.5</v>
      </c>
      <c r="E9517" t="s">
        <v>17</v>
      </c>
      <c r="F9517">
        <v>25.34</v>
      </c>
      <c r="G9517">
        <v>24.48</v>
      </c>
      <c r="H9517" t="s">
        <v>17</v>
      </c>
      <c r="I9517" t="str">
        <f>"061524001926"</f>
        <v>061524001926</v>
      </c>
    </row>
    <row r="9518" spans="1:9" x14ac:dyDescent="0.25">
      <c r="A9518" t="s">
        <v>8292</v>
      </c>
      <c r="B9518" t="s">
        <v>13</v>
      </c>
      <c r="C9518">
        <v>18</v>
      </c>
      <c r="D9518">
        <v>18</v>
      </c>
      <c r="E9518" t="s">
        <v>17</v>
      </c>
      <c r="F9518">
        <v>31.28</v>
      </c>
      <c r="G9518">
        <v>30.39</v>
      </c>
      <c r="H9518" t="s">
        <v>17</v>
      </c>
      <c r="I9518" t="str">
        <f>"060645000566"</f>
        <v>060645000566</v>
      </c>
    </row>
    <row r="9519" spans="1:9" x14ac:dyDescent="0.25">
      <c r="A9519" t="s">
        <v>8292</v>
      </c>
      <c r="B9519" t="s">
        <v>13</v>
      </c>
      <c r="C9519">
        <v>17.47</v>
      </c>
      <c r="D9519">
        <v>17</v>
      </c>
      <c r="E9519" t="s">
        <v>17</v>
      </c>
      <c r="F9519">
        <v>24.16</v>
      </c>
      <c r="G9519">
        <v>24.18</v>
      </c>
      <c r="H9519" t="s">
        <v>17</v>
      </c>
      <c r="I9519" t="str">
        <f>"061887002290"</f>
        <v>061887002290</v>
      </c>
    </row>
    <row r="9520" spans="1:9" x14ac:dyDescent="0.25">
      <c r="A9520" t="s">
        <v>8293</v>
      </c>
      <c r="B9520" t="s">
        <v>13</v>
      </c>
      <c r="C9520">
        <v>22.17</v>
      </c>
      <c r="D9520">
        <v>22.26</v>
      </c>
      <c r="E9520" t="s">
        <v>17</v>
      </c>
      <c r="F9520">
        <v>24.99</v>
      </c>
      <c r="G9520">
        <v>19.27</v>
      </c>
      <c r="H9520" t="s">
        <v>17</v>
      </c>
      <c r="I9520" t="str">
        <f>"063462005775"</f>
        <v>063462005775</v>
      </c>
    </row>
    <row r="9521" spans="1:9" x14ac:dyDescent="0.25">
      <c r="A9521" t="s">
        <v>8294</v>
      </c>
      <c r="B9521" t="s">
        <v>13</v>
      </c>
      <c r="C9521">
        <v>26</v>
      </c>
      <c r="D9521">
        <v>24</v>
      </c>
      <c r="E9521" t="s">
        <v>17</v>
      </c>
      <c r="F9521">
        <v>27</v>
      </c>
      <c r="G9521">
        <v>28.79</v>
      </c>
      <c r="H9521" t="s">
        <v>17</v>
      </c>
      <c r="I9521" t="str">
        <f>"061455001772"</f>
        <v>061455001772</v>
      </c>
    </row>
    <row r="9522" spans="1:9" x14ac:dyDescent="0.25">
      <c r="A9522" t="s">
        <v>8295</v>
      </c>
      <c r="B9522" t="s">
        <v>13</v>
      </c>
      <c r="C9522">
        <v>24.2</v>
      </c>
      <c r="D9522">
        <v>26</v>
      </c>
      <c r="E9522" t="s">
        <v>17</v>
      </c>
      <c r="F9522">
        <v>30.7</v>
      </c>
      <c r="G9522">
        <v>28.92</v>
      </c>
      <c r="H9522" t="s">
        <v>17</v>
      </c>
      <c r="I9522" t="str">
        <f>"060645000569"</f>
        <v>060645000569</v>
      </c>
    </row>
    <row r="9523" spans="1:9" x14ac:dyDescent="0.25">
      <c r="A9523" t="s">
        <v>8295</v>
      </c>
      <c r="B9523" t="s">
        <v>13</v>
      </c>
      <c r="C9523">
        <v>23</v>
      </c>
      <c r="D9523">
        <v>24</v>
      </c>
      <c r="E9523" t="s">
        <v>17</v>
      </c>
      <c r="F9523">
        <v>29.35</v>
      </c>
      <c r="G9523">
        <v>29.17</v>
      </c>
      <c r="H9523" t="s">
        <v>17</v>
      </c>
      <c r="I9523" t="str">
        <f>"060444000398"</f>
        <v>060444000398</v>
      </c>
    </row>
    <row r="9524" spans="1:9" x14ac:dyDescent="0.25">
      <c r="A9524" t="s">
        <v>8295</v>
      </c>
      <c r="B9524" t="s">
        <v>13</v>
      </c>
      <c r="C9524">
        <v>24</v>
      </c>
      <c r="D9524">
        <v>27</v>
      </c>
      <c r="E9524" t="s">
        <v>17</v>
      </c>
      <c r="F9524">
        <v>24.46</v>
      </c>
      <c r="G9524">
        <v>21.96</v>
      </c>
      <c r="H9524" t="s">
        <v>17</v>
      </c>
      <c r="I9524" t="str">
        <f>"061524001934"</f>
        <v>061524001934</v>
      </c>
    </row>
    <row r="9525" spans="1:9" x14ac:dyDescent="0.25">
      <c r="A9525" t="s">
        <v>8295</v>
      </c>
      <c r="B9525" t="s">
        <v>13</v>
      </c>
      <c r="C9525">
        <v>23</v>
      </c>
      <c r="D9525">
        <v>26</v>
      </c>
      <c r="E9525" t="s">
        <v>17</v>
      </c>
      <c r="F9525">
        <v>26.09</v>
      </c>
      <c r="G9525">
        <v>23.88</v>
      </c>
      <c r="H9525" t="s">
        <v>17</v>
      </c>
      <c r="I9525" t="str">
        <f>"063360011003"</f>
        <v>063360011003</v>
      </c>
    </row>
    <row r="9526" spans="1:9" x14ac:dyDescent="0.25">
      <c r="A9526" t="s">
        <v>8296</v>
      </c>
      <c r="B9526" t="s">
        <v>13</v>
      </c>
      <c r="C9526">
        <v>25.75</v>
      </c>
      <c r="D9526">
        <v>32</v>
      </c>
      <c r="E9526" t="s">
        <v>17</v>
      </c>
      <c r="F9526">
        <v>24.43</v>
      </c>
      <c r="G9526">
        <v>19.13</v>
      </c>
      <c r="H9526" t="s">
        <v>17</v>
      </c>
      <c r="I9526" t="str">
        <f>"061111001228"</f>
        <v>061111001228</v>
      </c>
    </row>
    <row r="9527" spans="1:9" x14ac:dyDescent="0.25">
      <c r="A9527" t="s">
        <v>8296</v>
      </c>
      <c r="B9527" t="s">
        <v>13</v>
      </c>
      <c r="C9527">
        <v>30.2</v>
      </c>
      <c r="D9527">
        <v>38</v>
      </c>
      <c r="E9527" t="s">
        <v>17</v>
      </c>
      <c r="F9527">
        <v>23.58</v>
      </c>
      <c r="G9527">
        <v>17.579999999999998</v>
      </c>
      <c r="H9527" t="s">
        <v>17</v>
      </c>
      <c r="I9527" t="str">
        <f>"064140006847"</f>
        <v>064140006847</v>
      </c>
    </row>
    <row r="9528" spans="1:9" x14ac:dyDescent="0.25">
      <c r="A9528" t="s">
        <v>8296</v>
      </c>
      <c r="B9528" t="s">
        <v>13</v>
      </c>
      <c r="C9528">
        <v>42</v>
      </c>
      <c r="D9528">
        <v>40.75</v>
      </c>
      <c r="E9528" t="s">
        <v>17</v>
      </c>
      <c r="F9528">
        <v>24.45</v>
      </c>
      <c r="G9528">
        <v>24.93</v>
      </c>
      <c r="H9528" t="s">
        <v>17</v>
      </c>
      <c r="I9528" t="str">
        <f>"062334003555"</f>
        <v>062334003555</v>
      </c>
    </row>
    <row r="9529" spans="1:9" x14ac:dyDescent="0.25">
      <c r="A9529" t="s">
        <v>8297</v>
      </c>
      <c r="B9529" t="s">
        <v>13</v>
      </c>
      <c r="C9529">
        <v>62.01</v>
      </c>
      <c r="D9529">
        <v>88.03</v>
      </c>
      <c r="E9529" t="s">
        <v>17</v>
      </c>
      <c r="F9529">
        <v>22.98</v>
      </c>
      <c r="G9529">
        <v>18.39</v>
      </c>
      <c r="H9529" t="s">
        <v>17</v>
      </c>
      <c r="I9529" t="str">
        <f>"062271003106"</f>
        <v>062271003106</v>
      </c>
    </row>
    <row r="9530" spans="1:9" x14ac:dyDescent="0.25">
      <c r="A9530" t="s">
        <v>8298</v>
      </c>
      <c r="B9530" t="s">
        <v>13</v>
      </c>
      <c r="C9530">
        <v>16.03</v>
      </c>
      <c r="D9530">
        <v>12.5</v>
      </c>
      <c r="E9530" t="s">
        <v>17</v>
      </c>
      <c r="F9530">
        <v>25.76</v>
      </c>
      <c r="G9530">
        <v>26.24</v>
      </c>
      <c r="H9530" t="s">
        <v>17</v>
      </c>
      <c r="I9530" t="str">
        <f>"063462005786"</f>
        <v>063462005786</v>
      </c>
    </row>
    <row r="9531" spans="1:9" x14ac:dyDescent="0.25">
      <c r="A9531" t="s">
        <v>8299</v>
      </c>
      <c r="B9531" t="s">
        <v>13</v>
      </c>
      <c r="C9531">
        <v>22.8</v>
      </c>
      <c r="D9531">
        <v>23</v>
      </c>
      <c r="E9531" t="s">
        <v>17</v>
      </c>
      <c r="F9531">
        <v>27.28</v>
      </c>
      <c r="G9531">
        <v>28.17</v>
      </c>
      <c r="H9531" t="s">
        <v>17</v>
      </c>
      <c r="I9531" t="str">
        <f>"061970010781"</f>
        <v>061970010781</v>
      </c>
    </row>
    <row r="9532" spans="1:9" x14ac:dyDescent="0.25">
      <c r="A9532" t="s">
        <v>8300</v>
      </c>
      <c r="B9532" t="s">
        <v>13</v>
      </c>
      <c r="C9532">
        <v>19.5</v>
      </c>
      <c r="D9532">
        <v>19.5</v>
      </c>
      <c r="E9532" t="s">
        <v>17</v>
      </c>
      <c r="F9532">
        <v>26.92</v>
      </c>
      <c r="G9532">
        <v>25.79</v>
      </c>
      <c r="H9532" t="s">
        <v>17</v>
      </c>
      <c r="I9532" t="str">
        <f>"060342000262"</f>
        <v>060342000262</v>
      </c>
    </row>
    <row r="9533" spans="1:9" x14ac:dyDescent="0.25">
      <c r="A9533" t="s">
        <v>8301</v>
      </c>
      <c r="B9533" t="s">
        <v>13</v>
      </c>
      <c r="C9533">
        <v>23.52</v>
      </c>
      <c r="D9533">
        <v>20.9</v>
      </c>
      <c r="E9533" t="s">
        <v>17</v>
      </c>
      <c r="F9533">
        <v>17.77</v>
      </c>
      <c r="G9533">
        <v>19.71</v>
      </c>
      <c r="H9533" t="s">
        <v>17</v>
      </c>
      <c r="I9533" t="str">
        <f>"060231000120"</f>
        <v>060231000120</v>
      </c>
    </row>
    <row r="9534" spans="1:9" x14ac:dyDescent="0.25">
      <c r="A9534" t="s">
        <v>8302</v>
      </c>
      <c r="B9534" t="s">
        <v>13</v>
      </c>
      <c r="C9534">
        <v>19.100000000000001</v>
      </c>
      <c r="D9534">
        <v>16.100000000000001</v>
      </c>
      <c r="E9534" t="s">
        <v>17</v>
      </c>
      <c r="F9534">
        <v>24.87</v>
      </c>
      <c r="G9534">
        <v>27.08</v>
      </c>
      <c r="H9534" t="s">
        <v>17</v>
      </c>
      <c r="I9534" t="str">
        <f>"060994001083"</f>
        <v>060994001083</v>
      </c>
    </row>
    <row r="9535" spans="1:9" x14ac:dyDescent="0.25">
      <c r="A9535" t="s">
        <v>8303</v>
      </c>
      <c r="B9535" t="s">
        <v>13</v>
      </c>
      <c r="C9535">
        <v>19.149999999999999</v>
      </c>
      <c r="D9535">
        <v>21.15</v>
      </c>
      <c r="E9535" t="s">
        <v>17</v>
      </c>
      <c r="F9535">
        <v>28.25</v>
      </c>
      <c r="G9535">
        <v>23.64</v>
      </c>
      <c r="H9535" t="s">
        <v>17</v>
      </c>
      <c r="I9535" t="str">
        <f>"061488001869"</f>
        <v>061488001869</v>
      </c>
    </row>
    <row r="9536" spans="1:9" x14ac:dyDescent="0.25">
      <c r="A9536" t="s">
        <v>8304</v>
      </c>
      <c r="B9536" t="s">
        <v>13</v>
      </c>
      <c r="C9536">
        <v>29.51</v>
      </c>
      <c r="D9536">
        <v>29.5</v>
      </c>
      <c r="E9536" t="s">
        <v>17</v>
      </c>
      <c r="F9536">
        <v>22.37</v>
      </c>
      <c r="G9536">
        <v>21.8</v>
      </c>
      <c r="H9536" t="s">
        <v>17</v>
      </c>
      <c r="I9536" t="str">
        <f>"061887002281"</f>
        <v>061887002281</v>
      </c>
    </row>
    <row r="9537" spans="1:9" x14ac:dyDescent="0.25">
      <c r="A9537" t="s">
        <v>8305</v>
      </c>
      <c r="B9537" t="s">
        <v>13</v>
      </c>
      <c r="C9537">
        <v>11</v>
      </c>
      <c r="D9537">
        <v>10.02</v>
      </c>
      <c r="E9537" t="s">
        <v>17</v>
      </c>
      <c r="F9537">
        <v>17.73</v>
      </c>
      <c r="G9537">
        <v>17.96</v>
      </c>
      <c r="H9537" t="s">
        <v>17</v>
      </c>
      <c r="I9537" t="str">
        <f>"062271003397"</f>
        <v>062271003397</v>
      </c>
    </row>
    <row r="9538" spans="1:9" x14ac:dyDescent="0.25">
      <c r="A9538" t="s">
        <v>8306</v>
      </c>
      <c r="B9538" t="s">
        <v>13</v>
      </c>
      <c r="C9538">
        <v>32.6</v>
      </c>
      <c r="D9538">
        <v>31.2</v>
      </c>
      <c r="E9538" t="s">
        <v>17</v>
      </c>
      <c r="F9538">
        <v>25.34</v>
      </c>
      <c r="G9538">
        <v>23.81</v>
      </c>
      <c r="H9538" t="s">
        <v>17</v>
      </c>
      <c r="I9538" t="str">
        <f>"062450009401"</f>
        <v>062450009401</v>
      </c>
    </row>
    <row r="9539" spans="1:9" x14ac:dyDescent="0.25">
      <c r="A9539" t="s">
        <v>8307</v>
      </c>
      <c r="B9539" t="s">
        <v>13</v>
      </c>
      <c r="C9539">
        <v>44.98</v>
      </c>
      <c r="D9539">
        <v>42.67</v>
      </c>
      <c r="E9539" t="s">
        <v>17</v>
      </c>
      <c r="F9539">
        <v>24.77</v>
      </c>
      <c r="G9539">
        <v>25.01</v>
      </c>
      <c r="H9539" t="s">
        <v>17</v>
      </c>
      <c r="I9539" t="str">
        <f>"060002008444"</f>
        <v>060002008444</v>
      </c>
    </row>
    <row r="9540" spans="1:9" x14ac:dyDescent="0.25">
      <c r="A9540" t="s">
        <v>8308</v>
      </c>
      <c r="B9540" t="s">
        <v>13</v>
      </c>
      <c r="C9540">
        <v>62.83</v>
      </c>
      <c r="D9540">
        <v>61.52</v>
      </c>
      <c r="E9540" t="s">
        <v>17</v>
      </c>
      <c r="F9540">
        <v>24.22</v>
      </c>
      <c r="G9540">
        <v>24.43</v>
      </c>
      <c r="H9540" t="s">
        <v>17</v>
      </c>
      <c r="I9540" t="str">
        <f>"062271003117"</f>
        <v>062271003117</v>
      </c>
    </row>
    <row r="9541" spans="1:9" x14ac:dyDescent="0.25">
      <c r="A9541" t="s">
        <v>8309</v>
      </c>
      <c r="B9541" t="s">
        <v>13</v>
      </c>
      <c r="C9541">
        <v>3</v>
      </c>
      <c r="D9541">
        <v>3</v>
      </c>
      <c r="E9541" t="s">
        <v>17</v>
      </c>
      <c r="F9541">
        <v>9.33</v>
      </c>
      <c r="G9541">
        <v>8.67</v>
      </c>
      <c r="H9541" t="s">
        <v>17</v>
      </c>
      <c r="I9541" t="str">
        <f>"061209001360"</f>
        <v>061209001360</v>
      </c>
    </row>
    <row r="9542" spans="1:9" x14ac:dyDescent="0.25">
      <c r="A9542" t="s">
        <v>8309</v>
      </c>
      <c r="B9542" t="s">
        <v>13</v>
      </c>
      <c r="C9542">
        <v>24</v>
      </c>
      <c r="D9542">
        <v>24.58</v>
      </c>
      <c r="E9542" t="s">
        <v>17</v>
      </c>
      <c r="F9542">
        <v>24.83</v>
      </c>
      <c r="G9542">
        <v>24.98</v>
      </c>
      <c r="H9542" t="s">
        <v>17</v>
      </c>
      <c r="I9542" t="str">
        <f>"063417005388"</f>
        <v>063417005388</v>
      </c>
    </row>
    <row r="9543" spans="1:9" x14ac:dyDescent="0.25">
      <c r="A9543" t="s">
        <v>8310</v>
      </c>
      <c r="B9543" t="s">
        <v>13</v>
      </c>
      <c r="C9543">
        <v>57.64</v>
      </c>
      <c r="D9543">
        <v>58.13</v>
      </c>
      <c r="E9543" t="s">
        <v>17</v>
      </c>
      <c r="F9543">
        <v>30.67</v>
      </c>
      <c r="G9543">
        <v>30.12</v>
      </c>
      <c r="H9543" t="s">
        <v>17</v>
      </c>
      <c r="I9543" t="str">
        <f>"060002903649"</f>
        <v>060002903649</v>
      </c>
    </row>
    <row r="9544" spans="1:9" x14ac:dyDescent="0.25">
      <c r="A9544" t="s">
        <v>8311</v>
      </c>
      <c r="B9544" t="s">
        <v>13</v>
      </c>
      <c r="C9544">
        <v>13.5</v>
      </c>
      <c r="D9544">
        <v>12</v>
      </c>
      <c r="E9544" t="s">
        <v>17</v>
      </c>
      <c r="F9544">
        <v>26.37</v>
      </c>
      <c r="G9544">
        <v>25.75</v>
      </c>
      <c r="H9544" t="s">
        <v>17</v>
      </c>
      <c r="I9544" t="str">
        <f>"060402000366"</f>
        <v>060402000366</v>
      </c>
    </row>
    <row r="9545" spans="1:9" x14ac:dyDescent="0.25">
      <c r="A9545" t="s">
        <v>8312</v>
      </c>
      <c r="B9545" t="s">
        <v>13</v>
      </c>
      <c r="C9545">
        <v>15</v>
      </c>
      <c r="D9545">
        <v>15</v>
      </c>
      <c r="E9545" t="s">
        <v>17</v>
      </c>
      <c r="F9545">
        <v>26.07</v>
      </c>
      <c r="G9545">
        <v>26</v>
      </c>
      <c r="H9545" t="s">
        <v>17</v>
      </c>
      <c r="I9545" t="str">
        <f>"062805004318"</f>
        <v>062805004318</v>
      </c>
    </row>
    <row r="9546" spans="1:9" x14ac:dyDescent="0.25">
      <c r="A9546" t="s">
        <v>8313</v>
      </c>
      <c r="B9546" t="s">
        <v>13</v>
      </c>
      <c r="C9546">
        <v>11</v>
      </c>
      <c r="D9546">
        <v>13</v>
      </c>
      <c r="E9546" t="s">
        <v>17</v>
      </c>
      <c r="F9546">
        <v>16.09</v>
      </c>
      <c r="G9546">
        <v>15.62</v>
      </c>
      <c r="H9546" t="s">
        <v>17</v>
      </c>
      <c r="I9546" t="str">
        <f>"061893001427"</f>
        <v>061893001427</v>
      </c>
    </row>
    <row r="9547" spans="1:9" x14ac:dyDescent="0.25">
      <c r="A9547" t="s">
        <v>8314</v>
      </c>
      <c r="B9547" t="s">
        <v>13</v>
      </c>
      <c r="C9547">
        <v>39.96</v>
      </c>
      <c r="D9547">
        <v>38.700000000000003</v>
      </c>
      <c r="E9547" t="s">
        <v>17</v>
      </c>
      <c r="F9547">
        <v>25.98</v>
      </c>
      <c r="G9547">
        <v>26.1</v>
      </c>
      <c r="H9547" t="s">
        <v>17</v>
      </c>
      <c r="I9547" t="str">
        <f>"061440001687"</f>
        <v>061440001687</v>
      </c>
    </row>
    <row r="9548" spans="1:9" x14ac:dyDescent="0.25">
      <c r="A9548" t="s">
        <v>8315</v>
      </c>
      <c r="B9548" t="s">
        <v>13</v>
      </c>
      <c r="C9548">
        <v>19.2</v>
      </c>
      <c r="D9548">
        <v>19.2</v>
      </c>
      <c r="E9548" t="s">
        <v>17</v>
      </c>
      <c r="F9548">
        <v>23.44</v>
      </c>
      <c r="G9548">
        <v>22.45</v>
      </c>
      <c r="H9548" t="s">
        <v>17</v>
      </c>
      <c r="I9548" t="str">
        <f>"060474000450"</f>
        <v>060474000450</v>
      </c>
    </row>
    <row r="9549" spans="1:9" x14ac:dyDescent="0.25">
      <c r="A9549" t="s">
        <v>8316</v>
      </c>
      <c r="B9549" t="s">
        <v>13</v>
      </c>
      <c r="C9549">
        <v>101.73</v>
      </c>
      <c r="D9549">
        <v>101.06</v>
      </c>
      <c r="E9549" t="s">
        <v>17</v>
      </c>
      <c r="F9549">
        <v>24.12</v>
      </c>
      <c r="G9549">
        <v>23.99</v>
      </c>
      <c r="H9549" t="s">
        <v>17</v>
      </c>
      <c r="I9549" t="str">
        <f>"060964001024"</f>
        <v>060964001024</v>
      </c>
    </row>
    <row r="9550" spans="1:9" x14ac:dyDescent="0.25">
      <c r="A9550" t="s">
        <v>8317</v>
      </c>
      <c r="B9550" t="s">
        <v>13</v>
      </c>
      <c r="C9550">
        <v>25</v>
      </c>
      <c r="D9550">
        <v>25.2</v>
      </c>
      <c r="E9550" t="s">
        <v>17</v>
      </c>
      <c r="F9550">
        <v>25.84</v>
      </c>
      <c r="G9550">
        <v>25.99</v>
      </c>
      <c r="H9550" t="s">
        <v>17</v>
      </c>
      <c r="I9550" t="str">
        <f>"060429010579"</f>
        <v>060429010579</v>
      </c>
    </row>
    <row r="9551" spans="1:9" x14ac:dyDescent="0.25">
      <c r="A9551" t="s">
        <v>8318</v>
      </c>
      <c r="B9551" t="s">
        <v>13</v>
      </c>
      <c r="C9551">
        <v>4</v>
      </c>
      <c r="D9551">
        <v>3</v>
      </c>
      <c r="E9551" t="s">
        <v>14</v>
      </c>
      <c r="F9551">
        <v>24.75</v>
      </c>
      <c r="G9551">
        <v>23</v>
      </c>
      <c r="H9551" t="s">
        <v>14</v>
      </c>
      <c r="I9551" t="str">
        <f>"061407012818"</f>
        <v>061407012818</v>
      </c>
    </row>
    <row r="9552" spans="1:9" x14ac:dyDescent="0.25">
      <c r="A9552" t="s">
        <v>8319</v>
      </c>
      <c r="B9552" t="s">
        <v>13</v>
      </c>
      <c r="C9552">
        <v>6.45</v>
      </c>
      <c r="D9552">
        <v>7.18</v>
      </c>
      <c r="E9552" t="s">
        <v>17</v>
      </c>
      <c r="F9552">
        <v>22.02</v>
      </c>
      <c r="G9552">
        <v>19.22</v>
      </c>
      <c r="H9552" t="s">
        <v>17</v>
      </c>
      <c r="I9552" t="str">
        <f>"063921006547"</f>
        <v>063921006547</v>
      </c>
    </row>
    <row r="9553" spans="1:9" x14ac:dyDescent="0.25">
      <c r="A9553" t="s">
        <v>8320</v>
      </c>
      <c r="B9553" t="s">
        <v>13</v>
      </c>
      <c r="C9553" t="str">
        <f>"0.60"</f>
        <v>0.60</v>
      </c>
      <c r="D9553" t="str">
        <f>"0.50"</f>
        <v>0.50</v>
      </c>
      <c r="E9553" t="s">
        <v>17</v>
      </c>
      <c r="F9553">
        <v>15</v>
      </c>
      <c r="G9553">
        <v>16</v>
      </c>
      <c r="H9553" t="s">
        <v>17</v>
      </c>
      <c r="I9553" t="str">
        <f>"061178006769"</f>
        <v>061178006769</v>
      </c>
    </row>
    <row r="9554" spans="1:9" x14ac:dyDescent="0.25">
      <c r="A9554" t="s">
        <v>8321</v>
      </c>
      <c r="B9554" t="s">
        <v>13</v>
      </c>
      <c r="C9554">
        <v>2</v>
      </c>
      <c r="D9554">
        <v>1</v>
      </c>
      <c r="E9554" t="s">
        <v>17</v>
      </c>
      <c r="F9554">
        <v>8</v>
      </c>
      <c r="G9554">
        <v>25</v>
      </c>
      <c r="H9554" t="s">
        <v>17</v>
      </c>
      <c r="I9554" t="str">
        <f>"060962007149"</f>
        <v>060962007149</v>
      </c>
    </row>
    <row r="9555" spans="1:9" x14ac:dyDescent="0.25">
      <c r="A9555" t="s">
        <v>8322</v>
      </c>
      <c r="B9555" t="s">
        <v>13</v>
      </c>
      <c r="C9555">
        <v>9</v>
      </c>
      <c r="D9555">
        <v>5</v>
      </c>
      <c r="E9555" t="s">
        <v>17</v>
      </c>
      <c r="F9555">
        <v>17.78</v>
      </c>
      <c r="G9555">
        <v>34.4</v>
      </c>
      <c r="H9555" t="s">
        <v>17</v>
      </c>
      <c r="I9555" t="str">
        <f>"062271011870"</f>
        <v>062271011870</v>
      </c>
    </row>
    <row r="9556" spans="1:9" x14ac:dyDescent="0.25">
      <c r="A9556" t="s">
        <v>8323</v>
      </c>
      <c r="B9556" t="s">
        <v>13</v>
      </c>
      <c r="C9556">
        <v>21</v>
      </c>
      <c r="D9556">
        <v>23</v>
      </c>
      <c r="E9556" t="s">
        <v>17</v>
      </c>
      <c r="F9556">
        <v>30.38</v>
      </c>
      <c r="G9556">
        <v>28.96</v>
      </c>
      <c r="H9556" t="s">
        <v>17</v>
      </c>
      <c r="I9556" t="str">
        <f>"062316010901"</f>
        <v>062316010901</v>
      </c>
    </row>
    <row r="9557" spans="1:9" x14ac:dyDescent="0.25">
      <c r="A9557" t="s">
        <v>8323</v>
      </c>
      <c r="B9557" t="s">
        <v>13</v>
      </c>
      <c r="C9557">
        <v>25.5</v>
      </c>
      <c r="D9557">
        <v>24</v>
      </c>
      <c r="E9557" t="s">
        <v>17</v>
      </c>
      <c r="F9557">
        <v>26.78</v>
      </c>
      <c r="G9557">
        <v>28.67</v>
      </c>
      <c r="H9557" t="s">
        <v>17</v>
      </c>
      <c r="I9557" t="str">
        <f>"062922011374"</f>
        <v>062922011374</v>
      </c>
    </row>
    <row r="9558" spans="1:9" x14ac:dyDescent="0.25">
      <c r="A9558" t="s">
        <v>8324</v>
      </c>
      <c r="B9558" t="s">
        <v>13</v>
      </c>
      <c r="C9558">
        <v>32</v>
      </c>
      <c r="D9558">
        <v>31.6</v>
      </c>
      <c r="E9558" t="s">
        <v>17</v>
      </c>
      <c r="F9558">
        <v>24.19</v>
      </c>
      <c r="G9558">
        <v>22.91</v>
      </c>
      <c r="H9558" t="s">
        <v>17</v>
      </c>
      <c r="I9558" t="str">
        <f>"062037002455"</f>
        <v>062037002455</v>
      </c>
    </row>
    <row r="9559" spans="1:9" x14ac:dyDescent="0.25">
      <c r="A9559" t="s">
        <v>8325</v>
      </c>
      <c r="B9559" t="s">
        <v>13</v>
      </c>
      <c r="C9559">
        <v>16</v>
      </c>
      <c r="D9559">
        <v>15</v>
      </c>
      <c r="E9559" t="s">
        <v>17</v>
      </c>
      <c r="F9559">
        <v>23.81</v>
      </c>
      <c r="G9559">
        <v>22.47</v>
      </c>
      <c r="H9559" t="s">
        <v>17</v>
      </c>
      <c r="I9559" t="str">
        <f>"060962000996"</f>
        <v>060962000996</v>
      </c>
    </row>
    <row r="9560" spans="1:9" x14ac:dyDescent="0.25">
      <c r="A9560" t="s">
        <v>8326</v>
      </c>
      <c r="B9560" t="s">
        <v>13</v>
      </c>
      <c r="C9560" t="s">
        <v>17</v>
      </c>
      <c r="D9560" t="s">
        <v>14</v>
      </c>
      <c r="E9560" t="s">
        <v>14</v>
      </c>
      <c r="F9560" t="s">
        <v>17</v>
      </c>
      <c r="G9560" t="s">
        <v>14</v>
      </c>
      <c r="H9560" t="s">
        <v>14</v>
      </c>
      <c r="I9560" t="str">
        <f>"060195013182"</f>
        <v>060195013182</v>
      </c>
    </row>
    <row r="9561" spans="1:9" x14ac:dyDescent="0.25">
      <c r="A9561" t="s">
        <v>8327</v>
      </c>
      <c r="B9561" t="s">
        <v>13</v>
      </c>
      <c r="C9561">
        <v>22</v>
      </c>
      <c r="D9561">
        <v>24</v>
      </c>
      <c r="E9561" t="s">
        <v>17</v>
      </c>
      <c r="F9561">
        <v>20.73</v>
      </c>
      <c r="G9561">
        <v>20.13</v>
      </c>
      <c r="H9561" t="s">
        <v>17</v>
      </c>
      <c r="I9561" t="str">
        <f>"063682011743"</f>
        <v>063682011743</v>
      </c>
    </row>
    <row r="9562" spans="1:9" x14ac:dyDescent="0.25">
      <c r="A9562" t="s">
        <v>8328</v>
      </c>
      <c r="B9562" t="s">
        <v>13</v>
      </c>
      <c r="C9562">
        <v>33.01</v>
      </c>
      <c r="D9562">
        <v>37</v>
      </c>
      <c r="E9562" t="s">
        <v>17</v>
      </c>
      <c r="F9562">
        <v>23.72</v>
      </c>
      <c r="G9562">
        <v>21.54</v>
      </c>
      <c r="H9562" t="s">
        <v>17</v>
      </c>
      <c r="I9562" t="str">
        <f>"061191007108"</f>
        <v>061191007108</v>
      </c>
    </row>
    <row r="9563" spans="1:9" x14ac:dyDescent="0.25">
      <c r="A9563" t="s">
        <v>8328</v>
      </c>
      <c r="B9563" t="s">
        <v>13</v>
      </c>
      <c r="C9563">
        <v>18</v>
      </c>
      <c r="D9563">
        <v>18</v>
      </c>
      <c r="E9563" t="s">
        <v>17</v>
      </c>
      <c r="F9563">
        <v>25.72</v>
      </c>
      <c r="G9563">
        <v>25.89</v>
      </c>
      <c r="H9563" t="s">
        <v>17</v>
      </c>
      <c r="I9563" t="str">
        <f>"063153004897"</f>
        <v>063153004897</v>
      </c>
    </row>
    <row r="9564" spans="1:9" x14ac:dyDescent="0.25">
      <c r="A9564" t="s">
        <v>8329</v>
      </c>
      <c r="B9564" t="s">
        <v>13</v>
      </c>
      <c r="C9564">
        <v>34.31</v>
      </c>
      <c r="D9564">
        <v>32.79</v>
      </c>
      <c r="E9564" t="s">
        <v>17</v>
      </c>
      <c r="F9564">
        <v>22.33</v>
      </c>
      <c r="G9564">
        <v>22.11</v>
      </c>
      <c r="H9564" t="s">
        <v>17</v>
      </c>
      <c r="I9564" t="str">
        <f>"064347007039"</f>
        <v>064347007039</v>
      </c>
    </row>
    <row r="9565" spans="1:9" x14ac:dyDescent="0.25">
      <c r="A9565" t="s">
        <v>8330</v>
      </c>
      <c r="B9565" t="s">
        <v>13</v>
      </c>
      <c r="C9565">
        <v>15.37</v>
      </c>
      <c r="D9565">
        <v>12.86</v>
      </c>
      <c r="E9565" t="s">
        <v>14</v>
      </c>
      <c r="F9565">
        <v>20.170000000000002</v>
      </c>
      <c r="G9565">
        <v>20.45</v>
      </c>
      <c r="H9565" t="s">
        <v>14</v>
      </c>
      <c r="I9565" t="str">
        <f>"061954013031"</f>
        <v>061954013031</v>
      </c>
    </row>
    <row r="9566" spans="1:9" x14ac:dyDescent="0.25">
      <c r="A9566" t="s">
        <v>8331</v>
      </c>
      <c r="B9566" t="s">
        <v>13</v>
      </c>
      <c r="C9566">
        <v>22.5</v>
      </c>
      <c r="D9566">
        <v>23.69</v>
      </c>
      <c r="E9566" t="s">
        <v>17</v>
      </c>
      <c r="F9566">
        <v>23.69</v>
      </c>
      <c r="G9566">
        <v>25.24</v>
      </c>
      <c r="H9566" t="s">
        <v>17</v>
      </c>
      <c r="I9566" t="str">
        <f>"062079002498"</f>
        <v>062079002498</v>
      </c>
    </row>
    <row r="9567" spans="1:9" x14ac:dyDescent="0.25">
      <c r="A9567" t="s">
        <v>8332</v>
      </c>
      <c r="B9567" t="s">
        <v>13</v>
      </c>
      <c r="C9567">
        <v>25.05</v>
      </c>
      <c r="D9567">
        <v>26.22</v>
      </c>
      <c r="E9567" t="s">
        <v>17</v>
      </c>
      <c r="F9567">
        <v>25.39</v>
      </c>
      <c r="G9567">
        <v>24.71</v>
      </c>
      <c r="H9567" t="s">
        <v>17</v>
      </c>
      <c r="I9567" t="str">
        <f>"063099004311"</f>
        <v>063099004311</v>
      </c>
    </row>
    <row r="9568" spans="1:9" x14ac:dyDescent="0.25">
      <c r="A9568" t="s">
        <v>8333</v>
      </c>
      <c r="B9568" t="s">
        <v>13</v>
      </c>
      <c r="C9568">
        <v>26</v>
      </c>
      <c r="D9568">
        <v>25.2</v>
      </c>
      <c r="E9568" t="s">
        <v>17</v>
      </c>
      <c r="F9568">
        <v>22.62</v>
      </c>
      <c r="G9568">
        <v>23.65</v>
      </c>
      <c r="H9568" t="s">
        <v>17</v>
      </c>
      <c r="I9568" t="str">
        <f>"063429008627"</f>
        <v>063429008627</v>
      </c>
    </row>
    <row r="9569" spans="1:9" x14ac:dyDescent="0.25">
      <c r="A9569" t="s">
        <v>8334</v>
      </c>
      <c r="B9569" t="s">
        <v>13</v>
      </c>
      <c r="C9569">
        <v>6</v>
      </c>
      <c r="D9569">
        <v>6.38</v>
      </c>
      <c r="E9569" t="s">
        <v>17</v>
      </c>
      <c r="F9569">
        <v>24.83</v>
      </c>
      <c r="G9569">
        <v>23.2</v>
      </c>
      <c r="H9569" t="s">
        <v>17</v>
      </c>
      <c r="I9569" t="str">
        <f>"062199011260"</f>
        <v>062199011260</v>
      </c>
    </row>
    <row r="9570" spans="1:9" x14ac:dyDescent="0.25">
      <c r="A9570" t="s">
        <v>8335</v>
      </c>
      <c r="B9570" t="s">
        <v>13</v>
      </c>
      <c r="C9570">
        <v>32</v>
      </c>
      <c r="D9570">
        <v>32</v>
      </c>
      <c r="E9570" t="s">
        <v>17</v>
      </c>
      <c r="F9570">
        <v>22.69</v>
      </c>
      <c r="G9570">
        <v>22.97</v>
      </c>
      <c r="H9570" t="s">
        <v>17</v>
      </c>
      <c r="I9570" t="str">
        <f>"062817004355"</f>
        <v>062817004355</v>
      </c>
    </row>
    <row r="9571" spans="1:9" x14ac:dyDescent="0.25">
      <c r="A9571" t="s">
        <v>8336</v>
      </c>
      <c r="B9571" t="s">
        <v>13</v>
      </c>
      <c r="C9571">
        <v>24</v>
      </c>
      <c r="D9571">
        <v>22.5</v>
      </c>
      <c r="E9571" t="s">
        <v>17</v>
      </c>
      <c r="F9571">
        <v>20</v>
      </c>
      <c r="G9571">
        <v>21.96</v>
      </c>
      <c r="H9571" t="s">
        <v>17</v>
      </c>
      <c r="I9571" t="str">
        <f>"063432005559"</f>
        <v>063432005559</v>
      </c>
    </row>
    <row r="9572" spans="1:9" x14ac:dyDescent="0.25">
      <c r="A9572" t="s">
        <v>8337</v>
      </c>
      <c r="B9572" t="s">
        <v>13</v>
      </c>
      <c r="C9572">
        <v>29</v>
      </c>
      <c r="D9572">
        <v>26</v>
      </c>
      <c r="E9572" t="s">
        <v>17</v>
      </c>
      <c r="F9572">
        <v>21.21</v>
      </c>
      <c r="G9572">
        <v>20.27</v>
      </c>
      <c r="H9572" t="s">
        <v>17</v>
      </c>
      <c r="I9572" t="str">
        <f>"060861000879"</f>
        <v>060861000879</v>
      </c>
    </row>
    <row r="9573" spans="1:9" x14ac:dyDescent="0.25">
      <c r="A9573" t="s">
        <v>8338</v>
      </c>
      <c r="B9573" t="s">
        <v>13</v>
      </c>
      <c r="C9573">
        <v>15.43</v>
      </c>
      <c r="D9573">
        <v>20.55</v>
      </c>
      <c r="E9573" t="s">
        <v>17</v>
      </c>
      <c r="F9573">
        <v>30.78</v>
      </c>
      <c r="G9573">
        <v>25.84</v>
      </c>
      <c r="H9573" t="s">
        <v>17</v>
      </c>
      <c r="I9573" t="str">
        <f>"060744008541"</f>
        <v>060744008541</v>
      </c>
    </row>
    <row r="9574" spans="1:9" x14ac:dyDescent="0.25">
      <c r="A9574" t="s">
        <v>8339</v>
      </c>
      <c r="B9574" t="s">
        <v>13</v>
      </c>
      <c r="C9574">
        <v>20</v>
      </c>
      <c r="D9574">
        <v>20.5</v>
      </c>
      <c r="E9574" t="s">
        <v>17</v>
      </c>
      <c r="F9574">
        <v>28.35</v>
      </c>
      <c r="G9574">
        <v>27.37</v>
      </c>
      <c r="H9574" t="s">
        <v>17</v>
      </c>
      <c r="I9574" t="str">
        <f>"060675010475"</f>
        <v>060675010475</v>
      </c>
    </row>
    <row r="9575" spans="1:9" x14ac:dyDescent="0.25">
      <c r="A9575" t="s">
        <v>8340</v>
      </c>
      <c r="B9575" t="s">
        <v>13</v>
      </c>
      <c r="C9575">
        <v>38.549999999999997</v>
      </c>
      <c r="D9575">
        <v>39.82</v>
      </c>
      <c r="E9575" t="s">
        <v>17</v>
      </c>
      <c r="F9575">
        <v>24.95</v>
      </c>
      <c r="G9575">
        <v>27.8</v>
      </c>
      <c r="H9575" t="s">
        <v>17</v>
      </c>
      <c r="I9575" t="str">
        <f>"062250002762"</f>
        <v>062250002762</v>
      </c>
    </row>
    <row r="9576" spans="1:9" x14ac:dyDescent="0.25">
      <c r="A9576" t="s">
        <v>8341</v>
      </c>
      <c r="B9576" t="s">
        <v>13</v>
      </c>
      <c r="C9576">
        <v>1</v>
      </c>
      <c r="D9576">
        <v>1</v>
      </c>
      <c r="E9576" t="s">
        <v>17</v>
      </c>
      <c r="F9576">
        <v>1</v>
      </c>
      <c r="G9576">
        <v>1</v>
      </c>
      <c r="H9576" t="s">
        <v>17</v>
      </c>
      <c r="I9576" t="str">
        <f>"069105210967"</f>
        <v>069105210967</v>
      </c>
    </row>
    <row r="9577" spans="1:9" x14ac:dyDescent="0.25">
      <c r="A9577" t="s">
        <v>8342</v>
      </c>
      <c r="B9577" t="s">
        <v>13</v>
      </c>
      <c r="C9577">
        <v>5.61</v>
      </c>
      <c r="D9577">
        <v>7.09</v>
      </c>
      <c r="E9577" t="s">
        <v>17</v>
      </c>
      <c r="F9577">
        <v>13.37</v>
      </c>
      <c r="G9577">
        <v>10.86</v>
      </c>
      <c r="H9577" t="s">
        <v>17</v>
      </c>
      <c r="I9577" t="str">
        <f>"069113710339"</f>
        <v>069113710339</v>
      </c>
    </row>
    <row r="9578" spans="1:9" x14ac:dyDescent="0.25">
      <c r="A9578" t="s">
        <v>8343</v>
      </c>
      <c r="B9578" t="s">
        <v>13</v>
      </c>
      <c r="C9578">
        <v>34.01</v>
      </c>
      <c r="D9578">
        <v>35.799999999999997</v>
      </c>
      <c r="E9578" t="s">
        <v>17</v>
      </c>
      <c r="F9578">
        <v>23.99</v>
      </c>
      <c r="G9578">
        <v>21.26</v>
      </c>
      <c r="H9578" t="s">
        <v>17</v>
      </c>
      <c r="I9578" t="str">
        <f>"061455001773"</f>
        <v>061455001773</v>
      </c>
    </row>
    <row r="9579" spans="1:9" x14ac:dyDescent="0.25">
      <c r="A9579" t="s">
        <v>8344</v>
      </c>
      <c r="B9579" t="s">
        <v>13</v>
      </c>
      <c r="C9579">
        <v>27.7</v>
      </c>
      <c r="D9579">
        <v>30.5</v>
      </c>
      <c r="E9579" t="s">
        <v>17</v>
      </c>
      <c r="F9579">
        <v>21.91</v>
      </c>
      <c r="G9579">
        <v>20.56</v>
      </c>
      <c r="H9579" t="s">
        <v>17</v>
      </c>
      <c r="I9579" t="str">
        <f>"063930006548"</f>
        <v>063930006548</v>
      </c>
    </row>
    <row r="9580" spans="1:9" x14ac:dyDescent="0.25">
      <c r="A9580" t="s">
        <v>8345</v>
      </c>
      <c r="B9580" t="s">
        <v>13</v>
      </c>
      <c r="C9580">
        <v>57.2</v>
      </c>
      <c r="D9580">
        <v>57</v>
      </c>
      <c r="E9580" t="s">
        <v>17</v>
      </c>
      <c r="F9580">
        <v>24.27</v>
      </c>
      <c r="G9580">
        <v>26.61</v>
      </c>
      <c r="H9580" t="s">
        <v>17</v>
      </c>
      <c r="I9580" t="str">
        <f>"061233010594"</f>
        <v>061233010594</v>
      </c>
    </row>
    <row r="9581" spans="1:9" x14ac:dyDescent="0.25">
      <c r="A9581" t="s">
        <v>8346</v>
      </c>
      <c r="B9581" t="s">
        <v>13</v>
      </c>
      <c r="C9581">
        <v>36.5</v>
      </c>
      <c r="D9581">
        <v>34.17</v>
      </c>
      <c r="E9581" t="s">
        <v>17</v>
      </c>
      <c r="F9581">
        <v>18.63</v>
      </c>
      <c r="G9581">
        <v>17.71</v>
      </c>
      <c r="H9581" t="s">
        <v>17</v>
      </c>
      <c r="I9581" t="str">
        <f>"060140711336"</f>
        <v>060140711336</v>
      </c>
    </row>
    <row r="9582" spans="1:9" x14ac:dyDescent="0.25">
      <c r="A9582" t="s">
        <v>8347</v>
      </c>
      <c r="B9582" t="s">
        <v>13</v>
      </c>
      <c r="C9582">
        <v>9.5</v>
      </c>
      <c r="D9582">
        <v>8.5</v>
      </c>
      <c r="E9582" t="s">
        <v>17</v>
      </c>
      <c r="F9582">
        <v>19.79</v>
      </c>
      <c r="G9582">
        <v>16.350000000000001</v>
      </c>
      <c r="H9582" t="s">
        <v>17</v>
      </c>
      <c r="I9582" t="str">
        <f>"061839012416"</f>
        <v>061839012416</v>
      </c>
    </row>
    <row r="9583" spans="1:9" x14ac:dyDescent="0.25">
      <c r="A9583" t="s">
        <v>8348</v>
      </c>
      <c r="B9583" t="s">
        <v>13</v>
      </c>
      <c r="C9583" t="s">
        <v>14</v>
      </c>
      <c r="D9583">
        <v>12</v>
      </c>
      <c r="E9583" t="s">
        <v>17</v>
      </c>
      <c r="F9583" t="s">
        <v>14</v>
      </c>
      <c r="G9583">
        <v>26.58</v>
      </c>
      <c r="H9583" t="s">
        <v>17</v>
      </c>
      <c r="I9583" t="str">
        <f>"063333005172"</f>
        <v>063333005172</v>
      </c>
    </row>
    <row r="9584" spans="1:9" x14ac:dyDescent="0.25">
      <c r="A9584" t="s">
        <v>8348</v>
      </c>
      <c r="B9584" t="s">
        <v>13</v>
      </c>
      <c r="C9584" t="s">
        <v>17</v>
      </c>
      <c r="D9584" t="s">
        <v>14</v>
      </c>
      <c r="E9584" t="s">
        <v>14</v>
      </c>
      <c r="F9584" t="s">
        <v>17</v>
      </c>
      <c r="G9584" t="s">
        <v>14</v>
      </c>
      <c r="H9584" t="s">
        <v>14</v>
      </c>
      <c r="I9584" t="str">
        <f>"060142005172"</f>
        <v>060142005172</v>
      </c>
    </row>
    <row r="9585" spans="1:9" x14ac:dyDescent="0.25">
      <c r="A9585" t="s">
        <v>8349</v>
      </c>
      <c r="B9585" t="s">
        <v>13</v>
      </c>
      <c r="C9585">
        <v>4.9000000000000004</v>
      </c>
      <c r="D9585">
        <v>5.15</v>
      </c>
      <c r="E9585" t="s">
        <v>17</v>
      </c>
      <c r="F9585">
        <v>17.760000000000002</v>
      </c>
      <c r="G9585">
        <v>21.36</v>
      </c>
      <c r="H9585" t="s">
        <v>17</v>
      </c>
      <c r="I9585" t="str">
        <f>"062223002664"</f>
        <v>062223002664</v>
      </c>
    </row>
    <row r="9586" spans="1:9" x14ac:dyDescent="0.25">
      <c r="A9586" t="s">
        <v>8350</v>
      </c>
      <c r="B9586" t="s">
        <v>13</v>
      </c>
      <c r="C9586">
        <v>22.67</v>
      </c>
      <c r="D9586">
        <v>24.79</v>
      </c>
      <c r="E9586" t="s">
        <v>17</v>
      </c>
      <c r="F9586">
        <v>28.23</v>
      </c>
      <c r="G9586">
        <v>27.55</v>
      </c>
      <c r="H9586" t="s">
        <v>17</v>
      </c>
      <c r="I9586" t="str">
        <f>"061392007718"</f>
        <v>061392007718</v>
      </c>
    </row>
    <row r="9587" spans="1:9" x14ac:dyDescent="0.25">
      <c r="A9587" t="s">
        <v>8351</v>
      </c>
      <c r="B9587" t="s">
        <v>13</v>
      </c>
      <c r="C9587">
        <v>90.05</v>
      </c>
      <c r="D9587">
        <v>85.6</v>
      </c>
      <c r="E9587" t="s">
        <v>17</v>
      </c>
      <c r="F9587">
        <v>22.95</v>
      </c>
      <c r="G9587">
        <v>24.54</v>
      </c>
      <c r="H9587" t="s">
        <v>17</v>
      </c>
      <c r="I9587" t="str">
        <f>"062223002665"</f>
        <v>062223002665</v>
      </c>
    </row>
    <row r="9588" spans="1:9" x14ac:dyDescent="0.25">
      <c r="A9588" t="s">
        <v>8352</v>
      </c>
      <c r="B9588" t="s">
        <v>13</v>
      </c>
      <c r="C9588">
        <v>16</v>
      </c>
      <c r="D9588">
        <v>16</v>
      </c>
      <c r="E9588" t="s">
        <v>17</v>
      </c>
      <c r="F9588">
        <v>22.81</v>
      </c>
      <c r="G9588">
        <v>22.88</v>
      </c>
      <c r="H9588" t="s">
        <v>17</v>
      </c>
      <c r="I9588" t="str">
        <f>"062271003399"</f>
        <v>062271003399</v>
      </c>
    </row>
    <row r="9589" spans="1:9" x14ac:dyDescent="0.25">
      <c r="A9589" t="s">
        <v>8353</v>
      </c>
      <c r="B9589" t="s">
        <v>13</v>
      </c>
      <c r="C9589">
        <v>24</v>
      </c>
      <c r="D9589">
        <v>20.6</v>
      </c>
      <c r="E9589" t="s">
        <v>17</v>
      </c>
      <c r="F9589">
        <v>29.96</v>
      </c>
      <c r="G9589">
        <v>32.28</v>
      </c>
      <c r="H9589" t="s">
        <v>17</v>
      </c>
      <c r="I9589" t="str">
        <f>"061336001530"</f>
        <v>061336001530</v>
      </c>
    </row>
    <row r="9590" spans="1:9" x14ac:dyDescent="0.25">
      <c r="A9590" t="s">
        <v>8354</v>
      </c>
      <c r="B9590" t="s">
        <v>13</v>
      </c>
      <c r="C9590">
        <v>12.6</v>
      </c>
      <c r="D9590">
        <v>14.6</v>
      </c>
      <c r="E9590" t="s">
        <v>17</v>
      </c>
      <c r="F9590">
        <v>19.600000000000001</v>
      </c>
      <c r="G9590">
        <v>17.600000000000001</v>
      </c>
      <c r="H9590" t="s">
        <v>17</v>
      </c>
      <c r="I9590" t="str">
        <f>"063432005560"</f>
        <v>063432005560</v>
      </c>
    </row>
    <row r="9591" spans="1:9" x14ac:dyDescent="0.25">
      <c r="A9591" t="s">
        <v>8355</v>
      </c>
      <c r="B9591" t="s">
        <v>13</v>
      </c>
      <c r="C9591">
        <v>20.5</v>
      </c>
      <c r="D9591">
        <v>19</v>
      </c>
      <c r="E9591" t="s">
        <v>17</v>
      </c>
      <c r="F9591">
        <v>21.9</v>
      </c>
      <c r="G9591">
        <v>23.11</v>
      </c>
      <c r="H9591" t="s">
        <v>17</v>
      </c>
      <c r="I9591" t="str">
        <f>"062271003400"</f>
        <v>062271003400</v>
      </c>
    </row>
    <row r="9592" spans="1:9" x14ac:dyDescent="0.25">
      <c r="A9592" t="s">
        <v>8356</v>
      </c>
      <c r="B9592" t="s">
        <v>13</v>
      </c>
      <c r="C9592">
        <v>17</v>
      </c>
      <c r="D9592">
        <v>17</v>
      </c>
      <c r="E9592" t="s">
        <v>17</v>
      </c>
      <c r="F9592">
        <v>23.18</v>
      </c>
      <c r="G9592">
        <v>23.47</v>
      </c>
      <c r="H9592" t="s">
        <v>17</v>
      </c>
      <c r="I9592" t="str">
        <f>"062271002967"</f>
        <v>062271002967</v>
      </c>
    </row>
    <row r="9593" spans="1:9" x14ac:dyDescent="0.25">
      <c r="A9593" t="s">
        <v>8357</v>
      </c>
      <c r="B9593" t="s">
        <v>13</v>
      </c>
      <c r="C9593">
        <v>36.409999999999997</v>
      </c>
      <c r="D9593">
        <v>37.5</v>
      </c>
      <c r="E9593" t="s">
        <v>17</v>
      </c>
      <c r="F9593">
        <v>21.4</v>
      </c>
      <c r="G9593">
        <v>21.12</v>
      </c>
      <c r="H9593" t="s">
        <v>17</v>
      </c>
      <c r="I9593" t="str">
        <f>"061884008615"</f>
        <v>061884008615</v>
      </c>
    </row>
    <row r="9594" spans="1:9" x14ac:dyDescent="0.25">
      <c r="A9594" t="s">
        <v>8358</v>
      </c>
      <c r="B9594" t="s">
        <v>13</v>
      </c>
      <c r="C9594">
        <v>35</v>
      </c>
      <c r="D9594">
        <v>37.700000000000003</v>
      </c>
      <c r="E9594" t="s">
        <v>17</v>
      </c>
      <c r="F9594">
        <v>25.23</v>
      </c>
      <c r="G9594">
        <v>23.29</v>
      </c>
      <c r="H9594" t="s">
        <v>17</v>
      </c>
      <c r="I9594" t="str">
        <f>"062691007480"</f>
        <v>062691007480</v>
      </c>
    </row>
    <row r="9595" spans="1:9" x14ac:dyDescent="0.25">
      <c r="A9595" t="s">
        <v>8359</v>
      </c>
      <c r="B9595" t="s">
        <v>13</v>
      </c>
      <c r="C9595">
        <v>26.4</v>
      </c>
      <c r="D9595">
        <v>27.8</v>
      </c>
      <c r="E9595" t="s">
        <v>17</v>
      </c>
      <c r="F9595">
        <v>22.46</v>
      </c>
      <c r="G9595">
        <v>21.47</v>
      </c>
      <c r="H9595" t="s">
        <v>17</v>
      </c>
      <c r="I9595" t="str">
        <f>"061440001674"</f>
        <v>061440001674</v>
      </c>
    </row>
    <row r="9596" spans="1:9" x14ac:dyDescent="0.25">
      <c r="A9596" t="s">
        <v>8360</v>
      </c>
      <c r="B9596" t="s">
        <v>13</v>
      </c>
      <c r="C9596">
        <v>34</v>
      </c>
      <c r="D9596">
        <v>35.950000000000003</v>
      </c>
      <c r="E9596" t="s">
        <v>17</v>
      </c>
      <c r="F9596">
        <v>25.35</v>
      </c>
      <c r="G9596">
        <v>25.4</v>
      </c>
      <c r="H9596" t="s">
        <v>17</v>
      </c>
      <c r="I9596" t="str">
        <f>"061314007788"</f>
        <v>061314007788</v>
      </c>
    </row>
    <row r="9597" spans="1:9" x14ac:dyDescent="0.25">
      <c r="A9597" t="s">
        <v>8361</v>
      </c>
      <c r="B9597" t="s">
        <v>13</v>
      </c>
      <c r="C9597">
        <v>14.19</v>
      </c>
      <c r="D9597">
        <v>13.7</v>
      </c>
      <c r="E9597" t="s">
        <v>17</v>
      </c>
      <c r="F9597">
        <v>13.25</v>
      </c>
      <c r="G9597">
        <v>13.87</v>
      </c>
      <c r="H9597" t="s">
        <v>17</v>
      </c>
      <c r="I9597" t="str">
        <f>"063667006216"</f>
        <v>063667006216</v>
      </c>
    </row>
    <row r="9598" spans="1:9" x14ac:dyDescent="0.25">
      <c r="A9598" t="s">
        <v>8362</v>
      </c>
      <c r="B9598" t="s">
        <v>13</v>
      </c>
      <c r="C9598">
        <v>14.4</v>
      </c>
      <c r="D9598">
        <v>16</v>
      </c>
      <c r="E9598" t="s">
        <v>17</v>
      </c>
      <c r="F9598">
        <v>12.85</v>
      </c>
      <c r="G9598">
        <v>11.75</v>
      </c>
      <c r="H9598" t="s">
        <v>17</v>
      </c>
      <c r="I9598" t="str">
        <f>"063667006217"</f>
        <v>063667006217</v>
      </c>
    </row>
    <row r="9599" spans="1:9" x14ac:dyDescent="0.25">
      <c r="A9599" t="s">
        <v>8363</v>
      </c>
      <c r="B9599" t="s">
        <v>13</v>
      </c>
      <c r="C9599">
        <v>25.15</v>
      </c>
      <c r="D9599">
        <v>25.3</v>
      </c>
      <c r="E9599" t="s">
        <v>17</v>
      </c>
      <c r="F9599">
        <v>26.8</v>
      </c>
      <c r="G9599">
        <v>26.44</v>
      </c>
      <c r="H9599" t="s">
        <v>17</v>
      </c>
      <c r="I9599" t="str">
        <f>"063315005007"</f>
        <v>063315005007</v>
      </c>
    </row>
    <row r="9600" spans="1:9" x14ac:dyDescent="0.25">
      <c r="A9600" t="s">
        <v>8364</v>
      </c>
      <c r="B9600" t="s">
        <v>13</v>
      </c>
      <c r="C9600">
        <v>39</v>
      </c>
      <c r="D9600">
        <v>40.26</v>
      </c>
      <c r="E9600" t="s">
        <v>17</v>
      </c>
      <c r="F9600">
        <v>25.44</v>
      </c>
      <c r="G9600">
        <v>24.91</v>
      </c>
      <c r="H9600" t="s">
        <v>17</v>
      </c>
      <c r="I9600" t="str">
        <f>"069113502468"</f>
        <v>069113502468</v>
      </c>
    </row>
    <row r="9601" spans="1:9" x14ac:dyDescent="0.25">
      <c r="A9601" t="s">
        <v>8365</v>
      </c>
      <c r="B9601" t="s">
        <v>13</v>
      </c>
      <c r="C9601">
        <v>26.11</v>
      </c>
      <c r="D9601">
        <v>28</v>
      </c>
      <c r="E9601" t="s">
        <v>17</v>
      </c>
      <c r="F9601">
        <v>28.19</v>
      </c>
      <c r="G9601">
        <v>25.46</v>
      </c>
      <c r="H9601" t="s">
        <v>17</v>
      </c>
      <c r="I9601" t="str">
        <f>"063888006530"</f>
        <v>063888006530</v>
      </c>
    </row>
    <row r="9602" spans="1:9" x14ac:dyDescent="0.25">
      <c r="A9602" t="s">
        <v>8366</v>
      </c>
      <c r="B9602" t="s">
        <v>13</v>
      </c>
      <c r="C9602">
        <v>30.5</v>
      </c>
      <c r="D9602">
        <v>34.5</v>
      </c>
      <c r="E9602" t="s">
        <v>17</v>
      </c>
      <c r="F9602">
        <v>28.36</v>
      </c>
      <c r="G9602">
        <v>23.91</v>
      </c>
      <c r="H9602" t="s">
        <v>17</v>
      </c>
      <c r="I9602" t="str">
        <f>"060002811043"</f>
        <v>060002811043</v>
      </c>
    </row>
    <row r="9603" spans="1:9" x14ac:dyDescent="0.25">
      <c r="A9603" t="s">
        <v>8367</v>
      </c>
      <c r="B9603" t="s">
        <v>13</v>
      </c>
      <c r="C9603">
        <v>28.2</v>
      </c>
      <c r="D9603">
        <v>27.6</v>
      </c>
      <c r="E9603" t="s">
        <v>17</v>
      </c>
      <c r="F9603">
        <v>23.87</v>
      </c>
      <c r="G9603">
        <v>23.7</v>
      </c>
      <c r="H9603" t="s">
        <v>17</v>
      </c>
      <c r="I9603" t="str">
        <f>"062037002456"</f>
        <v>062037002456</v>
      </c>
    </row>
    <row r="9604" spans="1:9" x14ac:dyDescent="0.25">
      <c r="A9604" t="s">
        <v>8368</v>
      </c>
      <c r="B9604" t="s">
        <v>13</v>
      </c>
      <c r="C9604">
        <v>17</v>
      </c>
      <c r="D9604">
        <v>16.55</v>
      </c>
      <c r="E9604" t="s">
        <v>17</v>
      </c>
      <c r="F9604">
        <v>28.29</v>
      </c>
      <c r="G9604">
        <v>28.7</v>
      </c>
      <c r="H9604" t="s">
        <v>17</v>
      </c>
      <c r="I9604" t="str">
        <f>"062827004382"</f>
        <v>062827004382</v>
      </c>
    </row>
    <row r="9605" spans="1:9" x14ac:dyDescent="0.25">
      <c r="A9605" t="s">
        <v>8369</v>
      </c>
      <c r="B9605" t="s">
        <v>13</v>
      </c>
      <c r="C9605">
        <v>13</v>
      </c>
      <c r="D9605">
        <v>12.01</v>
      </c>
      <c r="E9605" t="s">
        <v>17</v>
      </c>
      <c r="F9605">
        <v>23</v>
      </c>
      <c r="G9605">
        <v>26.81</v>
      </c>
      <c r="H9605" t="s">
        <v>17</v>
      </c>
      <c r="I9605" t="str">
        <f>"062271003401"</f>
        <v>062271003401</v>
      </c>
    </row>
    <row r="9606" spans="1:9" x14ac:dyDescent="0.25">
      <c r="A9606" t="s">
        <v>8370</v>
      </c>
      <c r="B9606" t="s">
        <v>13</v>
      </c>
      <c r="C9606">
        <v>18</v>
      </c>
      <c r="D9606">
        <v>18</v>
      </c>
      <c r="E9606" t="s">
        <v>17</v>
      </c>
      <c r="F9606">
        <v>31.17</v>
      </c>
      <c r="G9606">
        <v>30.17</v>
      </c>
      <c r="H9606" t="s">
        <v>17</v>
      </c>
      <c r="I9606" t="str">
        <f>"063066004771"</f>
        <v>063066004771</v>
      </c>
    </row>
    <row r="9607" spans="1:9" x14ac:dyDescent="0.25">
      <c r="A9607" t="s">
        <v>8371</v>
      </c>
      <c r="B9607" t="s">
        <v>13</v>
      </c>
      <c r="C9607">
        <v>26</v>
      </c>
      <c r="D9607">
        <v>25.5</v>
      </c>
      <c r="E9607" t="s">
        <v>17</v>
      </c>
      <c r="F9607">
        <v>29.5</v>
      </c>
      <c r="G9607">
        <v>26.9</v>
      </c>
      <c r="H9607" t="s">
        <v>17</v>
      </c>
      <c r="I9607" t="str">
        <f>"060001403904"</f>
        <v>060001403904</v>
      </c>
    </row>
    <row r="9608" spans="1:9" x14ac:dyDescent="0.25">
      <c r="A9608" t="s">
        <v>8372</v>
      </c>
      <c r="B9608" t="s">
        <v>13</v>
      </c>
      <c r="C9608">
        <v>19</v>
      </c>
      <c r="D9608">
        <v>22.5</v>
      </c>
      <c r="E9608" t="s">
        <v>17</v>
      </c>
      <c r="F9608">
        <v>24.95</v>
      </c>
      <c r="G9608">
        <v>26.49</v>
      </c>
      <c r="H9608" t="s">
        <v>17</v>
      </c>
      <c r="I9608" t="str">
        <f>"062271003402"</f>
        <v>062271003402</v>
      </c>
    </row>
    <row r="9609" spans="1:9" x14ac:dyDescent="0.25">
      <c r="A9609" t="s">
        <v>8373</v>
      </c>
      <c r="B9609" t="s">
        <v>13</v>
      </c>
      <c r="C9609">
        <v>31</v>
      </c>
      <c r="D9609">
        <v>33.6</v>
      </c>
      <c r="E9609" t="s">
        <v>17</v>
      </c>
      <c r="F9609">
        <v>24.65</v>
      </c>
      <c r="G9609">
        <v>23.39</v>
      </c>
      <c r="H9609" t="s">
        <v>17</v>
      </c>
      <c r="I9609" t="str">
        <f>"060411000377"</f>
        <v>060411000377</v>
      </c>
    </row>
    <row r="9610" spans="1:9" x14ac:dyDescent="0.25">
      <c r="A9610" t="s">
        <v>8374</v>
      </c>
      <c r="B9610" t="s">
        <v>13</v>
      </c>
      <c r="C9610">
        <v>55.51</v>
      </c>
      <c r="D9610">
        <v>48.25</v>
      </c>
      <c r="E9610" t="s">
        <v>17</v>
      </c>
      <c r="F9610">
        <v>19.29</v>
      </c>
      <c r="G9610">
        <v>20.350000000000001</v>
      </c>
      <c r="H9610" t="s">
        <v>17</v>
      </c>
      <c r="I9610" t="str">
        <f>"060907011174"</f>
        <v>060907011174</v>
      </c>
    </row>
    <row r="9611" spans="1:9" x14ac:dyDescent="0.25">
      <c r="A9611" t="s">
        <v>8375</v>
      </c>
      <c r="B9611" t="s">
        <v>13</v>
      </c>
      <c r="C9611">
        <v>18</v>
      </c>
      <c r="D9611">
        <v>18</v>
      </c>
      <c r="E9611" t="s">
        <v>17</v>
      </c>
      <c r="F9611">
        <v>23.61</v>
      </c>
      <c r="G9611">
        <v>23.83</v>
      </c>
      <c r="H9611" t="s">
        <v>17</v>
      </c>
      <c r="I9611" t="str">
        <f>"064161006862"</f>
        <v>064161006862</v>
      </c>
    </row>
    <row r="9612" spans="1:9" x14ac:dyDescent="0.25">
      <c r="A9612" t="s">
        <v>8376</v>
      </c>
      <c r="B9612" t="s">
        <v>13</v>
      </c>
      <c r="C9612" t="s">
        <v>17</v>
      </c>
      <c r="D9612" t="s">
        <v>14</v>
      </c>
      <c r="E9612" t="s">
        <v>14</v>
      </c>
      <c r="F9612" t="s">
        <v>17</v>
      </c>
      <c r="G9612" t="s">
        <v>14</v>
      </c>
      <c r="H9612" t="s">
        <v>14</v>
      </c>
      <c r="I9612" t="str">
        <f>"064161013503"</f>
        <v>064161013503</v>
      </c>
    </row>
    <row r="9613" spans="1:9" x14ac:dyDescent="0.25">
      <c r="A9613" t="s">
        <v>8377</v>
      </c>
      <c r="B9613" t="s">
        <v>13</v>
      </c>
      <c r="C9613">
        <v>21</v>
      </c>
      <c r="D9613">
        <v>21.85</v>
      </c>
      <c r="E9613" t="s">
        <v>17</v>
      </c>
      <c r="F9613">
        <v>23.14</v>
      </c>
      <c r="G9613">
        <v>23.75</v>
      </c>
      <c r="H9613" t="s">
        <v>17</v>
      </c>
      <c r="I9613" t="str">
        <f>"063942006575"</f>
        <v>063942006575</v>
      </c>
    </row>
    <row r="9614" spans="1:9" x14ac:dyDescent="0.25">
      <c r="A9614" t="s">
        <v>8378</v>
      </c>
      <c r="B9614" t="s">
        <v>13</v>
      </c>
      <c r="C9614">
        <v>73.56</v>
      </c>
      <c r="D9614">
        <v>69.66</v>
      </c>
      <c r="E9614" t="s">
        <v>17</v>
      </c>
      <c r="F9614">
        <v>28.22</v>
      </c>
      <c r="G9614">
        <v>29.67</v>
      </c>
      <c r="H9614" t="s">
        <v>17</v>
      </c>
      <c r="I9614" t="str">
        <f>"063942006576"</f>
        <v>063942006576</v>
      </c>
    </row>
    <row r="9615" spans="1:9" x14ac:dyDescent="0.25">
      <c r="A9615" t="s">
        <v>8379</v>
      </c>
      <c r="B9615" t="s">
        <v>13</v>
      </c>
      <c r="C9615">
        <v>40.06</v>
      </c>
      <c r="D9615">
        <v>42.06</v>
      </c>
      <c r="E9615" t="s">
        <v>17</v>
      </c>
      <c r="F9615">
        <v>17.32</v>
      </c>
      <c r="G9615">
        <v>17</v>
      </c>
      <c r="H9615" t="s">
        <v>17</v>
      </c>
      <c r="I9615" t="str">
        <f>"061074010627"</f>
        <v>061074010627</v>
      </c>
    </row>
    <row r="9616" spans="1:9" x14ac:dyDescent="0.25">
      <c r="A9616" t="s">
        <v>8380</v>
      </c>
      <c r="B9616" t="s">
        <v>13</v>
      </c>
      <c r="C9616">
        <v>24.1</v>
      </c>
      <c r="D9616">
        <v>22.5</v>
      </c>
      <c r="E9616" t="s">
        <v>17</v>
      </c>
      <c r="F9616">
        <v>19.71</v>
      </c>
      <c r="G9616">
        <v>21.33</v>
      </c>
      <c r="H9616" t="s">
        <v>17</v>
      </c>
      <c r="I9616" t="str">
        <f>"063432005561"</f>
        <v>063432005561</v>
      </c>
    </row>
    <row r="9617" spans="1:9" x14ac:dyDescent="0.25">
      <c r="A9617" t="s">
        <v>8381</v>
      </c>
      <c r="B9617" t="s">
        <v>13</v>
      </c>
      <c r="C9617">
        <v>95.35</v>
      </c>
      <c r="D9617">
        <v>92.2</v>
      </c>
      <c r="E9617" t="s">
        <v>17</v>
      </c>
      <c r="F9617">
        <v>27.8</v>
      </c>
      <c r="G9617">
        <v>29.13</v>
      </c>
      <c r="H9617" t="s">
        <v>17</v>
      </c>
      <c r="I9617" t="str">
        <f>"063438005579"</f>
        <v>063438005579</v>
      </c>
    </row>
    <row r="9618" spans="1:9" x14ac:dyDescent="0.25">
      <c r="A9618" t="s">
        <v>8382</v>
      </c>
      <c r="B9618" t="s">
        <v>13</v>
      </c>
      <c r="C9618">
        <v>26</v>
      </c>
      <c r="D9618">
        <v>26</v>
      </c>
      <c r="E9618" t="s">
        <v>17</v>
      </c>
      <c r="F9618">
        <v>27.85</v>
      </c>
      <c r="G9618">
        <v>26.96</v>
      </c>
      <c r="H9618" t="s">
        <v>17</v>
      </c>
      <c r="I9618" t="str">
        <f>"060429011956"</f>
        <v>060429011956</v>
      </c>
    </row>
    <row r="9619" spans="1:9" x14ac:dyDescent="0.25">
      <c r="A9619" t="s">
        <v>8383</v>
      </c>
      <c r="B9619" t="s">
        <v>13</v>
      </c>
      <c r="C9619">
        <v>27</v>
      </c>
      <c r="D9619">
        <v>32.5</v>
      </c>
      <c r="E9619" t="s">
        <v>17</v>
      </c>
      <c r="F9619">
        <v>30.52</v>
      </c>
      <c r="G9619">
        <v>25.45</v>
      </c>
      <c r="H9619" t="s">
        <v>17</v>
      </c>
      <c r="I9619" t="str">
        <f>"060002906282"</f>
        <v>060002906282</v>
      </c>
    </row>
    <row r="9620" spans="1:9" x14ac:dyDescent="0.25">
      <c r="A9620" t="s">
        <v>8384</v>
      </c>
      <c r="B9620" t="s">
        <v>13</v>
      </c>
      <c r="C9620">
        <v>23.17</v>
      </c>
      <c r="D9620">
        <v>20.079999999999998</v>
      </c>
      <c r="E9620" t="s">
        <v>17</v>
      </c>
      <c r="F9620">
        <v>27.23</v>
      </c>
      <c r="G9620">
        <v>29.08</v>
      </c>
      <c r="H9620" t="s">
        <v>17</v>
      </c>
      <c r="I9620" t="str">
        <f>"063942006577"</f>
        <v>063942006577</v>
      </c>
    </row>
    <row r="9621" spans="1:9" x14ac:dyDescent="0.25">
      <c r="A9621" t="s">
        <v>8385</v>
      </c>
      <c r="B9621" t="s">
        <v>13</v>
      </c>
      <c r="C9621">
        <v>13</v>
      </c>
      <c r="D9621">
        <v>15</v>
      </c>
      <c r="E9621" t="s">
        <v>17</v>
      </c>
      <c r="F9621">
        <v>25.23</v>
      </c>
      <c r="G9621">
        <v>23.4</v>
      </c>
      <c r="H9621" t="s">
        <v>17</v>
      </c>
      <c r="I9621" t="str">
        <f>"062271003403"</f>
        <v>062271003403</v>
      </c>
    </row>
    <row r="9622" spans="1:9" x14ac:dyDescent="0.25">
      <c r="A9622" t="s">
        <v>8386</v>
      </c>
      <c r="B9622" t="s">
        <v>13</v>
      </c>
      <c r="C9622">
        <v>32.5</v>
      </c>
      <c r="D9622">
        <v>34</v>
      </c>
      <c r="E9622" t="s">
        <v>17</v>
      </c>
      <c r="F9622">
        <v>28.34</v>
      </c>
      <c r="G9622">
        <v>27.35</v>
      </c>
      <c r="H9622" t="s">
        <v>17</v>
      </c>
      <c r="I9622" t="str">
        <f>"062580011024"</f>
        <v>062580011024</v>
      </c>
    </row>
    <row r="9623" spans="1:9" x14ac:dyDescent="0.25">
      <c r="A9623" t="s">
        <v>8387</v>
      </c>
      <c r="B9623" t="s">
        <v>13</v>
      </c>
      <c r="C9623">
        <v>21</v>
      </c>
      <c r="D9623">
        <v>19.5</v>
      </c>
      <c r="E9623" t="s">
        <v>17</v>
      </c>
      <c r="F9623">
        <v>24.67</v>
      </c>
      <c r="G9623">
        <v>25.28</v>
      </c>
      <c r="H9623" t="s">
        <v>17</v>
      </c>
      <c r="I9623" t="str">
        <f>"063684006271"</f>
        <v>063684006271</v>
      </c>
    </row>
    <row r="9624" spans="1:9" x14ac:dyDescent="0.25">
      <c r="A9624" t="s">
        <v>8388</v>
      </c>
      <c r="B9624" t="s">
        <v>13</v>
      </c>
      <c r="C9624">
        <v>16</v>
      </c>
      <c r="D9624">
        <v>16</v>
      </c>
      <c r="E9624" t="s">
        <v>17</v>
      </c>
      <c r="F9624">
        <v>21.31</v>
      </c>
      <c r="G9624">
        <v>20.81</v>
      </c>
      <c r="H9624" t="s">
        <v>17</v>
      </c>
      <c r="I9624" t="str">
        <f>"060480000468"</f>
        <v>060480000468</v>
      </c>
    </row>
    <row r="9625" spans="1:9" x14ac:dyDescent="0.25">
      <c r="A9625" t="s">
        <v>8389</v>
      </c>
      <c r="B9625" t="s">
        <v>13</v>
      </c>
      <c r="C9625">
        <v>23.97</v>
      </c>
      <c r="D9625">
        <v>24.75</v>
      </c>
      <c r="E9625" t="s">
        <v>17</v>
      </c>
      <c r="F9625">
        <v>20.65</v>
      </c>
      <c r="G9625">
        <v>21.05</v>
      </c>
      <c r="H9625" t="s">
        <v>17</v>
      </c>
      <c r="I9625" t="str">
        <f>"060687008803"</f>
        <v>060687008803</v>
      </c>
    </row>
    <row r="9626" spans="1:9" x14ac:dyDescent="0.25">
      <c r="A9626" t="s">
        <v>8390</v>
      </c>
      <c r="B9626" t="s">
        <v>13</v>
      </c>
      <c r="C9626">
        <v>3.7</v>
      </c>
      <c r="D9626">
        <v>1.97</v>
      </c>
      <c r="E9626" t="s">
        <v>17</v>
      </c>
      <c r="F9626">
        <v>20</v>
      </c>
      <c r="G9626">
        <v>31.98</v>
      </c>
      <c r="H9626" t="s">
        <v>17</v>
      </c>
      <c r="I9626" t="str">
        <f>"063386005316"</f>
        <v>063386005316</v>
      </c>
    </row>
    <row r="9627" spans="1:9" x14ac:dyDescent="0.25">
      <c r="A9627" t="s">
        <v>8391</v>
      </c>
      <c r="B9627" t="s">
        <v>13</v>
      </c>
      <c r="C9627">
        <v>109.33</v>
      </c>
      <c r="D9627">
        <v>112.1</v>
      </c>
      <c r="E9627" t="s">
        <v>17</v>
      </c>
      <c r="F9627">
        <v>28.55</v>
      </c>
      <c r="G9627">
        <v>28.5</v>
      </c>
      <c r="H9627" t="s">
        <v>17</v>
      </c>
      <c r="I9627" t="str">
        <f>"063386008957"</f>
        <v>063386008957</v>
      </c>
    </row>
    <row r="9628" spans="1:9" x14ac:dyDescent="0.25">
      <c r="A9628" t="s">
        <v>8392</v>
      </c>
      <c r="B9628" t="s">
        <v>13</v>
      </c>
      <c r="C9628">
        <v>22.2</v>
      </c>
      <c r="D9628">
        <v>22.3</v>
      </c>
      <c r="E9628" t="s">
        <v>17</v>
      </c>
      <c r="F9628">
        <v>27.88</v>
      </c>
      <c r="G9628">
        <v>28.43</v>
      </c>
      <c r="H9628" t="s">
        <v>17</v>
      </c>
      <c r="I9628" t="str">
        <f>"063386009186"</f>
        <v>063386009186</v>
      </c>
    </row>
    <row r="9629" spans="1:9" x14ac:dyDescent="0.25">
      <c r="A9629" t="s">
        <v>8393</v>
      </c>
      <c r="B9629" t="s">
        <v>13</v>
      </c>
      <c r="C9629">
        <v>37.01</v>
      </c>
      <c r="D9629">
        <v>36</v>
      </c>
      <c r="E9629" t="s">
        <v>17</v>
      </c>
      <c r="F9629">
        <v>16.32</v>
      </c>
      <c r="G9629">
        <v>19.03</v>
      </c>
      <c r="H9629" t="s">
        <v>17</v>
      </c>
      <c r="I9629" t="str">
        <f>"063432011235"</f>
        <v>063432011235</v>
      </c>
    </row>
    <row r="9630" spans="1:9" x14ac:dyDescent="0.25">
      <c r="A9630" t="s">
        <v>8394</v>
      </c>
      <c r="B9630" t="s">
        <v>13</v>
      </c>
      <c r="C9630">
        <v>19.010000000000002</v>
      </c>
      <c r="D9630">
        <v>9.99</v>
      </c>
      <c r="E9630" t="s">
        <v>17</v>
      </c>
      <c r="F9630">
        <v>21.73</v>
      </c>
      <c r="G9630">
        <v>42.74</v>
      </c>
      <c r="H9630" t="s">
        <v>17</v>
      </c>
      <c r="I9630" t="str">
        <f>"060162000028"</f>
        <v>060162000028</v>
      </c>
    </row>
    <row r="9631" spans="1:9" x14ac:dyDescent="0.25">
      <c r="A9631" t="s">
        <v>8395</v>
      </c>
      <c r="B9631" t="s">
        <v>13</v>
      </c>
      <c r="C9631">
        <v>31</v>
      </c>
      <c r="D9631">
        <v>34</v>
      </c>
      <c r="E9631" t="s">
        <v>17</v>
      </c>
      <c r="F9631">
        <v>24.39</v>
      </c>
      <c r="G9631">
        <v>23.03</v>
      </c>
      <c r="H9631" t="s">
        <v>17</v>
      </c>
      <c r="I9631" t="str">
        <f>"060369000340"</f>
        <v>060369000340</v>
      </c>
    </row>
    <row r="9632" spans="1:9" x14ac:dyDescent="0.25">
      <c r="A9632" t="s">
        <v>8396</v>
      </c>
      <c r="B9632" t="s">
        <v>13</v>
      </c>
      <c r="C9632">
        <v>82.96</v>
      </c>
      <c r="D9632">
        <v>82.65</v>
      </c>
      <c r="E9632" t="s">
        <v>17</v>
      </c>
      <c r="F9632">
        <v>23.61</v>
      </c>
      <c r="G9632">
        <v>23.29</v>
      </c>
      <c r="H9632" t="s">
        <v>17</v>
      </c>
      <c r="I9632" t="str">
        <f>"060004707380"</f>
        <v>060004707380</v>
      </c>
    </row>
    <row r="9633" spans="1:9" x14ac:dyDescent="0.25">
      <c r="A9633" t="s">
        <v>8397</v>
      </c>
      <c r="B9633" t="s">
        <v>13</v>
      </c>
      <c r="C9633">
        <v>18.02</v>
      </c>
      <c r="D9633">
        <v>19.5</v>
      </c>
      <c r="E9633" t="s">
        <v>17</v>
      </c>
      <c r="F9633">
        <v>26.69</v>
      </c>
      <c r="G9633">
        <v>22.77</v>
      </c>
      <c r="H9633" t="s">
        <v>17</v>
      </c>
      <c r="I9633" t="str">
        <f>"063462008970"</f>
        <v>063462008970</v>
      </c>
    </row>
    <row r="9634" spans="1:9" x14ac:dyDescent="0.25">
      <c r="A9634" t="s">
        <v>8398</v>
      </c>
      <c r="B9634" t="s">
        <v>13</v>
      </c>
      <c r="C9634">
        <v>10</v>
      </c>
      <c r="D9634">
        <v>10</v>
      </c>
      <c r="E9634" t="s">
        <v>17</v>
      </c>
      <c r="F9634">
        <v>24.9</v>
      </c>
      <c r="G9634">
        <v>24</v>
      </c>
      <c r="H9634" t="s">
        <v>17</v>
      </c>
      <c r="I9634" t="str">
        <f>"069113410218"</f>
        <v>069113410218</v>
      </c>
    </row>
    <row r="9635" spans="1:9" x14ac:dyDescent="0.25">
      <c r="A9635" t="s">
        <v>8399</v>
      </c>
      <c r="B9635" t="s">
        <v>13</v>
      </c>
      <c r="C9635">
        <v>20</v>
      </c>
      <c r="D9635">
        <v>21</v>
      </c>
      <c r="E9635" t="s">
        <v>17</v>
      </c>
      <c r="F9635">
        <v>23.45</v>
      </c>
      <c r="G9635">
        <v>22.62</v>
      </c>
      <c r="H9635" t="s">
        <v>17</v>
      </c>
      <c r="I9635" t="str">
        <f>"069113410214"</f>
        <v>069113410214</v>
      </c>
    </row>
    <row r="9636" spans="1:9" x14ac:dyDescent="0.25">
      <c r="A9636" t="s">
        <v>8400</v>
      </c>
      <c r="B9636" t="s">
        <v>13</v>
      </c>
      <c r="C9636">
        <v>4.62</v>
      </c>
      <c r="D9636">
        <v>6.95</v>
      </c>
      <c r="E9636" t="s">
        <v>17</v>
      </c>
      <c r="F9636">
        <v>14.5</v>
      </c>
      <c r="G9636">
        <v>9.2100000000000009</v>
      </c>
      <c r="H9636" t="s">
        <v>17</v>
      </c>
      <c r="I9636" t="str">
        <f>"061233002517"</f>
        <v>061233002517</v>
      </c>
    </row>
    <row r="9637" spans="1:9" x14ac:dyDescent="0.25">
      <c r="A9637" t="s">
        <v>8401</v>
      </c>
      <c r="B9637" t="s">
        <v>13</v>
      </c>
      <c r="C9637">
        <v>2.78</v>
      </c>
      <c r="D9637">
        <v>2.63</v>
      </c>
      <c r="E9637" t="s">
        <v>17</v>
      </c>
      <c r="F9637">
        <v>16.190000000000001</v>
      </c>
      <c r="G9637">
        <v>23.19</v>
      </c>
      <c r="H9637" t="s">
        <v>17</v>
      </c>
      <c r="I9637" t="str">
        <f>"062064000301"</f>
        <v>062064000301</v>
      </c>
    </row>
    <row r="9638" spans="1:9" x14ac:dyDescent="0.25">
      <c r="A9638" t="s">
        <v>8402</v>
      </c>
      <c r="B9638" t="s">
        <v>13</v>
      </c>
      <c r="C9638">
        <v>18.54</v>
      </c>
      <c r="D9638">
        <v>17.14</v>
      </c>
      <c r="E9638" t="s">
        <v>17</v>
      </c>
      <c r="F9638">
        <v>25.78</v>
      </c>
      <c r="G9638">
        <v>27.77</v>
      </c>
      <c r="H9638" t="s">
        <v>17</v>
      </c>
      <c r="I9638" t="str">
        <f>"063237004999"</f>
        <v>063237004999</v>
      </c>
    </row>
    <row r="9639" spans="1:9" x14ac:dyDescent="0.25">
      <c r="A9639" t="s">
        <v>8403</v>
      </c>
      <c r="B9639" t="s">
        <v>13</v>
      </c>
      <c r="C9639">
        <v>12.5</v>
      </c>
      <c r="D9639">
        <v>11.75</v>
      </c>
      <c r="E9639" t="s">
        <v>17</v>
      </c>
      <c r="F9639">
        <v>18.16</v>
      </c>
      <c r="G9639">
        <v>18.55</v>
      </c>
      <c r="H9639" t="s">
        <v>17</v>
      </c>
      <c r="I9639" t="str">
        <f>"063960006594"</f>
        <v>063960006594</v>
      </c>
    </row>
    <row r="9640" spans="1:9" x14ac:dyDescent="0.25">
      <c r="A9640" t="s">
        <v>8404</v>
      </c>
      <c r="B9640" t="s">
        <v>13</v>
      </c>
      <c r="C9640">
        <v>2.1</v>
      </c>
      <c r="D9640">
        <v>2.1</v>
      </c>
      <c r="E9640" t="s">
        <v>17</v>
      </c>
      <c r="F9640">
        <v>3.81</v>
      </c>
      <c r="G9640">
        <v>6.67</v>
      </c>
      <c r="H9640" t="s">
        <v>17</v>
      </c>
      <c r="I9640" t="str">
        <f>"063963008641"</f>
        <v>063963008641</v>
      </c>
    </row>
    <row r="9641" spans="1:9" x14ac:dyDescent="0.25">
      <c r="A9641" t="s">
        <v>8405</v>
      </c>
      <c r="B9641" t="s">
        <v>13</v>
      </c>
      <c r="C9641">
        <v>4.4000000000000004</v>
      </c>
      <c r="D9641">
        <v>4.3</v>
      </c>
      <c r="E9641" t="s">
        <v>17</v>
      </c>
      <c r="F9641">
        <v>16.14</v>
      </c>
      <c r="G9641">
        <v>16.05</v>
      </c>
      <c r="H9641" t="s">
        <v>17</v>
      </c>
      <c r="I9641" t="str">
        <f>"063963006597"</f>
        <v>063963006597</v>
      </c>
    </row>
    <row r="9642" spans="1:9" x14ac:dyDescent="0.25">
      <c r="A9642" t="s">
        <v>8406</v>
      </c>
      <c r="B9642" t="s">
        <v>13</v>
      </c>
      <c r="C9642">
        <v>22.5</v>
      </c>
      <c r="D9642">
        <v>26.3</v>
      </c>
      <c r="E9642" t="s">
        <v>17</v>
      </c>
      <c r="F9642">
        <v>23.96</v>
      </c>
      <c r="G9642">
        <v>21.52</v>
      </c>
      <c r="H9642" t="s">
        <v>17</v>
      </c>
      <c r="I9642" t="str">
        <f>"063963005418"</f>
        <v>063963005418</v>
      </c>
    </row>
    <row r="9643" spans="1:9" x14ac:dyDescent="0.25">
      <c r="A9643" t="s">
        <v>8407</v>
      </c>
      <c r="B9643" t="s">
        <v>13</v>
      </c>
      <c r="C9643" t="str">
        <f>"0.40"</f>
        <v>0.40</v>
      </c>
      <c r="D9643" t="str">
        <f>"0.20"</f>
        <v>0.20</v>
      </c>
      <c r="E9643" t="s">
        <v>17</v>
      </c>
      <c r="F9643">
        <v>12.5</v>
      </c>
      <c r="G9643">
        <v>35</v>
      </c>
      <c r="H9643" t="s">
        <v>17</v>
      </c>
      <c r="I9643" t="str">
        <f>"063963008642"</f>
        <v>063963008642</v>
      </c>
    </row>
    <row r="9644" spans="1:9" x14ac:dyDescent="0.25">
      <c r="A9644" t="s">
        <v>8408</v>
      </c>
      <c r="B9644" t="s">
        <v>13</v>
      </c>
      <c r="C9644">
        <v>53.11</v>
      </c>
      <c r="D9644">
        <v>50.33</v>
      </c>
      <c r="E9644" t="s">
        <v>17</v>
      </c>
      <c r="F9644">
        <v>26.29</v>
      </c>
      <c r="G9644">
        <v>27.86</v>
      </c>
      <c r="H9644" t="s">
        <v>17</v>
      </c>
      <c r="I9644" t="str">
        <f>"063066009177"</f>
        <v>063066009177</v>
      </c>
    </row>
    <row r="9645" spans="1:9" x14ac:dyDescent="0.25">
      <c r="A9645" t="s">
        <v>8409</v>
      </c>
      <c r="B9645" t="s">
        <v>13</v>
      </c>
      <c r="C9645">
        <v>34.9</v>
      </c>
      <c r="D9645">
        <v>38.65</v>
      </c>
      <c r="E9645" t="s">
        <v>17</v>
      </c>
      <c r="F9645">
        <v>26.59</v>
      </c>
      <c r="G9645">
        <v>24.89</v>
      </c>
      <c r="H9645" t="s">
        <v>17</v>
      </c>
      <c r="I9645" t="str">
        <f>"061005001106"</f>
        <v>061005001106</v>
      </c>
    </row>
    <row r="9646" spans="1:9" x14ac:dyDescent="0.25">
      <c r="A9646" t="s">
        <v>8410</v>
      </c>
      <c r="B9646" t="s">
        <v>13</v>
      </c>
      <c r="C9646">
        <v>4.5999999999999996</v>
      </c>
      <c r="D9646">
        <v>4</v>
      </c>
      <c r="E9646" t="s">
        <v>17</v>
      </c>
      <c r="F9646">
        <v>18.7</v>
      </c>
      <c r="G9646">
        <v>20.5</v>
      </c>
      <c r="H9646" t="s">
        <v>17</v>
      </c>
      <c r="I9646" t="str">
        <f>"064030008521"</f>
        <v>064030008521</v>
      </c>
    </row>
    <row r="9647" spans="1:9" x14ac:dyDescent="0.25">
      <c r="A9647" t="s">
        <v>8411</v>
      </c>
      <c r="B9647" t="s">
        <v>13</v>
      </c>
      <c r="C9647">
        <v>15.3</v>
      </c>
      <c r="D9647">
        <v>21.73</v>
      </c>
      <c r="E9647" t="s">
        <v>17</v>
      </c>
      <c r="F9647">
        <v>39.799999999999997</v>
      </c>
      <c r="G9647">
        <v>28.62</v>
      </c>
      <c r="H9647" t="s">
        <v>17</v>
      </c>
      <c r="I9647" t="str">
        <f>"061674002136"</f>
        <v>061674002136</v>
      </c>
    </row>
    <row r="9648" spans="1:9" x14ac:dyDescent="0.25">
      <c r="A9648" t="s">
        <v>8412</v>
      </c>
      <c r="B9648" t="s">
        <v>13</v>
      </c>
      <c r="C9648">
        <v>21.7</v>
      </c>
      <c r="D9648">
        <v>22.9</v>
      </c>
      <c r="E9648" t="s">
        <v>17</v>
      </c>
      <c r="F9648">
        <v>29.63</v>
      </c>
      <c r="G9648">
        <v>29.61</v>
      </c>
      <c r="H9648" t="s">
        <v>17</v>
      </c>
      <c r="I9648" t="str">
        <f>"061128010328"</f>
        <v>061128010328</v>
      </c>
    </row>
    <row r="9649" spans="1:9" x14ac:dyDescent="0.25">
      <c r="A9649" t="s">
        <v>8413</v>
      </c>
      <c r="B9649" t="s">
        <v>13</v>
      </c>
      <c r="C9649">
        <v>6</v>
      </c>
      <c r="D9649">
        <v>6</v>
      </c>
      <c r="E9649" t="s">
        <v>17</v>
      </c>
      <c r="F9649">
        <v>22.17</v>
      </c>
      <c r="G9649">
        <v>22.5</v>
      </c>
      <c r="H9649" t="s">
        <v>17</v>
      </c>
      <c r="I9649" t="str">
        <f>"063969006601"</f>
        <v>063969006601</v>
      </c>
    </row>
    <row r="9650" spans="1:9" x14ac:dyDescent="0.25">
      <c r="A9650" t="s">
        <v>8414</v>
      </c>
      <c r="B9650" t="s">
        <v>13</v>
      </c>
      <c r="C9650">
        <v>12.5</v>
      </c>
      <c r="D9650">
        <v>12.5</v>
      </c>
      <c r="E9650" t="s">
        <v>17</v>
      </c>
      <c r="F9650">
        <v>16</v>
      </c>
      <c r="G9650">
        <v>13.84</v>
      </c>
      <c r="H9650" t="s">
        <v>17</v>
      </c>
      <c r="I9650" t="str">
        <f>"062271007115"</f>
        <v>062271007115</v>
      </c>
    </row>
    <row r="9651" spans="1:9" x14ac:dyDescent="0.25">
      <c r="A9651" t="s">
        <v>8415</v>
      </c>
      <c r="B9651" t="s">
        <v>13</v>
      </c>
      <c r="C9651" t="s">
        <v>17</v>
      </c>
      <c r="D9651" t="s">
        <v>17</v>
      </c>
      <c r="E9651" t="s">
        <v>17</v>
      </c>
      <c r="F9651" t="s">
        <v>17</v>
      </c>
      <c r="G9651" t="s">
        <v>17</v>
      </c>
      <c r="H9651" t="s">
        <v>17</v>
      </c>
      <c r="I9651" t="str">
        <f>"060010610919"</f>
        <v>060010610919</v>
      </c>
    </row>
    <row r="9652" spans="1:9" x14ac:dyDescent="0.25">
      <c r="A9652" t="s">
        <v>8416</v>
      </c>
      <c r="B9652" t="s">
        <v>13</v>
      </c>
      <c r="C9652" t="s">
        <v>17</v>
      </c>
      <c r="D9652" t="s">
        <v>17</v>
      </c>
      <c r="E9652" t="s">
        <v>17</v>
      </c>
      <c r="F9652" t="s">
        <v>17</v>
      </c>
      <c r="G9652" t="s">
        <v>17</v>
      </c>
      <c r="H9652" t="s">
        <v>17</v>
      </c>
      <c r="I9652" t="str">
        <f>"060014511522"</f>
        <v>060014511522</v>
      </c>
    </row>
    <row r="9653" spans="1:9" x14ac:dyDescent="0.25">
      <c r="A9653" t="s">
        <v>8417</v>
      </c>
      <c r="B9653" t="s">
        <v>13</v>
      </c>
      <c r="C9653" t="s">
        <v>14</v>
      </c>
      <c r="D9653" t="s">
        <v>14</v>
      </c>
      <c r="E9653" t="s">
        <v>17</v>
      </c>
      <c r="F9653" t="s">
        <v>14</v>
      </c>
      <c r="G9653" t="s">
        <v>14</v>
      </c>
      <c r="H9653" t="s">
        <v>17</v>
      </c>
      <c r="I9653" t="str">
        <f>"060002706254"</f>
        <v>060002706254</v>
      </c>
    </row>
    <row r="9654" spans="1:9" x14ac:dyDescent="0.25">
      <c r="A9654" t="s">
        <v>8418</v>
      </c>
      <c r="B9654" t="s">
        <v>13</v>
      </c>
      <c r="C9654" t="s">
        <v>17</v>
      </c>
      <c r="D9654" t="s">
        <v>17</v>
      </c>
      <c r="E9654" t="s">
        <v>17</v>
      </c>
      <c r="F9654" t="s">
        <v>17</v>
      </c>
      <c r="G9654" t="s">
        <v>17</v>
      </c>
      <c r="H9654" t="s">
        <v>17</v>
      </c>
      <c r="I9654" t="str">
        <f>"060008410731"</f>
        <v>060008410731</v>
      </c>
    </row>
    <row r="9655" spans="1:9" x14ac:dyDescent="0.25">
      <c r="A9655" t="s">
        <v>8419</v>
      </c>
      <c r="B9655" t="s">
        <v>13</v>
      </c>
      <c r="C9655">
        <v>2.4</v>
      </c>
      <c r="D9655">
        <v>2.4</v>
      </c>
      <c r="E9655" t="s">
        <v>17</v>
      </c>
      <c r="F9655">
        <v>16.670000000000002</v>
      </c>
      <c r="G9655">
        <v>15.83</v>
      </c>
      <c r="H9655" t="s">
        <v>17</v>
      </c>
      <c r="I9655" t="str">
        <f>"062943011947"</f>
        <v>062943011947</v>
      </c>
    </row>
    <row r="9656" spans="1:9" x14ac:dyDescent="0.25">
      <c r="A9656" t="s">
        <v>8420</v>
      </c>
      <c r="B9656" t="s">
        <v>13</v>
      </c>
      <c r="C9656">
        <v>4.25</v>
      </c>
      <c r="D9656">
        <v>9.9499999999999993</v>
      </c>
      <c r="E9656" t="s">
        <v>17</v>
      </c>
      <c r="F9656">
        <v>40.47</v>
      </c>
      <c r="G9656">
        <v>17.79</v>
      </c>
      <c r="H9656" t="s">
        <v>17</v>
      </c>
      <c r="I9656" t="str">
        <f>"063972006602"</f>
        <v>063972006602</v>
      </c>
    </row>
    <row r="9657" spans="1:9" x14ac:dyDescent="0.25">
      <c r="A9657" t="s">
        <v>8421</v>
      </c>
      <c r="B9657" t="s">
        <v>13</v>
      </c>
      <c r="C9657" t="str">
        <f>"0.90"</f>
        <v>0.90</v>
      </c>
      <c r="D9657">
        <v>1.64</v>
      </c>
      <c r="E9657" t="s">
        <v>17</v>
      </c>
      <c r="F9657">
        <v>13.33</v>
      </c>
      <c r="G9657">
        <v>10.37</v>
      </c>
      <c r="H9657" t="s">
        <v>17</v>
      </c>
      <c r="I9657" t="str">
        <f>"063975006603"</f>
        <v>063975006603</v>
      </c>
    </row>
    <row r="9658" spans="1:9" x14ac:dyDescent="0.25">
      <c r="A9658" t="s">
        <v>8422</v>
      </c>
      <c r="B9658" t="s">
        <v>13</v>
      </c>
      <c r="C9658">
        <v>1.47</v>
      </c>
      <c r="D9658">
        <v>1.53</v>
      </c>
      <c r="E9658" t="s">
        <v>17</v>
      </c>
      <c r="F9658">
        <v>10.88</v>
      </c>
      <c r="G9658">
        <v>13.07</v>
      </c>
      <c r="H9658" t="s">
        <v>17</v>
      </c>
      <c r="I9658" t="str">
        <f>"069104411525"</f>
        <v>069104411525</v>
      </c>
    </row>
    <row r="9659" spans="1:9" x14ac:dyDescent="0.25">
      <c r="A9659" t="s">
        <v>8423</v>
      </c>
      <c r="B9659" t="s">
        <v>13</v>
      </c>
      <c r="C9659">
        <v>1.61</v>
      </c>
      <c r="D9659" t="str">
        <f>"0.91"</f>
        <v>0.91</v>
      </c>
      <c r="E9659" t="s">
        <v>17</v>
      </c>
      <c r="F9659">
        <v>3.11</v>
      </c>
      <c r="G9659">
        <v>5.49</v>
      </c>
      <c r="H9659" t="s">
        <v>17</v>
      </c>
      <c r="I9659" t="str">
        <f>"069104410444"</f>
        <v>069104410444</v>
      </c>
    </row>
    <row r="9660" spans="1:9" x14ac:dyDescent="0.25">
      <c r="A9660" t="s">
        <v>8424</v>
      </c>
      <c r="B9660" t="s">
        <v>13</v>
      </c>
      <c r="C9660" t="s">
        <v>17</v>
      </c>
      <c r="D9660" t="str">
        <f>"0.60"</f>
        <v>0.60</v>
      </c>
      <c r="E9660" t="s">
        <v>17</v>
      </c>
      <c r="F9660" t="s">
        <v>17</v>
      </c>
      <c r="G9660">
        <v>1.67</v>
      </c>
      <c r="H9660" t="s">
        <v>17</v>
      </c>
      <c r="I9660" t="str">
        <f>"069104407233"</f>
        <v>069104407233</v>
      </c>
    </row>
    <row r="9661" spans="1:9" x14ac:dyDescent="0.25">
      <c r="A9661" t="s">
        <v>8425</v>
      </c>
      <c r="B9661" t="s">
        <v>13</v>
      </c>
      <c r="C9661">
        <v>17.84</v>
      </c>
      <c r="D9661">
        <v>19.940000000000001</v>
      </c>
      <c r="E9661" t="s">
        <v>17</v>
      </c>
      <c r="F9661">
        <v>21.52</v>
      </c>
      <c r="G9661">
        <v>19.91</v>
      </c>
      <c r="H9661" t="s">
        <v>17</v>
      </c>
      <c r="I9661" t="str">
        <f>"060133106605"</f>
        <v>060133106605</v>
      </c>
    </row>
    <row r="9662" spans="1:9" x14ac:dyDescent="0.25">
      <c r="A9662" t="s">
        <v>8426</v>
      </c>
      <c r="B9662" t="s">
        <v>13</v>
      </c>
      <c r="C9662">
        <v>1.1399999999999999</v>
      </c>
      <c r="D9662">
        <v>1</v>
      </c>
      <c r="E9662" t="s">
        <v>17</v>
      </c>
      <c r="F9662">
        <v>1.75</v>
      </c>
      <c r="G9662">
        <v>3</v>
      </c>
      <c r="H9662" t="s">
        <v>17</v>
      </c>
      <c r="I9662" t="str">
        <f>"060133108416"</f>
        <v>060133108416</v>
      </c>
    </row>
    <row r="9663" spans="1:9" x14ac:dyDescent="0.25">
      <c r="A9663" t="s">
        <v>8427</v>
      </c>
      <c r="B9663" t="s">
        <v>13</v>
      </c>
      <c r="C9663">
        <v>1</v>
      </c>
      <c r="D9663" t="str">
        <f>"0.01"</f>
        <v>0.01</v>
      </c>
      <c r="E9663" t="s">
        <v>17</v>
      </c>
      <c r="F9663">
        <v>3</v>
      </c>
      <c r="G9663">
        <v>200</v>
      </c>
      <c r="H9663" t="s">
        <v>17</v>
      </c>
      <c r="I9663" t="str">
        <f>"060133108417"</f>
        <v>060133108417</v>
      </c>
    </row>
    <row r="9664" spans="1:9" x14ac:dyDescent="0.25">
      <c r="A9664" t="s">
        <v>8428</v>
      </c>
      <c r="B9664" t="s">
        <v>13</v>
      </c>
      <c r="C9664">
        <v>20</v>
      </c>
      <c r="D9664">
        <v>21.01</v>
      </c>
      <c r="E9664" t="s">
        <v>17</v>
      </c>
      <c r="F9664">
        <v>22.4</v>
      </c>
      <c r="G9664">
        <v>22.51</v>
      </c>
      <c r="H9664" t="s">
        <v>17</v>
      </c>
      <c r="I9664" t="str">
        <f>"062271003404"</f>
        <v>062271003404</v>
      </c>
    </row>
    <row r="9665" spans="1:9" x14ac:dyDescent="0.25">
      <c r="A9665" t="s">
        <v>8429</v>
      </c>
      <c r="B9665" t="s">
        <v>13</v>
      </c>
      <c r="C9665">
        <v>9</v>
      </c>
      <c r="D9665">
        <v>12</v>
      </c>
      <c r="E9665" t="s">
        <v>17</v>
      </c>
      <c r="F9665">
        <v>20.329999999999998</v>
      </c>
      <c r="G9665">
        <v>19.5</v>
      </c>
      <c r="H9665" t="s">
        <v>17</v>
      </c>
      <c r="I9665" t="str">
        <f>"061995002393"</f>
        <v>061995002393</v>
      </c>
    </row>
    <row r="9666" spans="1:9" x14ac:dyDescent="0.25">
      <c r="A9666" t="s">
        <v>8430</v>
      </c>
      <c r="B9666" t="s">
        <v>13</v>
      </c>
      <c r="C9666">
        <v>30</v>
      </c>
      <c r="D9666">
        <v>33</v>
      </c>
      <c r="E9666" t="s">
        <v>17</v>
      </c>
      <c r="F9666">
        <v>27.57</v>
      </c>
      <c r="G9666">
        <v>24.88</v>
      </c>
      <c r="H9666" t="s">
        <v>17</v>
      </c>
      <c r="I9666" t="str">
        <f>"069113511724"</f>
        <v>069113511724</v>
      </c>
    </row>
    <row r="9667" spans="1:9" x14ac:dyDescent="0.25">
      <c r="A9667" t="s">
        <v>8431</v>
      </c>
      <c r="B9667" t="s">
        <v>13</v>
      </c>
      <c r="C9667">
        <v>22.01</v>
      </c>
      <c r="D9667">
        <v>16.61</v>
      </c>
      <c r="E9667" t="s">
        <v>14</v>
      </c>
      <c r="F9667">
        <v>15.54</v>
      </c>
      <c r="G9667">
        <v>17.82</v>
      </c>
      <c r="H9667" t="s">
        <v>14</v>
      </c>
      <c r="I9667" t="str">
        <f>"060528012941"</f>
        <v>060528012941</v>
      </c>
    </row>
    <row r="9668" spans="1:9" x14ac:dyDescent="0.25">
      <c r="A9668" t="s">
        <v>8432</v>
      </c>
      <c r="B9668" t="s">
        <v>13</v>
      </c>
      <c r="C9668">
        <v>1</v>
      </c>
      <c r="D9668">
        <v>1</v>
      </c>
      <c r="E9668" t="s">
        <v>17</v>
      </c>
      <c r="F9668">
        <v>6</v>
      </c>
      <c r="G9668">
        <v>2</v>
      </c>
      <c r="H9668" t="s">
        <v>17</v>
      </c>
      <c r="I9668" t="str">
        <f>"063984011742"</f>
        <v>063984011742</v>
      </c>
    </row>
    <row r="9669" spans="1:9" x14ac:dyDescent="0.25">
      <c r="A9669" t="s">
        <v>8433</v>
      </c>
      <c r="B9669" t="s">
        <v>13</v>
      </c>
      <c r="C9669">
        <v>9</v>
      </c>
      <c r="D9669">
        <v>9.6</v>
      </c>
      <c r="E9669" t="s">
        <v>17</v>
      </c>
      <c r="F9669">
        <v>19</v>
      </c>
      <c r="G9669">
        <v>15.94</v>
      </c>
      <c r="H9669" t="s">
        <v>17</v>
      </c>
      <c r="I9669" t="str">
        <f>"063984006608"</f>
        <v>063984006608</v>
      </c>
    </row>
    <row r="9670" spans="1:9" x14ac:dyDescent="0.25">
      <c r="A9670" t="s">
        <v>8434</v>
      </c>
      <c r="B9670" t="s">
        <v>13</v>
      </c>
      <c r="C9670">
        <v>9.68</v>
      </c>
      <c r="D9670">
        <v>9.8699999999999992</v>
      </c>
      <c r="E9670" t="s">
        <v>17</v>
      </c>
      <c r="F9670">
        <v>10.43</v>
      </c>
      <c r="G9670">
        <v>11.25</v>
      </c>
      <c r="H9670" t="s">
        <v>17</v>
      </c>
      <c r="I9670" t="str">
        <f>"063984006609"</f>
        <v>063984006609</v>
      </c>
    </row>
    <row r="9671" spans="1:9" x14ac:dyDescent="0.25">
      <c r="A9671" t="s">
        <v>8435</v>
      </c>
      <c r="B9671" t="s">
        <v>13</v>
      </c>
      <c r="C9671">
        <v>24.31</v>
      </c>
      <c r="D9671">
        <v>26.88</v>
      </c>
      <c r="E9671" t="s">
        <v>17</v>
      </c>
      <c r="F9671">
        <v>26.2</v>
      </c>
      <c r="G9671">
        <v>24.22</v>
      </c>
      <c r="H9671" t="s">
        <v>17</v>
      </c>
      <c r="I9671" t="str">
        <f>"063762006375"</f>
        <v>063762006375</v>
      </c>
    </row>
    <row r="9672" spans="1:9" x14ac:dyDescent="0.25">
      <c r="A9672" t="s">
        <v>8436</v>
      </c>
      <c r="B9672" t="s">
        <v>13</v>
      </c>
      <c r="C9672">
        <v>34</v>
      </c>
      <c r="D9672">
        <v>32.5</v>
      </c>
      <c r="E9672" t="s">
        <v>17</v>
      </c>
      <c r="F9672">
        <v>25.68</v>
      </c>
      <c r="G9672">
        <v>27.97</v>
      </c>
      <c r="H9672" t="s">
        <v>17</v>
      </c>
      <c r="I9672" t="str">
        <f>"061926002320"</f>
        <v>061926002320</v>
      </c>
    </row>
    <row r="9673" spans="1:9" x14ac:dyDescent="0.25">
      <c r="A9673" t="s">
        <v>8437</v>
      </c>
      <c r="B9673" t="s">
        <v>13</v>
      </c>
      <c r="C9673">
        <v>99.2</v>
      </c>
      <c r="D9673">
        <v>98.2</v>
      </c>
      <c r="E9673" t="s">
        <v>17</v>
      </c>
      <c r="F9673">
        <v>27.43</v>
      </c>
      <c r="G9673">
        <v>27.03</v>
      </c>
      <c r="H9673" t="s">
        <v>17</v>
      </c>
      <c r="I9673" t="str">
        <f>"061476001816"</f>
        <v>061476001816</v>
      </c>
    </row>
    <row r="9674" spans="1:9" x14ac:dyDescent="0.25">
      <c r="A9674" t="s">
        <v>8438</v>
      </c>
      <c r="B9674" t="s">
        <v>13</v>
      </c>
      <c r="C9674">
        <v>23.6</v>
      </c>
      <c r="D9674">
        <v>25.2</v>
      </c>
      <c r="E9674" t="s">
        <v>17</v>
      </c>
      <c r="F9674">
        <v>23.98</v>
      </c>
      <c r="G9674">
        <v>22.14</v>
      </c>
      <c r="H9674" t="s">
        <v>17</v>
      </c>
      <c r="I9674" t="str">
        <f>"063877006521"</f>
        <v>063877006521</v>
      </c>
    </row>
    <row r="9675" spans="1:9" x14ac:dyDescent="0.25">
      <c r="A9675" t="s">
        <v>8439</v>
      </c>
      <c r="B9675" t="s">
        <v>13</v>
      </c>
      <c r="C9675">
        <v>23.53</v>
      </c>
      <c r="D9675">
        <v>24.58</v>
      </c>
      <c r="E9675" t="s">
        <v>17</v>
      </c>
      <c r="F9675">
        <v>30.6</v>
      </c>
      <c r="G9675">
        <v>28.23</v>
      </c>
      <c r="H9675" t="s">
        <v>17</v>
      </c>
      <c r="I9675" t="str">
        <f>"060744009119"</f>
        <v>060744009119</v>
      </c>
    </row>
    <row r="9676" spans="1:9" x14ac:dyDescent="0.25">
      <c r="A9676" t="s">
        <v>8440</v>
      </c>
      <c r="B9676" t="s">
        <v>13</v>
      </c>
      <c r="C9676">
        <v>2</v>
      </c>
      <c r="D9676" t="s">
        <v>17</v>
      </c>
      <c r="E9676" t="s">
        <v>17</v>
      </c>
      <c r="F9676">
        <v>13.5</v>
      </c>
      <c r="G9676" t="s">
        <v>17</v>
      </c>
      <c r="H9676" t="s">
        <v>17</v>
      </c>
      <c r="I9676" t="str">
        <f>"060303007262"</f>
        <v>060303007262</v>
      </c>
    </row>
    <row r="9677" spans="1:9" x14ac:dyDescent="0.25">
      <c r="A9677" t="s">
        <v>8441</v>
      </c>
      <c r="B9677" t="s">
        <v>13</v>
      </c>
      <c r="C9677" t="s">
        <v>17</v>
      </c>
      <c r="D9677" t="s">
        <v>17</v>
      </c>
      <c r="E9677" t="s">
        <v>17</v>
      </c>
      <c r="F9677" t="s">
        <v>17</v>
      </c>
      <c r="G9677" t="s">
        <v>17</v>
      </c>
      <c r="H9677" t="s">
        <v>17</v>
      </c>
      <c r="I9677" t="str">
        <f>"062250007113"</f>
        <v>062250007113</v>
      </c>
    </row>
    <row r="9678" spans="1:9" x14ac:dyDescent="0.25">
      <c r="A9678" t="s">
        <v>8442</v>
      </c>
      <c r="B9678" t="s">
        <v>13</v>
      </c>
      <c r="C9678">
        <v>20</v>
      </c>
      <c r="D9678">
        <v>18</v>
      </c>
      <c r="E9678" t="s">
        <v>17</v>
      </c>
      <c r="F9678">
        <v>21.55</v>
      </c>
      <c r="G9678">
        <v>22.56</v>
      </c>
      <c r="H9678" t="s">
        <v>17</v>
      </c>
      <c r="I9678" t="str">
        <f>"060753000723"</f>
        <v>060753000723</v>
      </c>
    </row>
    <row r="9679" spans="1:9" x14ac:dyDescent="0.25">
      <c r="A9679" t="s">
        <v>8443</v>
      </c>
      <c r="B9679" t="s">
        <v>13</v>
      </c>
      <c r="C9679">
        <v>1</v>
      </c>
      <c r="D9679">
        <v>1</v>
      </c>
      <c r="E9679" t="s">
        <v>17</v>
      </c>
      <c r="F9679">
        <v>6</v>
      </c>
      <c r="G9679">
        <v>9</v>
      </c>
      <c r="H9679" t="s">
        <v>17</v>
      </c>
      <c r="I9679" t="str">
        <f>"063987008422"</f>
        <v>063987008422</v>
      </c>
    </row>
    <row r="9680" spans="1:9" x14ac:dyDescent="0.25">
      <c r="A9680" t="s">
        <v>8444</v>
      </c>
      <c r="B9680" t="s">
        <v>13</v>
      </c>
      <c r="C9680">
        <v>7</v>
      </c>
      <c r="D9680">
        <v>8</v>
      </c>
      <c r="E9680" t="s">
        <v>17</v>
      </c>
      <c r="F9680">
        <v>17</v>
      </c>
      <c r="G9680">
        <v>16.75</v>
      </c>
      <c r="H9680" t="s">
        <v>17</v>
      </c>
      <c r="I9680" t="str">
        <f>"069104510700"</f>
        <v>069104510700</v>
      </c>
    </row>
    <row r="9681" spans="1:9" x14ac:dyDescent="0.25">
      <c r="A9681" t="s">
        <v>8445</v>
      </c>
      <c r="B9681" t="s">
        <v>13</v>
      </c>
      <c r="C9681">
        <v>9</v>
      </c>
      <c r="D9681">
        <v>9</v>
      </c>
      <c r="E9681" t="s">
        <v>17</v>
      </c>
      <c r="F9681">
        <v>14.56</v>
      </c>
      <c r="G9681">
        <v>19.440000000000001</v>
      </c>
      <c r="H9681" t="s">
        <v>17</v>
      </c>
      <c r="I9681" t="str">
        <f>"069104509053"</f>
        <v>069104509053</v>
      </c>
    </row>
    <row r="9682" spans="1:9" x14ac:dyDescent="0.25">
      <c r="A9682" t="s">
        <v>8446</v>
      </c>
      <c r="B9682" t="s">
        <v>13</v>
      </c>
      <c r="C9682" t="s">
        <v>17</v>
      </c>
      <c r="D9682" t="s">
        <v>17</v>
      </c>
      <c r="E9682" t="s">
        <v>17</v>
      </c>
      <c r="F9682" t="s">
        <v>17</v>
      </c>
      <c r="G9682" t="s">
        <v>17</v>
      </c>
      <c r="H9682" t="s">
        <v>17</v>
      </c>
      <c r="I9682" t="str">
        <f>"060014711531"</f>
        <v>060014711531</v>
      </c>
    </row>
    <row r="9683" spans="1:9" x14ac:dyDescent="0.25">
      <c r="A9683" t="s">
        <v>8447</v>
      </c>
      <c r="B9683" t="s">
        <v>13</v>
      </c>
      <c r="C9683">
        <v>1</v>
      </c>
      <c r="D9683">
        <v>1</v>
      </c>
      <c r="E9683" t="s">
        <v>14</v>
      </c>
      <c r="F9683">
        <v>2</v>
      </c>
      <c r="G9683">
        <v>6</v>
      </c>
      <c r="H9683" t="s">
        <v>14</v>
      </c>
      <c r="I9683" t="str">
        <f>"063987012991"</f>
        <v>063987012991</v>
      </c>
    </row>
    <row r="9684" spans="1:9" x14ac:dyDescent="0.25">
      <c r="A9684" t="s">
        <v>8448</v>
      </c>
      <c r="B9684" t="s">
        <v>13</v>
      </c>
      <c r="C9684">
        <v>9.07</v>
      </c>
      <c r="D9684">
        <v>7</v>
      </c>
      <c r="E9684" t="s">
        <v>17</v>
      </c>
      <c r="F9684">
        <v>10.029999999999999</v>
      </c>
      <c r="G9684">
        <v>16.29</v>
      </c>
      <c r="H9684" t="s">
        <v>17</v>
      </c>
      <c r="I9684" t="str">
        <f>"063993002852"</f>
        <v>063993002852</v>
      </c>
    </row>
    <row r="9685" spans="1:9" x14ac:dyDescent="0.25">
      <c r="A9685" t="s">
        <v>8449</v>
      </c>
      <c r="B9685" t="s">
        <v>13</v>
      </c>
      <c r="C9685">
        <v>76.75</v>
      </c>
      <c r="D9685">
        <v>76.150000000000006</v>
      </c>
      <c r="E9685" t="s">
        <v>17</v>
      </c>
      <c r="F9685">
        <v>24.07</v>
      </c>
      <c r="G9685">
        <v>23.81</v>
      </c>
      <c r="H9685" t="s">
        <v>17</v>
      </c>
      <c r="I9685" t="str">
        <f>"063993006619"</f>
        <v>063993006619</v>
      </c>
    </row>
    <row r="9686" spans="1:9" x14ac:dyDescent="0.25">
      <c r="A9686" t="s">
        <v>8450</v>
      </c>
      <c r="B9686" t="s">
        <v>13</v>
      </c>
      <c r="C9686">
        <v>73.38</v>
      </c>
      <c r="D9686">
        <v>74.599999999999994</v>
      </c>
      <c r="E9686" t="s">
        <v>17</v>
      </c>
      <c r="F9686">
        <v>23.17</v>
      </c>
      <c r="G9686">
        <v>22.2</v>
      </c>
      <c r="H9686" t="s">
        <v>17</v>
      </c>
      <c r="I9686" t="str">
        <f>"063993006620"</f>
        <v>063993006620</v>
      </c>
    </row>
    <row r="9687" spans="1:9" x14ac:dyDescent="0.25">
      <c r="A9687" t="s">
        <v>8451</v>
      </c>
      <c r="B9687" t="s">
        <v>13</v>
      </c>
      <c r="C9687" t="str">
        <f>"0.50"</f>
        <v>0.50</v>
      </c>
      <c r="D9687" t="str">
        <f>"0.50"</f>
        <v>0.50</v>
      </c>
      <c r="E9687" t="s">
        <v>17</v>
      </c>
      <c r="F9687">
        <v>8</v>
      </c>
      <c r="G9687">
        <v>20</v>
      </c>
      <c r="H9687" t="s">
        <v>17</v>
      </c>
      <c r="I9687" t="str">
        <f>"060201001837"</f>
        <v>060201001837</v>
      </c>
    </row>
    <row r="9688" spans="1:9" x14ac:dyDescent="0.25">
      <c r="A9688" t="s">
        <v>8452</v>
      </c>
      <c r="B9688" t="s">
        <v>13</v>
      </c>
      <c r="C9688" t="s">
        <v>17</v>
      </c>
      <c r="D9688" t="s">
        <v>17</v>
      </c>
      <c r="E9688" t="s">
        <v>17</v>
      </c>
      <c r="F9688" t="s">
        <v>17</v>
      </c>
      <c r="G9688" t="s">
        <v>17</v>
      </c>
      <c r="H9688" t="s">
        <v>17</v>
      </c>
      <c r="I9688" t="str">
        <f>"063441012583"</f>
        <v>063441012583</v>
      </c>
    </row>
    <row r="9689" spans="1:9" x14ac:dyDescent="0.25">
      <c r="A9689" t="s">
        <v>8453</v>
      </c>
      <c r="B9689" t="s">
        <v>13</v>
      </c>
      <c r="C9689">
        <v>14.77</v>
      </c>
      <c r="D9689">
        <v>17.77</v>
      </c>
      <c r="E9689" t="s">
        <v>17</v>
      </c>
      <c r="F9689">
        <v>16.59</v>
      </c>
      <c r="G9689">
        <v>16.09</v>
      </c>
      <c r="H9689" t="s">
        <v>17</v>
      </c>
      <c r="I9689" t="str">
        <f>"063994006624"</f>
        <v>063994006624</v>
      </c>
    </row>
    <row r="9690" spans="1:9" x14ac:dyDescent="0.25">
      <c r="A9690" t="s">
        <v>8454</v>
      </c>
      <c r="B9690" t="s">
        <v>13</v>
      </c>
      <c r="C9690" t="s">
        <v>14</v>
      </c>
      <c r="D9690" t="s">
        <v>14</v>
      </c>
      <c r="E9690" t="s">
        <v>17</v>
      </c>
      <c r="F9690" t="s">
        <v>14</v>
      </c>
      <c r="G9690" t="s">
        <v>14</v>
      </c>
      <c r="H9690" t="s">
        <v>17</v>
      </c>
      <c r="I9690" t="str">
        <f>"063994011693"</f>
        <v>063994011693</v>
      </c>
    </row>
    <row r="9691" spans="1:9" x14ac:dyDescent="0.25">
      <c r="A9691" t="s">
        <v>8455</v>
      </c>
      <c r="B9691" t="s">
        <v>13</v>
      </c>
      <c r="C9691" t="s">
        <v>17</v>
      </c>
      <c r="D9691" t="str">
        <f>"0.60"</f>
        <v>0.60</v>
      </c>
      <c r="E9691" t="s">
        <v>17</v>
      </c>
      <c r="F9691" t="s">
        <v>17</v>
      </c>
      <c r="G9691">
        <v>11.67</v>
      </c>
      <c r="H9691" t="s">
        <v>17</v>
      </c>
      <c r="I9691" t="str">
        <f>"063994003335"</f>
        <v>063994003335</v>
      </c>
    </row>
    <row r="9692" spans="1:9" x14ac:dyDescent="0.25">
      <c r="A9692" t="s">
        <v>8456</v>
      </c>
      <c r="B9692" t="s">
        <v>13</v>
      </c>
      <c r="C9692">
        <v>17.34</v>
      </c>
      <c r="D9692">
        <v>18.739999999999998</v>
      </c>
      <c r="E9692" t="s">
        <v>17</v>
      </c>
      <c r="F9692">
        <v>13.03</v>
      </c>
      <c r="G9692">
        <v>12.11</v>
      </c>
      <c r="H9692" t="s">
        <v>17</v>
      </c>
      <c r="I9692" t="str">
        <f>"063994006623"</f>
        <v>063994006623</v>
      </c>
    </row>
    <row r="9693" spans="1:9" x14ac:dyDescent="0.25">
      <c r="A9693" t="s">
        <v>8457</v>
      </c>
      <c r="B9693" t="s">
        <v>13</v>
      </c>
      <c r="C9693">
        <v>17.5</v>
      </c>
      <c r="D9693">
        <v>18.5</v>
      </c>
      <c r="E9693" t="s">
        <v>17</v>
      </c>
      <c r="F9693">
        <v>26.91</v>
      </c>
      <c r="G9693">
        <v>24.7</v>
      </c>
      <c r="H9693" t="s">
        <v>17</v>
      </c>
      <c r="I9693" t="str">
        <f>"060003204960"</f>
        <v>060003204960</v>
      </c>
    </row>
    <row r="9694" spans="1:9" x14ac:dyDescent="0.25">
      <c r="A9694" t="s">
        <v>8458</v>
      </c>
      <c r="B9694" t="s">
        <v>13</v>
      </c>
      <c r="C9694">
        <v>28.65</v>
      </c>
      <c r="D9694">
        <v>30.35</v>
      </c>
      <c r="E9694" t="s">
        <v>17</v>
      </c>
      <c r="F9694">
        <v>26.74</v>
      </c>
      <c r="G9694">
        <v>23.99</v>
      </c>
      <c r="H9694" t="s">
        <v>17</v>
      </c>
      <c r="I9694" t="str">
        <f>"062169002583"</f>
        <v>062169002583</v>
      </c>
    </row>
    <row r="9695" spans="1:9" x14ac:dyDescent="0.25">
      <c r="A9695" t="s">
        <v>8459</v>
      </c>
      <c r="B9695" t="s">
        <v>13</v>
      </c>
      <c r="C9695">
        <v>22</v>
      </c>
      <c r="D9695">
        <v>22</v>
      </c>
      <c r="E9695" t="s">
        <v>17</v>
      </c>
      <c r="F9695">
        <v>24.09</v>
      </c>
      <c r="G9695">
        <v>23.14</v>
      </c>
      <c r="H9695" t="s">
        <v>17</v>
      </c>
      <c r="I9695" t="str">
        <f>"062271003406"</f>
        <v>062271003406</v>
      </c>
    </row>
    <row r="9696" spans="1:9" x14ac:dyDescent="0.25">
      <c r="A9696" t="s">
        <v>8460</v>
      </c>
      <c r="B9696" t="s">
        <v>13</v>
      </c>
      <c r="C9696">
        <v>40.01</v>
      </c>
      <c r="D9696">
        <v>42.05</v>
      </c>
      <c r="E9696" t="s">
        <v>17</v>
      </c>
      <c r="F9696">
        <v>29.29</v>
      </c>
      <c r="G9696">
        <v>27.16</v>
      </c>
      <c r="H9696" t="s">
        <v>17</v>
      </c>
      <c r="I9696" t="str">
        <f>"062958004577"</f>
        <v>062958004577</v>
      </c>
    </row>
    <row r="9697" spans="1:9" x14ac:dyDescent="0.25">
      <c r="A9697" t="s">
        <v>8461</v>
      </c>
      <c r="B9697" t="s">
        <v>13</v>
      </c>
      <c r="C9697">
        <v>29.2</v>
      </c>
      <c r="D9697">
        <v>27</v>
      </c>
      <c r="E9697" t="s">
        <v>17</v>
      </c>
      <c r="F9697">
        <v>26.95</v>
      </c>
      <c r="G9697">
        <v>28.26</v>
      </c>
      <c r="H9697" t="s">
        <v>17</v>
      </c>
      <c r="I9697" t="str">
        <f>"060558009318"</f>
        <v>060558009318</v>
      </c>
    </row>
    <row r="9698" spans="1:9" x14ac:dyDescent="0.25">
      <c r="A9698" t="s">
        <v>8462</v>
      </c>
      <c r="B9698" t="s">
        <v>13</v>
      </c>
      <c r="C9698" t="s">
        <v>14</v>
      </c>
      <c r="D9698" t="s">
        <v>14</v>
      </c>
      <c r="E9698" t="s">
        <v>17</v>
      </c>
      <c r="F9698" t="s">
        <v>14</v>
      </c>
      <c r="G9698" t="s">
        <v>14</v>
      </c>
      <c r="H9698" t="s">
        <v>17</v>
      </c>
      <c r="I9698" t="str">
        <f>"069104610448"</f>
        <v>069104610448</v>
      </c>
    </row>
    <row r="9699" spans="1:9" x14ac:dyDescent="0.25">
      <c r="A9699" t="s">
        <v>8463</v>
      </c>
      <c r="B9699" t="s">
        <v>13</v>
      </c>
      <c r="C9699" t="s">
        <v>14</v>
      </c>
      <c r="D9699" t="s">
        <v>14</v>
      </c>
      <c r="E9699" t="s">
        <v>17</v>
      </c>
      <c r="F9699" t="s">
        <v>14</v>
      </c>
      <c r="G9699" t="s">
        <v>14</v>
      </c>
      <c r="H9699" t="s">
        <v>17</v>
      </c>
      <c r="I9699" t="str">
        <f>"069104611373"</f>
        <v>069104611373</v>
      </c>
    </row>
    <row r="9700" spans="1:9" x14ac:dyDescent="0.25">
      <c r="A9700" t="s">
        <v>8464</v>
      </c>
      <c r="B9700" t="s">
        <v>13</v>
      </c>
      <c r="C9700">
        <v>1</v>
      </c>
      <c r="D9700" t="str">
        <f>"0.60"</f>
        <v>0.60</v>
      </c>
      <c r="E9700" t="s">
        <v>17</v>
      </c>
      <c r="F9700">
        <v>6</v>
      </c>
      <c r="G9700">
        <v>13.33</v>
      </c>
      <c r="H9700" t="s">
        <v>17</v>
      </c>
      <c r="I9700" t="str">
        <f>"069104608427"</f>
        <v>069104608427</v>
      </c>
    </row>
    <row r="9701" spans="1:9" x14ac:dyDescent="0.25">
      <c r="A9701" t="s">
        <v>8465</v>
      </c>
      <c r="B9701" t="s">
        <v>13</v>
      </c>
      <c r="C9701">
        <v>4</v>
      </c>
      <c r="D9701">
        <v>2.6</v>
      </c>
      <c r="E9701" t="s">
        <v>17</v>
      </c>
      <c r="F9701">
        <v>4.75</v>
      </c>
      <c r="G9701">
        <v>6.54</v>
      </c>
      <c r="H9701" t="s">
        <v>17</v>
      </c>
      <c r="I9701" t="str">
        <f>"069104601850"</f>
        <v>069104601850</v>
      </c>
    </row>
    <row r="9702" spans="1:9" x14ac:dyDescent="0.25">
      <c r="A9702" t="s">
        <v>8466</v>
      </c>
      <c r="B9702" t="s">
        <v>13</v>
      </c>
      <c r="C9702">
        <v>11</v>
      </c>
      <c r="D9702">
        <v>9.1999999999999993</v>
      </c>
      <c r="E9702" t="s">
        <v>17</v>
      </c>
      <c r="F9702">
        <v>5.73</v>
      </c>
      <c r="G9702">
        <v>6.74</v>
      </c>
      <c r="H9702" t="s">
        <v>17</v>
      </c>
      <c r="I9702" t="str">
        <f>"069104607471"</f>
        <v>069104607471</v>
      </c>
    </row>
    <row r="9703" spans="1:9" x14ac:dyDescent="0.25">
      <c r="A9703" t="s">
        <v>8467</v>
      </c>
      <c r="B9703" t="s">
        <v>13</v>
      </c>
      <c r="C9703" t="s">
        <v>17</v>
      </c>
      <c r="D9703" t="s">
        <v>14</v>
      </c>
      <c r="E9703" t="s">
        <v>14</v>
      </c>
      <c r="F9703" t="s">
        <v>17</v>
      </c>
      <c r="G9703" t="s">
        <v>14</v>
      </c>
      <c r="H9703" t="s">
        <v>14</v>
      </c>
      <c r="I9703" t="str">
        <f>"069104613617"</f>
        <v>069104613617</v>
      </c>
    </row>
    <row r="9704" spans="1:9" x14ac:dyDescent="0.25">
      <c r="A9704" t="s">
        <v>8468</v>
      </c>
      <c r="B9704" t="s">
        <v>13</v>
      </c>
      <c r="C9704">
        <v>25</v>
      </c>
      <c r="D9704">
        <v>29.8</v>
      </c>
      <c r="E9704" t="s">
        <v>17</v>
      </c>
      <c r="F9704">
        <v>26.44</v>
      </c>
      <c r="G9704">
        <v>21.14</v>
      </c>
      <c r="H9704" t="s">
        <v>17</v>
      </c>
      <c r="I9704" t="str">
        <f>"062513003754"</f>
        <v>062513003754</v>
      </c>
    </row>
    <row r="9705" spans="1:9" x14ac:dyDescent="0.25">
      <c r="A9705" t="s">
        <v>8469</v>
      </c>
      <c r="B9705" t="s">
        <v>13</v>
      </c>
      <c r="C9705">
        <v>1</v>
      </c>
      <c r="D9705" t="str">
        <f>"0.74"</f>
        <v>0.74</v>
      </c>
      <c r="E9705" t="s">
        <v>17</v>
      </c>
      <c r="F9705">
        <v>6</v>
      </c>
      <c r="G9705">
        <v>8.11</v>
      </c>
      <c r="H9705" t="s">
        <v>17</v>
      </c>
      <c r="I9705" t="str">
        <f>"063828010337"</f>
        <v>063828010337</v>
      </c>
    </row>
    <row r="9706" spans="1:9" x14ac:dyDescent="0.25">
      <c r="A9706" t="s">
        <v>8470</v>
      </c>
      <c r="B9706" t="s">
        <v>13</v>
      </c>
      <c r="C9706">
        <v>95.21</v>
      </c>
      <c r="D9706">
        <v>97.7</v>
      </c>
      <c r="E9706" t="s">
        <v>17</v>
      </c>
      <c r="F9706">
        <v>22.97</v>
      </c>
      <c r="G9706">
        <v>21.76</v>
      </c>
      <c r="H9706" t="s">
        <v>17</v>
      </c>
      <c r="I9706" t="str">
        <f>"060015811505"</f>
        <v>060015811505</v>
      </c>
    </row>
    <row r="9707" spans="1:9" x14ac:dyDescent="0.25">
      <c r="A9707" t="s">
        <v>8471</v>
      </c>
      <c r="B9707" t="s">
        <v>13</v>
      </c>
      <c r="C9707">
        <v>52.85</v>
      </c>
      <c r="D9707">
        <v>52.51</v>
      </c>
      <c r="E9707" t="s">
        <v>17</v>
      </c>
      <c r="F9707">
        <v>24.67</v>
      </c>
      <c r="G9707">
        <v>25.08</v>
      </c>
      <c r="H9707" t="s">
        <v>17</v>
      </c>
      <c r="I9707" t="str">
        <f>"060015811506"</f>
        <v>060015811506</v>
      </c>
    </row>
    <row r="9708" spans="1:9" x14ac:dyDescent="0.25">
      <c r="A9708" t="s">
        <v>8472</v>
      </c>
      <c r="B9708" t="s">
        <v>13</v>
      </c>
      <c r="C9708">
        <v>1.1100000000000001</v>
      </c>
      <c r="D9708" t="s">
        <v>14</v>
      </c>
      <c r="E9708" t="s">
        <v>14</v>
      </c>
      <c r="F9708">
        <v>3.6</v>
      </c>
      <c r="G9708" t="s">
        <v>14</v>
      </c>
      <c r="H9708" t="s">
        <v>14</v>
      </c>
      <c r="I9708" t="str">
        <f>"062223012997"</f>
        <v>062223012997</v>
      </c>
    </row>
    <row r="9709" spans="1:9" x14ac:dyDescent="0.25">
      <c r="A9709" t="s">
        <v>8473</v>
      </c>
      <c r="B9709" t="s">
        <v>13</v>
      </c>
      <c r="C9709">
        <v>25</v>
      </c>
      <c r="D9709">
        <v>24</v>
      </c>
      <c r="E9709" t="s">
        <v>17</v>
      </c>
      <c r="F9709">
        <v>26.36</v>
      </c>
      <c r="G9709">
        <v>26.67</v>
      </c>
      <c r="H9709" t="s">
        <v>17</v>
      </c>
      <c r="I9709" t="str">
        <f>"061455001774"</f>
        <v>061455001774</v>
      </c>
    </row>
    <row r="9710" spans="1:9" x14ac:dyDescent="0.25">
      <c r="A9710" t="s">
        <v>8473</v>
      </c>
      <c r="B9710" t="s">
        <v>13</v>
      </c>
      <c r="C9710">
        <v>19</v>
      </c>
      <c r="D9710">
        <v>19</v>
      </c>
      <c r="E9710" t="s">
        <v>17</v>
      </c>
      <c r="F9710">
        <v>29.53</v>
      </c>
      <c r="G9710">
        <v>28</v>
      </c>
      <c r="H9710" t="s">
        <v>17</v>
      </c>
      <c r="I9710" t="str">
        <f>"060285000218"</f>
        <v>060285000218</v>
      </c>
    </row>
    <row r="9711" spans="1:9" x14ac:dyDescent="0.25">
      <c r="A9711" t="s">
        <v>8474</v>
      </c>
      <c r="B9711" t="s">
        <v>13</v>
      </c>
      <c r="C9711">
        <v>1</v>
      </c>
      <c r="D9711">
        <v>1</v>
      </c>
      <c r="E9711" t="s">
        <v>17</v>
      </c>
      <c r="F9711">
        <v>2</v>
      </c>
      <c r="G9711">
        <v>5</v>
      </c>
      <c r="H9711" t="s">
        <v>17</v>
      </c>
      <c r="I9711" t="str">
        <f>"061089012636"</f>
        <v>061089012636</v>
      </c>
    </row>
    <row r="9712" spans="1:9" x14ac:dyDescent="0.25">
      <c r="A9712" t="s">
        <v>8475</v>
      </c>
      <c r="B9712" t="s">
        <v>13</v>
      </c>
      <c r="C9712">
        <v>24</v>
      </c>
      <c r="D9712">
        <v>25</v>
      </c>
      <c r="E9712" t="s">
        <v>17</v>
      </c>
      <c r="F9712">
        <v>30.17</v>
      </c>
      <c r="G9712">
        <v>27.2</v>
      </c>
      <c r="H9712" t="s">
        <v>17</v>
      </c>
      <c r="I9712" t="str">
        <f>"063204009182"</f>
        <v>063204009182</v>
      </c>
    </row>
    <row r="9713" spans="1:9" x14ac:dyDescent="0.25">
      <c r="A9713" t="s">
        <v>8476</v>
      </c>
      <c r="B9713" t="s">
        <v>13</v>
      </c>
      <c r="C9713">
        <v>25.98</v>
      </c>
      <c r="D9713">
        <v>26.99</v>
      </c>
      <c r="E9713" t="s">
        <v>17</v>
      </c>
      <c r="F9713">
        <v>33.22</v>
      </c>
      <c r="G9713">
        <v>30.79</v>
      </c>
      <c r="H9713" t="s">
        <v>17</v>
      </c>
      <c r="I9713" t="str">
        <f>"068450007066"</f>
        <v>068450007066</v>
      </c>
    </row>
    <row r="9714" spans="1:9" x14ac:dyDescent="0.25">
      <c r="A9714" t="s">
        <v>8477</v>
      </c>
      <c r="B9714" t="s">
        <v>13</v>
      </c>
      <c r="C9714">
        <v>20.5</v>
      </c>
      <c r="D9714">
        <v>20</v>
      </c>
      <c r="E9714" t="s">
        <v>17</v>
      </c>
      <c r="F9714">
        <v>27.07</v>
      </c>
      <c r="G9714">
        <v>27.55</v>
      </c>
      <c r="H9714" t="s">
        <v>17</v>
      </c>
      <c r="I9714" t="str">
        <f>"063153010007"</f>
        <v>063153010007</v>
      </c>
    </row>
    <row r="9715" spans="1:9" x14ac:dyDescent="0.25">
      <c r="A9715" t="s">
        <v>8478</v>
      </c>
      <c r="B9715" t="s">
        <v>13</v>
      </c>
      <c r="C9715">
        <v>32</v>
      </c>
      <c r="D9715">
        <v>29</v>
      </c>
      <c r="E9715" t="s">
        <v>17</v>
      </c>
      <c r="F9715">
        <v>25.16</v>
      </c>
      <c r="G9715">
        <v>25.17</v>
      </c>
      <c r="H9715" t="s">
        <v>17</v>
      </c>
      <c r="I9715" t="str">
        <f>"060002702451"</f>
        <v>060002702451</v>
      </c>
    </row>
    <row r="9716" spans="1:9" x14ac:dyDescent="0.25">
      <c r="A9716" t="s">
        <v>8479</v>
      </c>
      <c r="B9716" t="s">
        <v>13</v>
      </c>
      <c r="C9716">
        <v>81.78</v>
      </c>
      <c r="D9716">
        <v>79.38</v>
      </c>
      <c r="E9716" t="s">
        <v>17</v>
      </c>
      <c r="F9716">
        <v>26.24</v>
      </c>
      <c r="G9716">
        <v>27.35</v>
      </c>
      <c r="H9716" t="s">
        <v>17</v>
      </c>
      <c r="I9716" t="str">
        <f>"064015006647"</f>
        <v>064015006647</v>
      </c>
    </row>
    <row r="9717" spans="1:9" x14ac:dyDescent="0.25">
      <c r="A9717" t="s">
        <v>8480</v>
      </c>
      <c r="B9717" t="s">
        <v>13</v>
      </c>
      <c r="C9717">
        <v>23</v>
      </c>
      <c r="D9717">
        <v>22</v>
      </c>
      <c r="E9717" t="s">
        <v>17</v>
      </c>
      <c r="F9717">
        <v>30.26</v>
      </c>
      <c r="G9717">
        <v>31.27</v>
      </c>
      <c r="H9717" t="s">
        <v>17</v>
      </c>
      <c r="I9717" t="str">
        <f>"064015006648"</f>
        <v>064015006648</v>
      </c>
    </row>
    <row r="9718" spans="1:9" x14ac:dyDescent="0.25">
      <c r="A9718" t="s">
        <v>8481</v>
      </c>
      <c r="B9718" t="s">
        <v>13</v>
      </c>
      <c r="C9718">
        <v>20.7</v>
      </c>
      <c r="D9718">
        <v>22.5</v>
      </c>
      <c r="E9718" t="s">
        <v>17</v>
      </c>
      <c r="F9718">
        <v>32.17</v>
      </c>
      <c r="G9718">
        <v>30.53</v>
      </c>
      <c r="H9718" t="s">
        <v>17</v>
      </c>
      <c r="I9718" t="str">
        <f>"064015004783"</f>
        <v>064015004783</v>
      </c>
    </row>
    <row r="9719" spans="1:9" x14ac:dyDescent="0.25">
      <c r="A9719" t="s">
        <v>8482</v>
      </c>
      <c r="B9719" t="s">
        <v>13</v>
      </c>
      <c r="C9719">
        <v>23</v>
      </c>
      <c r="D9719">
        <v>25</v>
      </c>
      <c r="E9719" t="s">
        <v>17</v>
      </c>
      <c r="F9719">
        <v>27.52</v>
      </c>
      <c r="G9719">
        <v>24.92</v>
      </c>
      <c r="H9719" t="s">
        <v>17</v>
      </c>
      <c r="I9719" t="str">
        <f>"062250002764"</f>
        <v>062250002764</v>
      </c>
    </row>
    <row r="9720" spans="1:9" x14ac:dyDescent="0.25">
      <c r="A9720" t="s">
        <v>8483</v>
      </c>
      <c r="B9720" t="s">
        <v>13</v>
      </c>
      <c r="C9720" t="s">
        <v>17</v>
      </c>
      <c r="D9720" t="s">
        <v>17</v>
      </c>
      <c r="E9720" t="s">
        <v>17</v>
      </c>
      <c r="F9720" t="s">
        <v>17</v>
      </c>
      <c r="G9720" t="s">
        <v>17</v>
      </c>
      <c r="H9720" t="s">
        <v>17</v>
      </c>
      <c r="I9720" t="str">
        <f>"064020008430"</f>
        <v>064020008430</v>
      </c>
    </row>
    <row r="9721" spans="1:9" x14ac:dyDescent="0.25">
      <c r="A9721" t="s">
        <v>8484</v>
      </c>
      <c r="B9721" t="s">
        <v>13</v>
      </c>
      <c r="C9721">
        <v>6</v>
      </c>
      <c r="D9721">
        <v>5.5</v>
      </c>
      <c r="E9721" t="s">
        <v>17</v>
      </c>
      <c r="F9721">
        <v>21.83</v>
      </c>
      <c r="G9721">
        <v>23.09</v>
      </c>
      <c r="H9721" t="s">
        <v>17</v>
      </c>
      <c r="I9721" t="str">
        <f>"064020006651"</f>
        <v>064020006651</v>
      </c>
    </row>
    <row r="9722" spans="1:9" x14ac:dyDescent="0.25">
      <c r="A9722" t="s">
        <v>8485</v>
      </c>
      <c r="B9722" t="s">
        <v>13</v>
      </c>
      <c r="C9722">
        <v>24.85</v>
      </c>
      <c r="D9722">
        <v>26.25</v>
      </c>
      <c r="E9722" t="s">
        <v>17</v>
      </c>
      <c r="F9722">
        <v>10.5</v>
      </c>
      <c r="G9722">
        <v>11.62</v>
      </c>
      <c r="H9722" t="s">
        <v>17</v>
      </c>
      <c r="I9722" t="str">
        <f>"063432005562"</f>
        <v>063432005562</v>
      </c>
    </row>
    <row r="9723" spans="1:9" x14ac:dyDescent="0.25">
      <c r="A9723" t="s">
        <v>8486</v>
      </c>
      <c r="B9723" t="s">
        <v>13</v>
      </c>
      <c r="C9723">
        <v>29</v>
      </c>
      <c r="D9723">
        <v>28</v>
      </c>
      <c r="E9723" t="s">
        <v>17</v>
      </c>
      <c r="F9723">
        <v>22.76</v>
      </c>
      <c r="G9723">
        <v>23.32</v>
      </c>
      <c r="H9723" t="s">
        <v>17</v>
      </c>
      <c r="I9723" t="str">
        <f>"062271003407"</f>
        <v>062271003407</v>
      </c>
    </row>
    <row r="9724" spans="1:9" x14ac:dyDescent="0.25">
      <c r="A9724" t="s">
        <v>8487</v>
      </c>
      <c r="B9724" t="s">
        <v>13</v>
      </c>
      <c r="C9724">
        <v>29</v>
      </c>
      <c r="D9724">
        <v>30</v>
      </c>
      <c r="E9724" t="s">
        <v>17</v>
      </c>
      <c r="F9724">
        <v>25.1</v>
      </c>
      <c r="G9724">
        <v>22.9</v>
      </c>
      <c r="H9724" t="s">
        <v>17</v>
      </c>
      <c r="I9724" t="str">
        <f>"064214011006"</f>
        <v>064214011006</v>
      </c>
    </row>
    <row r="9725" spans="1:9" x14ac:dyDescent="0.25">
      <c r="A9725" t="s">
        <v>8488</v>
      </c>
      <c r="B9725" t="s">
        <v>13</v>
      </c>
      <c r="C9725">
        <v>35.1</v>
      </c>
      <c r="D9725">
        <v>37.5</v>
      </c>
      <c r="E9725" t="s">
        <v>17</v>
      </c>
      <c r="F9725">
        <v>24.42</v>
      </c>
      <c r="G9725">
        <v>21.92</v>
      </c>
      <c r="H9725" t="s">
        <v>17</v>
      </c>
      <c r="I9725" t="str">
        <f>"064214011705"</f>
        <v>064214011705</v>
      </c>
    </row>
    <row r="9726" spans="1:9" x14ac:dyDescent="0.25">
      <c r="A9726" t="s">
        <v>8489</v>
      </c>
      <c r="B9726" t="s">
        <v>13</v>
      </c>
      <c r="C9726">
        <v>26</v>
      </c>
      <c r="D9726">
        <v>27</v>
      </c>
      <c r="E9726" t="s">
        <v>17</v>
      </c>
      <c r="F9726">
        <v>24.15</v>
      </c>
      <c r="G9726">
        <v>24.04</v>
      </c>
      <c r="H9726" t="s">
        <v>17</v>
      </c>
      <c r="I9726" t="str">
        <f>"062271003408"</f>
        <v>062271003408</v>
      </c>
    </row>
    <row r="9727" spans="1:9" x14ac:dyDescent="0.25">
      <c r="A9727" t="s">
        <v>8490</v>
      </c>
      <c r="B9727" t="s">
        <v>13</v>
      </c>
      <c r="C9727">
        <v>34</v>
      </c>
      <c r="D9727">
        <v>34</v>
      </c>
      <c r="E9727" t="s">
        <v>17</v>
      </c>
      <c r="F9727">
        <v>24.09</v>
      </c>
      <c r="G9727">
        <v>23.44</v>
      </c>
      <c r="H9727" t="s">
        <v>17</v>
      </c>
      <c r="I9727" t="str">
        <f>"062271003409"</f>
        <v>062271003409</v>
      </c>
    </row>
    <row r="9728" spans="1:9" x14ac:dyDescent="0.25">
      <c r="A9728" t="s">
        <v>8491</v>
      </c>
      <c r="B9728" t="s">
        <v>13</v>
      </c>
      <c r="C9728">
        <v>28.5</v>
      </c>
      <c r="D9728">
        <v>26.01</v>
      </c>
      <c r="E9728" t="s">
        <v>17</v>
      </c>
      <c r="F9728">
        <v>22.28</v>
      </c>
      <c r="G9728">
        <v>23.57</v>
      </c>
      <c r="H9728" t="s">
        <v>17</v>
      </c>
      <c r="I9728" t="str">
        <f>"062271003410"</f>
        <v>062271003410</v>
      </c>
    </row>
    <row r="9729" spans="1:9" x14ac:dyDescent="0.25">
      <c r="A9729" t="s">
        <v>8492</v>
      </c>
      <c r="B9729" t="s">
        <v>13</v>
      </c>
      <c r="C9729">
        <v>27.15</v>
      </c>
      <c r="D9729">
        <v>28.15</v>
      </c>
      <c r="E9729" t="s">
        <v>17</v>
      </c>
      <c r="F9729">
        <v>24.9</v>
      </c>
      <c r="G9729">
        <v>23.02</v>
      </c>
      <c r="H9729" t="s">
        <v>17</v>
      </c>
      <c r="I9729" t="str">
        <f>"062586003891"</f>
        <v>062586003891</v>
      </c>
    </row>
    <row r="9730" spans="1:9" x14ac:dyDescent="0.25">
      <c r="A9730" t="s">
        <v>8493</v>
      </c>
      <c r="B9730" t="s">
        <v>13</v>
      </c>
      <c r="C9730">
        <v>35.799999999999997</v>
      </c>
      <c r="D9730">
        <v>35.68</v>
      </c>
      <c r="E9730" t="s">
        <v>17</v>
      </c>
      <c r="F9730">
        <v>22.04</v>
      </c>
      <c r="G9730">
        <v>23.23</v>
      </c>
      <c r="H9730" t="s">
        <v>17</v>
      </c>
      <c r="I9730" t="str">
        <f>"062586003892"</f>
        <v>062586003892</v>
      </c>
    </row>
    <row r="9731" spans="1:9" x14ac:dyDescent="0.25">
      <c r="A9731" t="s">
        <v>8494</v>
      </c>
      <c r="B9731" t="s">
        <v>13</v>
      </c>
      <c r="C9731">
        <v>21.1</v>
      </c>
      <c r="D9731">
        <v>21.2</v>
      </c>
      <c r="E9731" t="s">
        <v>17</v>
      </c>
      <c r="F9731">
        <v>21.8</v>
      </c>
      <c r="G9731">
        <v>23.49</v>
      </c>
      <c r="H9731" t="s">
        <v>17</v>
      </c>
      <c r="I9731" t="str">
        <f>"062586003893"</f>
        <v>062586003893</v>
      </c>
    </row>
    <row r="9732" spans="1:9" x14ac:dyDescent="0.25">
      <c r="A9732" t="s">
        <v>8495</v>
      </c>
      <c r="B9732" t="s">
        <v>13</v>
      </c>
      <c r="C9732">
        <v>24</v>
      </c>
      <c r="D9732">
        <v>24</v>
      </c>
      <c r="E9732" t="s">
        <v>17</v>
      </c>
      <c r="F9732">
        <v>27.46</v>
      </c>
      <c r="G9732">
        <v>27.5</v>
      </c>
      <c r="H9732" t="s">
        <v>17</v>
      </c>
      <c r="I9732" t="str">
        <f>"063603006169"</f>
        <v>063603006169</v>
      </c>
    </row>
    <row r="9733" spans="1:9" x14ac:dyDescent="0.25">
      <c r="A9733" t="s">
        <v>8496</v>
      </c>
      <c r="B9733" t="s">
        <v>13</v>
      </c>
      <c r="C9733">
        <v>25.2</v>
      </c>
      <c r="D9733">
        <v>25.73</v>
      </c>
      <c r="E9733" t="s">
        <v>17</v>
      </c>
      <c r="F9733">
        <v>21.59</v>
      </c>
      <c r="G9733">
        <v>21.06</v>
      </c>
      <c r="H9733" t="s">
        <v>17</v>
      </c>
      <c r="I9733" t="str">
        <f>"063513005959"</f>
        <v>063513005959</v>
      </c>
    </row>
    <row r="9734" spans="1:9" x14ac:dyDescent="0.25">
      <c r="A9734" t="s">
        <v>8497</v>
      </c>
      <c r="B9734" t="s">
        <v>13</v>
      </c>
      <c r="C9734">
        <v>13.45</v>
      </c>
      <c r="D9734">
        <v>13.95</v>
      </c>
      <c r="E9734" t="s">
        <v>17</v>
      </c>
      <c r="F9734">
        <v>22.53</v>
      </c>
      <c r="G9734">
        <v>22.29</v>
      </c>
      <c r="H9734" t="s">
        <v>17</v>
      </c>
      <c r="I9734" t="str">
        <f>"064023006653"</f>
        <v>064023006653</v>
      </c>
    </row>
    <row r="9735" spans="1:9" x14ac:dyDescent="0.25">
      <c r="A9735" t="s">
        <v>8498</v>
      </c>
      <c r="B9735" t="s">
        <v>13</v>
      </c>
      <c r="C9735">
        <v>22.03</v>
      </c>
      <c r="D9735">
        <v>25</v>
      </c>
      <c r="E9735" t="s">
        <v>17</v>
      </c>
      <c r="F9735">
        <v>29.51</v>
      </c>
      <c r="G9735">
        <v>25.84</v>
      </c>
      <c r="H9735" t="s">
        <v>17</v>
      </c>
      <c r="I9735" t="str">
        <f>"063462005825"</f>
        <v>063462005825</v>
      </c>
    </row>
    <row r="9736" spans="1:9" x14ac:dyDescent="0.25">
      <c r="A9736" t="s">
        <v>8498</v>
      </c>
      <c r="B9736" t="s">
        <v>13</v>
      </c>
      <c r="C9736">
        <v>17.2</v>
      </c>
      <c r="D9736">
        <v>19.25</v>
      </c>
      <c r="E9736" t="s">
        <v>17</v>
      </c>
      <c r="F9736">
        <v>30</v>
      </c>
      <c r="G9736">
        <v>29.56</v>
      </c>
      <c r="H9736" t="s">
        <v>17</v>
      </c>
      <c r="I9736" t="str">
        <f>"062619008913"</f>
        <v>062619008913</v>
      </c>
    </row>
    <row r="9737" spans="1:9" x14ac:dyDescent="0.25">
      <c r="A9737" t="s">
        <v>8499</v>
      </c>
      <c r="B9737" t="s">
        <v>13</v>
      </c>
      <c r="C9737">
        <v>16</v>
      </c>
      <c r="D9737">
        <v>16</v>
      </c>
      <c r="E9737" t="s">
        <v>17</v>
      </c>
      <c r="F9737">
        <v>26.75</v>
      </c>
      <c r="G9737">
        <v>26.63</v>
      </c>
      <c r="H9737" t="s">
        <v>17</v>
      </c>
      <c r="I9737" t="str">
        <f>"060001308256"</f>
        <v>060001308256</v>
      </c>
    </row>
    <row r="9738" spans="1:9" x14ac:dyDescent="0.25">
      <c r="A9738" t="s">
        <v>8499</v>
      </c>
      <c r="B9738" t="s">
        <v>13</v>
      </c>
      <c r="C9738">
        <v>28.5</v>
      </c>
      <c r="D9738">
        <v>26.97</v>
      </c>
      <c r="E9738" t="s">
        <v>17</v>
      </c>
      <c r="F9738">
        <v>24.53</v>
      </c>
      <c r="G9738">
        <v>26.88</v>
      </c>
      <c r="H9738" t="s">
        <v>17</v>
      </c>
      <c r="I9738" t="str">
        <f>"063488007719"</f>
        <v>063488007719</v>
      </c>
    </row>
    <row r="9739" spans="1:9" x14ac:dyDescent="0.25">
      <c r="A9739" t="s">
        <v>8500</v>
      </c>
      <c r="B9739" t="s">
        <v>13</v>
      </c>
      <c r="C9739">
        <v>13.87</v>
      </c>
      <c r="D9739">
        <v>11.87</v>
      </c>
      <c r="E9739" t="s">
        <v>17</v>
      </c>
      <c r="F9739">
        <v>11.9</v>
      </c>
      <c r="G9739">
        <v>17.02</v>
      </c>
      <c r="H9739" t="s">
        <v>17</v>
      </c>
      <c r="I9739" t="str">
        <f>"063488005891"</f>
        <v>063488005891</v>
      </c>
    </row>
    <row r="9740" spans="1:9" x14ac:dyDescent="0.25">
      <c r="A9740" t="s">
        <v>8501</v>
      </c>
      <c r="B9740" t="s">
        <v>13</v>
      </c>
      <c r="C9740">
        <v>4.83</v>
      </c>
      <c r="D9740">
        <v>5</v>
      </c>
      <c r="E9740" t="s">
        <v>17</v>
      </c>
      <c r="F9740">
        <v>21.12</v>
      </c>
      <c r="G9740">
        <v>18.399999999999999</v>
      </c>
      <c r="H9740" t="s">
        <v>17</v>
      </c>
      <c r="I9740" t="str">
        <f>"062964004603"</f>
        <v>062964004603</v>
      </c>
    </row>
    <row r="9741" spans="1:9" x14ac:dyDescent="0.25">
      <c r="A9741" t="s">
        <v>8502</v>
      </c>
      <c r="B9741" t="s">
        <v>13</v>
      </c>
      <c r="C9741">
        <v>41.37</v>
      </c>
      <c r="D9741">
        <v>43.05</v>
      </c>
      <c r="E9741" t="s">
        <v>17</v>
      </c>
      <c r="F9741">
        <v>30.09</v>
      </c>
      <c r="G9741">
        <v>29.22</v>
      </c>
      <c r="H9741" t="s">
        <v>17</v>
      </c>
      <c r="I9741" t="str">
        <f>"063153004898"</f>
        <v>063153004898</v>
      </c>
    </row>
    <row r="9742" spans="1:9" x14ac:dyDescent="0.25">
      <c r="A9742" t="s">
        <v>8503</v>
      </c>
      <c r="B9742" t="s">
        <v>13</v>
      </c>
      <c r="C9742" t="s">
        <v>14</v>
      </c>
      <c r="D9742" t="s">
        <v>14</v>
      </c>
      <c r="E9742" t="s">
        <v>17</v>
      </c>
      <c r="F9742" t="s">
        <v>14</v>
      </c>
      <c r="G9742" t="s">
        <v>14</v>
      </c>
      <c r="H9742" t="s">
        <v>17</v>
      </c>
      <c r="I9742" t="str">
        <f>"060001211277"</f>
        <v>060001211277</v>
      </c>
    </row>
    <row r="9743" spans="1:9" x14ac:dyDescent="0.25">
      <c r="A9743" t="s">
        <v>8504</v>
      </c>
      <c r="B9743" t="s">
        <v>13</v>
      </c>
      <c r="C9743">
        <v>4.4000000000000004</v>
      </c>
      <c r="D9743">
        <v>5</v>
      </c>
      <c r="E9743" t="s">
        <v>17</v>
      </c>
      <c r="F9743">
        <v>24.32</v>
      </c>
      <c r="G9743">
        <v>23.8</v>
      </c>
      <c r="H9743" t="s">
        <v>17</v>
      </c>
      <c r="I9743" t="str">
        <f>"069102311877"</f>
        <v>069102311877</v>
      </c>
    </row>
    <row r="9744" spans="1:9" x14ac:dyDescent="0.25">
      <c r="A9744" t="s">
        <v>8505</v>
      </c>
      <c r="B9744" t="s">
        <v>13</v>
      </c>
      <c r="C9744" t="s">
        <v>17</v>
      </c>
      <c r="D9744" t="s">
        <v>14</v>
      </c>
      <c r="E9744" t="s">
        <v>14</v>
      </c>
      <c r="F9744" t="s">
        <v>17</v>
      </c>
      <c r="G9744" t="s">
        <v>14</v>
      </c>
      <c r="H9744" t="s">
        <v>14</v>
      </c>
      <c r="I9744" t="str">
        <f>"060001213453"</f>
        <v>060001213453</v>
      </c>
    </row>
    <row r="9745" spans="1:9" x14ac:dyDescent="0.25">
      <c r="A9745" t="s">
        <v>8506</v>
      </c>
      <c r="B9745" t="s">
        <v>13</v>
      </c>
      <c r="C9745">
        <v>15</v>
      </c>
      <c r="D9745">
        <v>14</v>
      </c>
      <c r="E9745" t="s">
        <v>17</v>
      </c>
      <c r="F9745">
        <v>24.07</v>
      </c>
      <c r="G9745">
        <v>23.79</v>
      </c>
      <c r="H9745" t="s">
        <v>17</v>
      </c>
      <c r="I9745" t="str">
        <f>"064347011519"</f>
        <v>064347011519</v>
      </c>
    </row>
    <row r="9746" spans="1:9" x14ac:dyDescent="0.25">
      <c r="A9746" t="s">
        <v>8507</v>
      </c>
      <c r="B9746" t="s">
        <v>13</v>
      </c>
      <c r="C9746">
        <v>20</v>
      </c>
      <c r="D9746">
        <v>22</v>
      </c>
      <c r="E9746" t="s">
        <v>17</v>
      </c>
      <c r="F9746">
        <v>28.85</v>
      </c>
      <c r="G9746">
        <v>28.5</v>
      </c>
      <c r="H9746" t="s">
        <v>17</v>
      </c>
      <c r="I9746" t="str">
        <f>"060243000140"</f>
        <v>060243000140</v>
      </c>
    </row>
    <row r="9747" spans="1:9" x14ac:dyDescent="0.25">
      <c r="A9747" t="s">
        <v>8508</v>
      </c>
      <c r="B9747" t="s">
        <v>13</v>
      </c>
      <c r="C9747">
        <v>30</v>
      </c>
      <c r="D9747">
        <v>29</v>
      </c>
      <c r="E9747" t="s">
        <v>17</v>
      </c>
      <c r="F9747">
        <v>28.7</v>
      </c>
      <c r="G9747">
        <v>28.38</v>
      </c>
      <c r="H9747" t="s">
        <v>17</v>
      </c>
      <c r="I9747" t="str">
        <f>"062955007602"</f>
        <v>062955007602</v>
      </c>
    </row>
    <row r="9748" spans="1:9" x14ac:dyDescent="0.25">
      <c r="A9748" t="s">
        <v>8509</v>
      </c>
      <c r="B9748" t="s">
        <v>13</v>
      </c>
      <c r="C9748">
        <v>1</v>
      </c>
      <c r="D9748">
        <v>1</v>
      </c>
      <c r="E9748" t="s">
        <v>17</v>
      </c>
      <c r="F9748">
        <v>5</v>
      </c>
      <c r="G9748">
        <v>5</v>
      </c>
      <c r="H9748" t="s">
        <v>17</v>
      </c>
      <c r="I9748" t="str">
        <f>"062250009149"</f>
        <v>062250009149</v>
      </c>
    </row>
    <row r="9749" spans="1:9" x14ac:dyDescent="0.25">
      <c r="A9749" t="s">
        <v>8510</v>
      </c>
      <c r="B9749" t="s">
        <v>13</v>
      </c>
      <c r="C9749">
        <v>20</v>
      </c>
      <c r="D9749">
        <v>20</v>
      </c>
      <c r="E9749" t="s">
        <v>17</v>
      </c>
      <c r="F9749">
        <v>22.5</v>
      </c>
      <c r="G9749">
        <v>23.65</v>
      </c>
      <c r="H9749" t="s">
        <v>17</v>
      </c>
      <c r="I9749" t="str">
        <f>"062271003411"</f>
        <v>062271003411</v>
      </c>
    </row>
    <row r="9750" spans="1:9" x14ac:dyDescent="0.25">
      <c r="A9750" t="s">
        <v>8511</v>
      </c>
      <c r="B9750" t="s">
        <v>13</v>
      </c>
      <c r="C9750">
        <v>1</v>
      </c>
      <c r="D9750">
        <v>1</v>
      </c>
      <c r="E9750" t="s">
        <v>17</v>
      </c>
      <c r="F9750">
        <v>9</v>
      </c>
      <c r="G9750">
        <v>5</v>
      </c>
      <c r="H9750" t="s">
        <v>17</v>
      </c>
      <c r="I9750" t="str">
        <f>"061995012384"</f>
        <v>061995012384</v>
      </c>
    </row>
    <row r="9751" spans="1:9" x14ac:dyDescent="0.25">
      <c r="A9751" t="s">
        <v>8512</v>
      </c>
      <c r="B9751" t="s">
        <v>13</v>
      </c>
      <c r="C9751">
        <v>21.8</v>
      </c>
      <c r="D9751">
        <v>22.32</v>
      </c>
      <c r="E9751" t="s">
        <v>17</v>
      </c>
      <c r="F9751">
        <v>24.22</v>
      </c>
      <c r="G9751">
        <v>26.34</v>
      </c>
      <c r="H9751" t="s">
        <v>17</v>
      </c>
      <c r="I9751" t="str">
        <f>"060003610359"</f>
        <v>060003610359</v>
      </c>
    </row>
    <row r="9752" spans="1:9" x14ac:dyDescent="0.25">
      <c r="A9752" t="s">
        <v>8513</v>
      </c>
      <c r="B9752" t="s">
        <v>13</v>
      </c>
      <c r="C9752">
        <v>12.71</v>
      </c>
      <c r="D9752">
        <v>12.71</v>
      </c>
      <c r="E9752" t="s">
        <v>17</v>
      </c>
      <c r="F9752">
        <v>14.79</v>
      </c>
      <c r="G9752">
        <v>14.71</v>
      </c>
      <c r="H9752" t="s">
        <v>17</v>
      </c>
      <c r="I9752" t="str">
        <f>"064026006654"</f>
        <v>064026006654</v>
      </c>
    </row>
    <row r="9753" spans="1:9" x14ac:dyDescent="0.25">
      <c r="A9753" t="s">
        <v>8514</v>
      </c>
      <c r="B9753" t="s">
        <v>13</v>
      </c>
      <c r="C9753">
        <v>18.170000000000002</v>
      </c>
      <c r="D9753">
        <v>22.67</v>
      </c>
      <c r="E9753" t="s">
        <v>17</v>
      </c>
      <c r="F9753">
        <v>28.45</v>
      </c>
      <c r="G9753">
        <v>23.64</v>
      </c>
      <c r="H9753" t="s">
        <v>17</v>
      </c>
      <c r="I9753" t="str">
        <f>"063801006435"</f>
        <v>063801006435</v>
      </c>
    </row>
    <row r="9754" spans="1:9" x14ac:dyDescent="0.25">
      <c r="A9754" t="s">
        <v>8515</v>
      </c>
      <c r="B9754" t="s">
        <v>13</v>
      </c>
      <c r="C9754">
        <v>22.5</v>
      </c>
      <c r="D9754">
        <v>22.4</v>
      </c>
      <c r="E9754" t="s">
        <v>17</v>
      </c>
      <c r="F9754">
        <v>32.799999999999997</v>
      </c>
      <c r="G9754">
        <v>28.79</v>
      </c>
      <c r="H9754" t="s">
        <v>17</v>
      </c>
      <c r="I9754" t="str">
        <f>"061674008146"</f>
        <v>061674008146</v>
      </c>
    </row>
    <row r="9755" spans="1:9" x14ac:dyDescent="0.25">
      <c r="A9755" t="s">
        <v>8516</v>
      </c>
      <c r="B9755" t="s">
        <v>13</v>
      </c>
      <c r="C9755">
        <v>70.45</v>
      </c>
      <c r="D9755">
        <v>68</v>
      </c>
      <c r="E9755" t="s">
        <v>17</v>
      </c>
      <c r="F9755">
        <v>22.71</v>
      </c>
      <c r="G9755">
        <v>24.06</v>
      </c>
      <c r="H9755" t="s">
        <v>17</v>
      </c>
      <c r="I9755" t="str">
        <f>"064030006665"</f>
        <v>064030006665</v>
      </c>
    </row>
    <row r="9756" spans="1:9" x14ac:dyDescent="0.25">
      <c r="A9756" t="s">
        <v>8517</v>
      </c>
      <c r="B9756" t="s">
        <v>13</v>
      </c>
      <c r="C9756">
        <v>23</v>
      </c>
      <c r="D9756">
        <v>23</v>
      </c>
      <c r="E9756" t="s">
        <v>17</v>
      </c>
      <c r="F9756">
        <v>22</v>
      </c>
      <c r="G9756">
        <v>22.09</v>
      </c>
      <c r="H9756" t="s">
        <v>17</v>
      </c>
      <c r="I9756" t="str">
        <f>"063441005676"</f>
        <v>063441005676</v>
      </c>
    </row>
    <row r="9757" spans="1:9" x14ac:dyDescent="0.25">
      <c r="A9757" t="s">
        <v>8518</v>
      </c>
      <c r="B9757" t="s">
        <v>13</v>
      </c>
      <c r="C9757">
        <v>33</v>
      </c>
      <c r="D9757">
        <v>32</v>
      </c>
      <c r="E9757" t="s">
        <v>17</v>
      </c>
      <c r="F9757">
        <v>22.15</v>
      </c>
      <c r="G9757">
        <v>23.5</v>
      </c>
      <c r="H9757" t="s">
        <v>17</v>
      </c>
      <c r="I9757" t="str">
        <f>"060939000950"</f>
        <v>060939000950</v>
      </c>
    </row>
    <row r="9758" spans="1:9" x14ac:dyDescent="0.25">
      <c r="A9758" t="s">
        <v>8519</v>
      </c>
      <c r="B9758" t="s">
        <v>13</v>
      </c>
      <c r="C9758">
        <v>87.77</v>
      </c>
      <c r="D9758">
        <v>99.54</v>
      </c>
      <c r="E9758" t="s">
        <v>17</v>
      </c>
      <c r="F9758">
        <v>26.1</v>
      </c>
      <c r="G9758">
        <v>24.44</v>
      </c>
      <c r="H9758" t="s">
        <v>17</v>
      </c>
      <c r="I9758" t="str">
        <f>"062271003052"</f>
        <v>062271003052</v>
      </c>
    </row>
    <row r="9759" spans="1:9" x14ac:dyDescent="0.25">
      <c r="A9759" t="s">
        <v>8520</v>
      </c>
      <c r="B9759" t="s">
        <v>13</v>
      </c>
      <c r="C9759">
        <v>3.4</v>
      </c>
      <c r="D9759">
        <v>5.75</v>
      </c>
      <c r="E9759" t="s">
        <v>17</v>
      </c>
      <c r="F9759">
        <v>25.59</v>
      </c>
      <c r="G9759">
        <v>20.7</v>
      </c>
      <c r="H9759" t="s">
        <v>17</v>
      </c>
      <c r="I9759" t="str">
        <f>"069106311883"</f>
        <v>069106311883</v>
      </c>
    </row>
    <row r="9760" spans="1:9" x14ac:dyDescent="0.25">
      <c r="A9760" t="s">
        <v>8521</v>
      </c>
      <c r="B9760" t="s">
        <v>13</v>
      </c>
      <c r="C9760">
        <v>46</v>
      </c>
      <c r="D9760">
        <v>45</v>
      </c>
      <c r="E9760" t="s">
        <v>17</v>
      </c>
      <c r="F9760">
        <v>23.35</v>
      </c>
      <c r="G9760">
        <v>24.27</v>
      </c>
      <c r="H9760" t="s">
        <v>17</v>
      </c>
      <c r="I9760" t="str">
        <f>"062271003412"</f>
        <v>062271003412</v>
      </c>
    </row>
    <row r="9761" spans="1:9" x14ac:dyDescent="0.25">
      <c r="A9761" t="s">
        <v>8522</v>
      </c>
      <c r="B9761" t="s">
        <v>13</v>
      </c>
      <c r="C9761">
        <v>1</v>
      </c>
      <c r="D9761">
        <v>1</v>
      </c>
      <c r="E9761" t="s">
        <v>17</v>
      </c>
      <c r="F9761">
        <v>10</v>
      </c>
      <c r="G9761">
        <v>8</v>
      </c>
      <c r="H9761" t="s">
        <v>17</v>
      </c>
      <c r="I9761" t="str">
        <f>"064041006682"</f>
        <v>064041006682</v>
      </c>
    </row>
    <row r="9762" spans="1:9" x14ac:dyDescent="0.25">
      <c r="A9762" t="s">
        <v>8523</v>
      </c>
      <c r="B9762" t="s">
        <v>13</v>
      </c>
      <c r="C9762" t="s">
        <v>14</v>
      </c>
      <c r="D9762" t="s">
        <v>14</v>
      </c>
      <c r="E9762" t="s">
        <v>17</v>
      </c>
      <c r="F9762" t="s">
        <v>14</v>
      </c>
      <c r="G9762" t="s">
        <v>14</v>
      </c>
      <c r="H9762" t="s">
        <v>17</v>
      </c>
      <c r="I9762" t="str">
        <f>"064038011278"</f>
        <v>064038011278</v>
      </c>
    </row>
    <row r="9763" spans="1:9" x14ac:dyDescent="0.25">
      <c r="A9763" t="s">
        <v>8524</v>
      </c>
      <c r="B9763" t="s">
        <v>13</v>
      </c>
      <c r="C9763">
        <v>2.52</v>
      </c>
      <c r="D9763">
        <v>2.52</v>
      </c>
      <c r="E9763" t="s">
        <v>17</v>
      </c>
      <c r="F9763">
        <v>26.19</v>
      </c>
      <c r="G9763">
        <v>23.02</v>
      </c>
      <c r="H9763" t="s">
        <v>17</v>
      </c>
      <c r="I9763" t="str">
        <f>"064038006087"</f>
        <v>064038006087</v>
      </c>
    </row>
    <row r="9764" spans="1:9" x14ac:dyDescent="0.25">
      <c r="A9764" t="s">
        <v>8525</v>
      </c>
      <c r="B9764" t="s">
        <v>13</v>
      </c>
      <c r="C9764">
        <v>27.54</v>
      </c>
      <c r="D9764">
        <v>31.54</v>
      </c>
      <c r="E9764" t="s">
        <v>17</v>
      </c>
      <c r="F9764">
        <v>21.64</v>
      </c>
      <c r="G9764">
        <v>20.260000000000002</v>
      </c>
      <c r="H9764" t="s">
        <v>17</v>
      </c>
      <c r="I9764" t="str">
        <f>"064038006681"</f>
        <v>064038006681</v>
      </c>
    </row>
    <row r="9765" spans="1:9" x14ac:dyDescent="0.25">
      <c r="A9765" t="s">
        <v>8526</v>
      </c>
      <c r="B9765" t="s">
        <v>13</v>
      </c>
      <c r="C9765">
        <v>36</v>
      </c>
      <c r="D9765">
        <v>36</v>
      </c>
      <c r="E9765" t="s">
        <v>17</v>
      </c>
      <c r="F9765">
        <v>24.89</v>
      </c>
      <c r="G9765">
        <v>23.69</v>
      </c>
      <c r="H9765" t="s">
        <v>17</v>
      </c>
      <c r="I9765" t="str">
        <f>"061233009362"</f>
        <v>061233009362</v>
      </c>
    </row>
    <row r="9766" spans="1:9" x14ac:dyDescent="0.25">
      <c r="A9766" t="s">
        <v>8527</v>
      </c>
      <c r="B9766" t="s">
        <v>13</v>
      </c>
      <c r="C9766">
        <v>36.83</v>
      </c>
      <c r="D9766">
        <v>35.25</v>
      </c>
      <c r="E9766" t="s">
        <v>17</v>
      </c>
      <c r="F9766">
        <v>24.25</v>
      </c>
      <c r="G9766">
        <v>24.09</v>
      </c>
      <c r="H9766" t="s">
        <v>17</v>
      </c>
      <c r="I9766" t="str">
        <f>"064032006680"</f>
        <v>064032006680</v>
      </c>
    </row>
    <row r="9767" spans="1:9" x14ac:dyDescent="0.25">
      <c r="A9767" t="s">
        <v>8528</v>
      </c>
      <c r="B9767" t="s">
        <v>13</v>
      </c>
      <c r="C9767">
        <v>41.79</v>
      </c>
      <c r="D9767">
        <v>42.53</v>
      </c>
      <c r="E9767" t="s">
        <v>17</v>
      </c>
      <c r="F9767">
        <v>24.12</v>
      </c>
      <c r="G9767">
        <v>23.16</v>
      </c>
      <c r="H9767" t="s">
        <v>17</v>
      </c>
      <c r="I9767" t="str">
        <f>"061207007957"</f>
        <v>061207007957</v>
      </c>
    </row>
    <row r="9768" spans="1:9" x14ac:dyDescent="0.25">
      <c r="A9768" t="s">
        <v>8529</v>
      </c>
      <c r="B9768" t="s">
        <v>13</v>
      </c>
      <c r="C9768">
        <v>6.4</v>
      </c>
      <c r="D9768">
        <v>6</v>
      </c>
      <c r="E9768" t="s">
        <v>17</v>
      </c>
      <c r="F9768">
        <v>15.78</v>
      </c>
      <c r="G9768">
        <v>16.5</v>
      </c>
      <c r="H9768" t="s">
        <v>17</v>
      </c>
      <c r="I9768" t="str">
        <f>"060300011590"</f>
        <v>060300011590</v>
      </c>
    </row>
    <row r="9769" spans="1:9" x14ac:dyDescent="0.25">
      <c r="A9769" t="s">
        <v>8530</v>
      </c>
      <c r="B9769" t="s">
        <v>13</v>
      </c>
      <c r="C9769">
        <v>21.01</v>
      </c>
      <c r="D9769">
        <v>18.510000000000002</v>
      </c>
      <c r="E9769" t="s">
        <v>17</v>
      </c>
      <c r="F9769">
        <v>19.7</v>
      </c>
      <c r="G9769">
        <v>22.64</v>
      </c>
      <c r="H9769" t="s">
        <v>17</v>
      </c>
      <c r="I9769" t="str">
        <f>"062805011909"</f>
        <v>062805011909</v>
      </c>
    </row>
    <row r="9770" spans="1:9" x14ac:dyDescent="0.25">
      <c r="A9770" t="s">
        <v>8531</v>
      </c>
      <c r="B9770" t="s">
        <v>13</v>
      </c>
      <c r="C9770" t="s">
        <v>17</v>
      </c>
      <c r="D9770" t="s">
        <v>17</v>
      </c>
      <c r="E9770" t="s">
        <v>14</v>
      </c>
      <c r="F9770" t="s">
        <v>17</v>
      </c>
      <c r="G9770" t="s">
        <v>17</v>
      </c>
      <c r="H9770" t="s">
        <v>14</v>
      </c>
      <c r="I9770" t="str">
        <f>"060964012840"</f>
        <v>060964012840</v>
      </c>
    </row>
    <row r="9771" spans="1:9" x14ac:dyDescent="0.25">
      <c r="A9771" t="s">
        <v>8532</v>
      </c>
      <c r="B9771" t="s">
        <v>13</v>
      </c>
      <c r="C9771">
        <v>11.08</v>
      </c>
      <c r="D9771">
        <v>13.75</v>
      </c>
      <c r="E9771" t="s">
        <v>17</v>
      </c>
      <c r="F9771">
        <v>24.64</v>
      </c>
      <c r="G9771">
        <v>20.440000000000001</v>
      </c>
      <c r="H9771" t="s">
        <v>17</v>
      </c>
      <c r="I9771" t="str">
        <f>"063099011832"</f>
        <v>063099011832</v>
      </c>
    </row>
    <row r="9772" spans="1:9" x14ac:dyDescent="0.25">
      <c r="A9772" t="s">
        <v>8533</v>
      </c>
      <c r="B9772" t="s">
        <v>13</v>
      </c>
      <c r="C9772">
        <v>74.63</v>
      </c>
      <c r="D9772">
        <v>78.06</v>
      </c>
      <c r="E9772" t="s">
        <v>17</v>
      </c>
      <c r="F9772">
        <v>24.56</v>
      </c>
      <c r="G9772">
        <v>23.47</v>
      </c>
      <c r="H9772" t="s">
        <v>17</v>
      </c>
      <c r="I9772" t="str">
        <f>"063432007838"</f>
        <v>063432007838</v>
      </c>
    </row>
    <row r="9773" spans="1:9" x14ac:dyDescent="0.25">
      <c r="A9773" t="s">
        <v>8534</v>
      </c>
      <c r="B9773" t="s">
        <v>13</v>
      </c>
      <c r="C9773">
        <v>36.4</v>
      </c>
      <c r="D9773">
        <v>35.799999999999997</v>
      </c>
      <c r="E9773" t="s">
        <v>17</v>
      </c>
      <c r="F9773">
        <v>22.75</v>
      </c>
      <c r="G9773">
        <v>22.91</v>
      </c>
      <c r="H9773" t="s">
        <v>17</v>
      </c>
      <c r="I9773" t="str">
        <f>"063315005160"</f>
        <v>063315005160</v>
      </c>
    </row>
    <row r="9774" spans="1:9" x14ac:dyDescent="0.25">
      <c r="A9774" t="s">
        <v>8535</v>
      </c>
      <c r="B9774" t="s">
        <v>13</v>
      </c>
      <c r="C9774">
        <v>20.96</v>
      </c>
      <c r="D9774">
        <v>20.399999999999999</v>
      </c>
      <c r="E9774" t="s">
        <v>17</v>
      </c>
      <c r="F9774">
        <v>22.9</v>
      </c>
      <c r="G9774">
        <v>23.53</v>
      </c>
      <c r="H9774" t="s">
        <v>17</v>
      </c>
      <c r="I9774" t="str">
        <f>"061455011911"</f>
        <v>061455011911</v>
      </c>
    </row>
    <row r="9775" spans="1:9" x14ac:dyDescent="0.25">
      <c r="A9775" t="s">
        <v>8535</v>
      </c>
      <c r="B9775" t="s">
        <v>13</v>
      </c>
      <c r="C9775">
        <v>90.32</v>
      </c>
      <c r="D9775">
        <v>90.31</v>
      </c>
      <c r="E9775" t="s">
        <v>17</v>
      </c>
      <c r="F9775">
        <v>27.27</v>
      </c>
      <c r="G9775">
        <v>27.43</v>
      </c>
      <c r="H9775" t="s">
        <v>17</v>
      </c>
      <c r="I9775" t="str">
        <f>"068450007067"</f>
        <v>068450007067</v>
      </c>
    </row>
    <row r="9776" spans="1:9" x14ac:dyDescent="0.25">
      <c r="A9776" t="s">
        <v>8536</v>
      </c>
      <c r="B9776" t="s">
        <v>13</v>
      </c>
      <c r="C9776">
        <v>19</v>
      </c>
      <c r="D9776">
        <v>21</v>
      </c>
      <c r="E9776" t="s">
        <v>17</v>
      </c>
      <c r="F9776">
        <v>30.32</v>
      </c>
      <c r="G9776">
        <v>26.67</v>
      </c>
      <c r="H9776" t="s">
        <v>17</v>
      </c>
      <c r="I9776" t="str">
        <f>"068450007068"</f>
        <v>068450007068</v>
      </c>
    </row>
    <row r="9777" spans="1:9" x14ac:dyDescent="0.25">
      <c r="A9777" t="s">
        <v>8536</v>
      </c>
      <c r="B9777" t="s">
        <v>13</v>
      </c>
      <c r="C9777">
        <v>21</v>
      </c>
      <c r="D9777">
        <v>22</v>
      </c>
      <c r="E9777" t="s">
        <v>17</v>
      </c>
      <c r="F9777">
        <v>28.67</v>
      </c>
      <c r="G9777">
        <v>27.86</v>
      </c>
      <c r="H9777" t="s">
        <v>17</v>
      </c>
      <c r="I9777" t="str">
        <f>"063393005331"</f>
        <v>063393005331</v>
      </c>
    </row>
    <row r="9778" spans="1:9" x14ac:dyDescent="0.25">
      <c r="A9778" t="s">
        <v>8537</v>
      </c>
      <c r="B9778" t="s">
        <v>13</v>
      </c>
      <c r="C9778">
        <v>21.98</v>
      </c>
      <c r="D9778">
        <v>23.97</v>
      </c>
      <c r="E9778" t="s">
        <v>17</v>
      </c>
      <c r="F9778">
        <v>21.88</v>
      </c>
      <c r="G9778">
        <v>20.190000000000001</v>
      </c>
      <c r="H9778" t="s">
        <v>17</v>
      </c>
      <c r="I9778" t="str">
        <f>"063099010711"</f>
        <v>063099010711</v>
      </c>
    </row>
    <row r="9779" spans="1:9" x14ac:dyDescent="0.25">
      <c r="A9779" t="s">
        <v>8538</v>
      </c>
      <c r="B9779" t="s">
        <v>13</v>
      </c>
      <c r="C9779">
        <v>39.69</v>
      </c>
      <c r="D9779">
        <v>38.42</v>
      </c>
      <c r="E9779" t="s">
        <v>17</v>
      </c>
      <c r="F9779">
        <v>23</v>
      </c>
      <c r="G9779">
        <v>22.51</v>
      </c>
      <c r="H9779" t="s">
        <v>17</v>
      </c>
      <c r="I9779" t="str">
        <f>"063660011467"</f>
        <v>063660011467</v>
      </c>
    </row>
    <row r="9780" spans="1:9" x14ac:dyDescent="0.25">
      <c r="A9780" t="s">
        <v>8538</v>
      </c>
      <c r="B9780" t="s">
        <v>13</v>
      </c>
      <c r="C9780">
        <v>37.1</v>
      </c>
      <c r="D9780">
        <v>35</v>
      </c>
      <c r="E9780" t="s">
        <v>17</v>
      </c>
      <c r="F9780">
        <v>28.73</v>
      </c>
      <c r="G9780">
        <v>30.94</v>
      </c>
      <c r="H9780" t="s">
        <v>17</v>
      </c>
      <c r="I9780" t="str">
        <f>"063697211114"</f>
        <v>063697211114</v>
      </c>
    </row>
    <row r="9781" spans="1:9" x14ac:dyDescent="0.25">
      <c r="A9781" t="s">
        <v>8539</v>
      </c>
      <c r="B9781" t="s">
        <v>13</v>
      </c>
      <c r="C9781">
        <v>26.28</v>
      </c>
      <c r="D9781">
        <v>22.28</v>
      </c>
      <c r="E9781" t="s">
        <v>17</v>
      </c>
      <c r="F9781">
        <v>19.100000000000001</v>
      </c>
      <c r="G9781">
        <v>20.56</v>
      </c>
      <c r="H9781" t="s">
        <v>17</v>
      </c>
      <c r="I9781" t="str">
        <f>"069103512016"</f>
        <v>069103512016</v>
      </c>
    </row>
    <row r="9782" spans="1:9" x14ac:dyDescent="0.25">
      <c r="A9782" t="s">
        <v>8540</v>
      </c>
      <c r="B9782" t="s">
        <v>13</v>
      </c>
      <c r="C9782">
        <v>9.74</v>
      </c>
      <c r="D9782">
        <v>7.07</v>
      </c>
      <c r="E9782" t="s">
        <v>17</v>
      </c>
      <c r="F9782">
        <v>19.82</v>
      </c>
      <c r="G9782">
        <v>20.93</v>
      </c>
      <c r="H9782" t="s">
        <v>17</v>
      </c>
      <c r="I9782" t="str">
        <f>"069104512387"</f>
        <v>069104512387</v>
      </c>
    </row>
    <row r="9783" spans="1:9" x14ac:dyDescent="0.25">
      <c r="A9783" t="s">
        <v>8541</v>
      </c>
      <c r="B9783" t="s">
        <v>13</v>
      </c>
      <c r="C9783">
        <v>77.5</v>
      </c>
      <c r="D9783">
        <v>86.03</v>
      </c>
      <c r="E9783" t="s">
        <v>17</v>
      </c>
      <c r="F9783">
        <v>24.48</v>
      </c>
      <c r="G9783">
        <v>23.52</v>
      </c>
      <c r="H9783" t="s">
        <v>17</v>
      </c>
      <c r="I9783" t="str">
        <f>"062271003413"</f>
        <v>062271003413</v>
      </c>
    </row>
    <row r="9784" spans="1:9" x14ac:dyDescent="0.25">
      <c r="A9784" t="s">
        <v>8542</v>
      </c>
      <c r="B9784" t="s">
        <v>13</v>
      </c>
      <c r="C9784">
        <v>22</v>
      </c>
      <c r="D9784">
        <v>23</v>
      </c>
      <c r="E9784" t="s">
        <v>17</v>
      </c>
      <c r="F9784">
        <v>27.5</v>
      </c>
      <c r="G9784">
        <v>25.39</v>
      </c>
      <c r="H9784" t="s">
        <v>17</v>
      </c>
      <c r="I9784" t="str">
        <f>"061146003196"</f>
        <v>061146003196</v>
      </c>
    </row>
    <row r="9785" spans="1:9" x14ac:dyDescent="0.25">
      <c r="A9785" t="s">
        <v>8543</v>
      </c>
      <c r="B9785" t="s">
        <v>13</v>
      </c>
      <c r="C9785">
        <v>21</v>
      </c>
      <c r="D9785">
        <v>21</v>
      </c>
      <c r="E9785" t="s">
        <v>17</v>
      </c>
      <c r="F9785">
        <v>27.33</v>
      </c>
      <c r="G9785">
        <v>25.33</v>
      </c>
      <c r="H9785" t="s">
        <v>17</v>
      </c>
      <c r="I9785" t="str">
        <f>"060001609095"</f>
        <v>060001609095</v>
      </c>
    </row>
    <row r="9786" spans="1:9" x14ac:dyDescent="0.25">
      <c r="A9786" t="s">
        <v>8544</v>
      </c>
      <c r="B9786" t="s">
        <v>13</v>
      </c>
      <c r="C9786">
        <v>143.33000000000001</v>
      </c>
      <c r="D9786">
        <v>145.25</v>
      </c>
      <c r="E9786" t="s">
        <v>17</v>
      </c>
      <c r="F9786">
        <v>25.17</v>
      </c>
      <c r="G9786">
        <v>24.49</v>
      </c>
      <c r="H9786" t="s">
        <v>17</v>
      </c>
      <c r="I9786" t="str">
        <f>"060001609086"</f>
        <v>060001609086</v>
      </c>
    </row>
    <row r="9787" spans="1:9" x14ac:dyDescent="0.25">
      <c r="A9787" t="s">
        <v>8545</v>
      </c>
      <c r="B9787" t="s">
        <v>13</v>
      </c>
      <c r="C9787">
        <v>40.26</v>
      </c>
      <c r="D9787">
        <v>42.3</v>
      </c>
      <c r="E9787" t="s">
        <v>17</v>
      </c>
      <c r="F9787">
        <v>23.99</v>
      </c>
      <c r="G9787">
        <v>23.74</v>
      </c>
      <c r="H9787" t="s">
        <v>17</v>
      </c>
      <c r="I9787" t="str">
        <f>"060001609096"</f>
        <v>060001609096</v>
      </c>
    </row>
    <row r="9788" spans="1:9" x14ac:dyDescent="0.25">
      <c r="A9788" t="s">
        <v>8546</v>
      </c>
      <c r="B9788" t="s">
        <v>13</v>
      </c>
      <c r="C9788" t="str">
        <f>"0.50"</f>
        <v>0.50</v>
      </c>
      <c r="D9788" t="str">
        <f>"0.50"</f>
        <v>0.50</v>
      </c>
      <c r="E9788" t="s">
        <v>17</v>
      </c>
      <c r="F9788">
        <v>4</v>
      </c>
      <c r="G9788">
        <v>6</v>
      </c>
      <c r="H9788" t="s">
        <v>17</v>
      </c>
      <c r="I9788" t="str">
        <f>"064050011287"</f>
        <v>064050011287</v>
      </c>
    </row>
    <row r="9789" spans="1:9" x14ac:dyDescent="0.25">
      <c r="A9789" t="s">
        <v>8547</v>
      </c>
      <c r="B9789" t="s">
        <v>13</v>
      </c>
      <c r="C9789">
        <v>13.43</v>
      </c>
      <c r="D9789">
        <v>15</v>
      </c>
      <c r="E9789" t="s">
        <v>17</v>
      </c>
      <c r="F9789">
        <v>27.55</v>
      </c>
      <c r="G9789">
        <v>24</v>
      </c>
      <c r="H9789" t="s">
        <v>17</v>
      </c>
      <c r="I9789" t="str">
        <f>"064047006694"</f>
        <v>064047006694</v>
      </c>
    </row>
    <row r="9790" spans="1:9" x14ac:dyDescent="0.25">
      <c r="A9790" t="s">
        <v>8548</v>
      </c>
      <c r="B9790" t="s">
        <v>13</v>
      </c>
      <c r="C9790">
        <v>14.44</v>
      </c>
      <c r="D9790">
        <v>15.43</v>
      </c>
      <c r="E9790" t="s">
        <v>17</v>
      </c>
      <c r="F9790">
        <v>22.99</v>
      </c>
      <c r="G9790">
        <v>21.91</v>
      </c>
      <c r="H9790" t="s">
        <v>17</v>
      </c>
      <c r="I9790" t="str">
        <f>"064050006696"</f>
        <v>064050006696</v>
      </c>
    </row>
    <row r="9791" spans="1:9" x14ac:dyDescent="0.25">
      <c r="A9791" t="s">
        <v>8549</v>
      </c>
      <c r="B9791" t="s">
        <v>13</v>
      </c>
      <c r="C9791">
        <v>7.4</v>
      </c>
      <c r="D9791">
        <v>7.8</v>
      </c>
      <c r="E9791" t="s">
        <v>17</v>
      </c>
      <c r="F9791">
        <v>22.03</v>
      </c>
      <c r="G9791">
        <v>20.9</v>
      </c>
      <c r="H9791" t="s">
        <v>17</v>
      </c>
      <c r="I9791" t="str">
        <f>"064047010121"</f>
        <v>064047010121</v>
      </c>
    </row>
    <row r="9792" spans="1:9" x14ac:dyDescent="0.25">
      <c r="A9792" t="s">
        <v>8550</v>
      </c>
      <c r="B9792" t="s">
        <v>13</v>
      </c>
      <c r="C9792">
        <v>5.3</v>
      </c>
      <c r="D9792">
        <v>4.3</v>
      </c>
      <c r="E9792" t="s">
        <v>14</v>
      </c>
      <c r="F9792">
        <v>42.08</v>
      </c>
      <c r="G9792">
        <v>40.700000000000003</v>
      </c>
      <c r="H9792" t="s">
        <v>14</v>
      </c>
      <c r="I9792" t="str">
        <f>"069105212994"</f>
        <v>069105212994</v>
      </c>
    </row>
    <row r="9793" spans="1:9" x14ac:dyDescent="0.25">
      <c r="A9793" t="s">
        <v>8551</v>
      </c>
      <c r="B9793" t="s">
        <v>13</v>
      </c>
      <c r="C9793">
        <v>17</v>
      </c>
      <c r="D9793">
        <v>15</v>
      </c>
      <c r="E9793" t="s">
        <v>17</v>
      </c>
      <c r="F9793">
        <v>18</v>
      </c>
      <c r="G9793">
        <v>17.53</v>
      </c>
      <c r="H9793" t="s">
        <v>17</v>
      </c>
      <c r="I9793" t="str">
        <f>"063432012318"</f>
        <v>063432012318</v>
      </c>
    </row>
    <row r="9794" spans="1:9" x14ac:dyDescent="0.25">
      <c r="A9794" t="s">
        <v>8552</v>
      </c>
      <c r="B9794" t="s">
        <v>13</v>
      </c>
      <c r="C9794">
        <v>7</v>
      </c>
      <c r="D9794" t="s">
        <v>14</v>
      </c>
      <c r="E9794" t="s">
        <v>14</v>
      </c>
      <c r="F9794">
        <v>30.57</v>
      </c>
      <c r="G9794" t="s">
        <v>14</v>
      </c>
      <c r="H9794" t="s">
        <v>14</v>
      </c>
      <c r="I9794" t="str">
        <f>"069105113008"</f>
        <v>069105113008</v>
      </c>
    </row>
    <row r="9795" spans="1:9" x14ac:dyDescent="0.25">
      <c r="A9795" t="s">
        <v>8553</v>
      </c>
      <c r="B9795" t="s">
        <v>13</v>
      </c>
      <c r="C9795">
        <v>15.67</v>
      </c>
      <c r="D9795">
        <v>16.27</v>
      </c>
      <c r="E9795" t="s">
        <v>17</v>
      </c>
      <c r="F9795">
        <v>20.420000000000002</v>
      </c>
      <c r="G9795">
        <v>19.36</v>
      </c>
      <c r="H9795" t="s">
        <v>17</v>
      </c>
      <c r="I9795" t="str">
        <f>"062805008680"</f>
        <v>062805008680</v>
      </c>
    </row>
    <row r="9796" spans="1:9" x14ac:dyDescent="0.25">
      <c r="A9796" t="s">
        <v>8554</v>
      </c>
      <c r="B9796" t="s">
        <v>13</v>
      </c>
      <c r="C9796" t="s">
        <v>17</v>
      </c>
      <c r="D9796" t="s">
        <v>14</v>
      </c>
      <c r="E9796" t="s">
        <v>14</v>
      </c>
      <c r="F9796" t="s">
        <v>17</v>
      </c>
      <c r="G9796" t="s">
        <v>14</v>
      </c>
      <c r="H9796" t="s">
        <v>14</v>
      </c>
      <c r="I9796" t="str">
        <f>"062271013390"</f>
        <v>062271013390</v>
      </c>
    </row>
    <row r="9797" spans="1:9" x14ac:dyDescent="0.25">
      <c r="A9797" t="s">
        <v>8555</v>
      </c>
      <c r="B9797" t="s">
        <v>13</v>
      </c>
      <c r="C9797">
        <v>15</v>
      </c>
      <c r="D9797">
        <v>16</v>
      </c>
      <c r="E9797" t="s">
        <v>17</v>
      </c>
      <c r="F9797">
        <v>30.53</v>
      </c>
      <c r="G9797">
        <v>27.81</v>
      </c>
      <c r="H9797" t="s">
        <v>17</v>
      </c>
      <c r="I9797" t="str">
        <f>"063417005389"</f>
        <v>063417005389</v>
      </c>
    </row>
    <row r="9798" spans="1:9" x14ac:dyDescent="0.25">
      <c r="A9798" t="s">
        <v>8556</v>
      </c>
      <c r="B9798" t="s">
        <v>13</v>
      </c>
      <c r="C9798">
        <v>5.05</v>
      </c>
      <c r="D9798" t="s">
        <v>14</v>
      </c>
      <c r="E9798" t="s">
        <v>14</v>
      </c>
      <c r="F9798">
        <v>21.78</v>
      </c>
      <c r="G9798" t="s">
        <v>14</v>
      </c>
      <c r="H9798" t="s">
        <v>14</v>
      </c>
      <c r="I9798" t="str">
        <f>"062271013094"</f>
        <v>062271013094</v>
      </c>
    </row>
    <row r="9799" spans="1:9" x14ac:dyDescent="0.25">
      <c r="A9799" t="s">
        <v>8557</v>
      </c>
      <c r="B9799" t="s">
        <v>13</v>
      </c>
      <c r="C9799">
        <v>21</v>
      </c>
      <c r="D9799">
        <v>19</v>
      </c>
      <c r="E9799" t="s">
        <v>17</v>
      </c>
      <c r="F9799">
        <v>22.81</v>
      </c>
      <c r="G9799">
        <v>23.11</v>
      </c>
      <c r="H9799" t="s">
        <v>17</v>
      </c>
      <c r="I9799" t="str">
        <f>"062271003414"</f>
        <v>062271003414</v>
      </c>
    </row>
    <row r="9800" spans="1:9" x14ac:dyDescent="0.25">
      <c r="A9800" t="s">
        <v>8558</v>
      </c>
      <c r="B9800" t="s">
        <v>13</v>
      </c>
      <c r="C9800">
        <v>38.76</v>
      </c>
      <c r="D9800">
        <v>40.450000000000003</v>
      </c>
      <c r="E9800" t="s">
        <v>17</v>
      </c>
      <c r="F9800">
        <v>23.79</v>
      </c>
      <c r="G9800">
        <v>22.32</v>
      </c>
      <c r="H9800" t="s">
        <v>17</v>
      </c>
      <c r="I9800" t="str">
        <f>"064059009002"</f>
        <v>064059009002</v>
      </c>
    </row>
    <row r="9801" spans="1:9" x14ac:dyDescent="0.25">
      <c r="A9801" t="s">
        <v>8559</v>
      </c>
      <c r="B9801" t="s">
        <v>13</v>
      </c>
      <c r="C9801" t="s">
        <v>14</v>
      </c>
      <c r="D9801" t="s">
        <v>14</v>
      </c>
      <c r="E9801" t="s">
        <v>17</v>
      </c>
      <c r="F9801" t="s">
        <v>14</v>
      </c>
      <c r="G9801" t="s">
        <v>14</v>
      </c>
      <c r="H9801" t="s">
        <v>17</v>
      </c>
      <c r="I9801" t="str">
        <f>"064059011474"</f>
        <v>064059011474</v>
      </c>
    </row>
    <row r="9802" spans="1:9" x14ac:dyDescent="0.25">
      <c r="A9802" t="s">
        <v>8560</v>
      </c>
      <c r="B9802" t="s">
        <v>13</v>
      </c>
      <c r="C9802">
        <v>82.99</v>
      </c>
      <c r="D9802">
        <v>89.41</v>
      </c>
      <c r="E9802" t="s">
        <v>17</v>
      </c>
      <c r="F9802">
        <v>24.42</v>
      </c>
      <c r="G9802">
        <v>22.56</v>
      </c>
      <c r="H9802" t="s">
        <v>17</v>
      </c>
      <c r="I9802" t="str">
        <f>"064059006709"</f>
        <v>064059006709</v>
      </c>
    </row>
    <row r="9803" spans="1:9" x14ac:dyDescent="0.25">
      <c r="A9803" t="s">
        <v>8561</v>
      </c>
      <c r="B9803" t="s">
        <v>13</v>
      </c>
      <c r="C9803">
        <v>23.9</v>
      </c>
      <c r="D9803">
        <v>27</v>
      </c>
      <c r="E9803" t="s">
        <v>17</v>
      </c>
      <c r="F9803">
        <v>23.56</v>
      </c>
      <c r="G9803">
        <v>22.56</v>
      </c>
      <c r="H9803" t="s">
        <v>17</v>
      </c>
      <c r="I9803" t="str">
        <f>"060002809502"</f>
        <v>060002809502</v>
      </c>
    </row>
    <row r="9804" spans="1:9" x14ac:dyDescent="0.25">
      <c r="A9804" t="s">
        <v>8562</v>
      </c>
      <c r="B9804" t="s">
        <v>13</v>
      </c>
      <c r="C9804">
        <v>15.67</v>
      </c>
      <c r="D9804">
        <v>16.45</v>
      </c>
      <c r="E9804" t="s">
        <v>17</v>
      </c>
      <c r="F9804">
        <v>24.19</v>
      </c>
      <c r="G9804">
        <v>22.37</v>
      </c>
      <c r="H9804" t="s">
        <v>17</v>
      </c>
      <c r="I9804" t="str">
        <f>"062547003811"</f>
        <v>062547003811</v>
      </c>
    </row>
    <row r="9805" spans="1:9" x14ac:dyDescent="0.25">
      <c r="A9805" t="s">
        <v>8563</v>
      </c>
      <c r="B9805" t="s">
        <v>13</v>
      </c>
      <c r="C9805">
        <v>48.21</v>
      </c>
      <c r="D9805">
        <v>46.7</v>
      </c>
      <c r="E9805" t="s">
        <v>17</v>
      </c>
      <c r="F9805">
        <v>26.24</v>
      </c>
      <c r="G9805">
        <v>26.23</v>
      </c>
      <c r="H9805" t="s">
        <v>17</v>
      </c>
      <c r="I9805" t="str">
        <f>"060002803647"</f>
        <v>060002803647</v>
      </c>
    </row>
    <row r="9806" spans="1:9" x14ac:dyDescent="0.25">
      <c r="A9806" t="s">
        <v>8564</v>
      </c>
      <c r="B9806" t="s">
        <v>13</v>
      </c>
      <c r="C9806">
        <v>3</v>
      </c>
      <c r="D9806">
        <v>5</v>
      </c>
      <c r="E9806" t="s">
        <v>17</v>
      </c>
      <c r="F9806">
        <v>33</v>
      </c>
      <c r="G9806">
        <v>10</v>
      </c>
      <c r="H9806" t="s">
        <v>17</v>
      </c>
      <c r="I9806" t="str">
        <f>"069113512749"</f>
        <v>069113512749</v>
      </c>
    </row>
    <row r="9807" spans="1:9" x14ac:dyDescent="0.25">
      <c r="A9807" t="s">
        <v>8565</v>
      </c>
      <c r="B9807" t="s">
        <v>13</v>
      </c>
      <c r="C9807">
        <v>28</v>
      </c>
      <c r="D9807">
        <v>29</v>
      </c>
      <c r="E9807" t="s">
        <v>17</v>
      </c>
      <c r="F9807">
        <v>25.96</v>
      </c>
      <c r="G9807">
        <v>25.93</v>
      </c>
      <c r="H9807" t="s">
        <v>17</v>
      </c>
      <c r="I9807" t="str">
        <f>"069113510286"</f>
        <v>069113510286</v>
      </c>
    </row>
    <row r="9808" spans="1:9" x14ac:dyDescent="0.25">
      <c r="A9808" t="s">
        <v>8566</v>
      </c>
      <c r="B9808" t="s">
        <v>13</v>
      </c>
      <c r="C9808">
        <v>27</v>
      </c>
      <c r="D9808">
        <v>27.1</v>
      </c>
      <c r="E9808" t="s">
        <v>17</v>
      </c>
      <c r="F9808">
        <v>17.07</v>
      </c>
      <c r="G9808">
        <v>17.93</v>
      </c>
      <c r="H9808" t="s">
        <v>17</v>
      </c>
      <c r="I9808" t="str">
        <f>"069113510284"</f>
        <v>069113510284</v>
      </c>
    </row>
    <row r="9809" spans="1:9" x14ac:dyDescent="0.25">
      <c r="A9809" t="s">
        <v>8567</v>
      </c>
      <c r="B9809" t="s">
        <v>13</v>
      </c>
      <c r="C9809">
        <v>4</v>
      </c>
      <c r="D9809">
        <v>4</v>
      </c>
      <c r="E9809" t="s">
        <v>17</v>
      </c>
      <c r="F9809">
        <v>4.75</v>
      </c>
      <c r="G9809">
        <v>5.5</v>
      </c>
      <c r="H9809" t="s">
        <v>17</v>
      </c>
      <c r="I9809" t="str">
        <f>"069113511723"</f>
        <v>069113511723</v>
      </c>
    </row>
    <row r="9810" spans="1:9" x14ac:dyDescent="0.25">
      <c r="A9810" t="s">
        <v>8568</v>
      </c>
      <c r="B9810" t="s">
        <v>13</v>
      </c>
      <c r="C9810">
        <v>29.24</v>
      </c>
      <c r="D9810">
        <v>28.96</v>
      </c>
      <c r="E9810" t="s">
        <v>17</v>
      </c>
      <c r="F9810">
        <v>22.98</v>
      </c>
      <c r="G9810">
        <v>23.41</v>
      </c>
      <c r="H9810" t="s">
        <v>17</v>
      </c>
      <c r="I9810" t="str">
        <f>"063066012371"</f>
        <v>063066012371</v>
      </c>
    </row>
    <row r="9811" spans="1:9" x14ac:dyDescent="0.25">
      <c r="A9811" t="s">
        <v>8569</v>
      </c>
      <c r="B9811" t="s">
        <v>13</v>
      </c>
      <c r="C9811">
        <v>19</v>
      </c>
      <c r="D9811">
        <v>19</v>
      </c>
      <c r="E9811" t="s">
        <v>17</v>
      </c>
      <c r="F9811">
        <v>28.42</v>
      </c>
      <c r="G9811">
        <v>27.68</v>
      </c>
      <c r="H9811" t="s">
        <v>17</v>
      </c>
      <c r="I9811" t="str">
        <f>"062949004553"</f>
        <v>062949004553</v>
      </c>
    </row>
    <row r="9812" spans="1:9" x14ac:dyDescent="0.25">
      <c r="A9812" t="s">
        <v>8569</v>
      </c>
      <c r="B9812" t="s">
        <v>13</v>
      </c>
      <c r="C9812">
        <v>23.5</v>
      </c>
      <c r="D9812">
        <v>24</v>
      </c>
      <c r="E9812" t="s">
        <v>17</v>
      </c>
      <c r="F9812">
        <v>28.09</v>
      </c>
      <c r="G9812">
        <v>26.79</v>
      </c>
      <c r="H9812" t="s">
        <v>17</v>
      </c>
      <c r="I9812" t="str">
        <f>"060001609097"</f>
        <v>060001609097</v>
      </c>
    </row>
    <row r="9813" spans="1:9" x14ac:dyDescent="0.25">
      <c r="A9813" t="s">
        <v>8569</v>
      </c>
      <c r="B9813" t="s">
        <v>13</v>
      </c>
      <c r="C9813">
        <v>26.7</v>
      </c>
      <c r="D9813">
        <v>27.4</v>
      </c>
      <c r="E9813" t="s">
        <v>17</v>
      </c>
      <c r="F9813">
        <v>27.45</v>
      </c>
      <c r="G9813">
        <v>28.72</v>
      </c>
      <c r="H9813" t="s">
        <v>17</v>
      </c>
      <c r="I9813" t="str">
        <f>"063386005317"</f>
        <v>063386005317</v>
      </c>
    </row>
    <row r="9814" spans="1:9" x14ac:dyDescent="0.25">
      <c r="A9814" t="s">
        <v>8569</v>
      </c>
      <c r="B9814" t="s">
        <v>13</v>
      </c>
      <c r="C9814">
        <v>17</v>
      </c>
      <c r="D9814">
        <v>16</v>
      </c>
      <c r="E9814" t="s">
        <v>17</v>
      </c>
      <c r="F9814">
        <v>24.18</v>
      </c>
      <c r="G9814">
        <v>25.5</v>
      </c>
      <c r="H9814" t="s">
        <v>17</v>
      </c>
      <c r="I9814" t="str">
        <f>"061218001386"</f>
        <v>061218001386</v>
      </c>
    </row>
    <row r="9815" spans="1:9" x14ac:dyDescent="0.25">
      <c r="A9815" t="s">
        <v>8570</v>
      </c>
      <c r="B9815" t="s">
        <v>13</v>
      </c>
      <c r="C9815">
        <v>98.91</v>
      </c>
      <c r="D9815">
        <v>97.36</v>
      </c>
      <c r="E9815" t="s">
        <v>17</v>
      </c>
      <c r="F9815">
        <v>25.51</v>
      </c>
      <c r="G9815">
        <v>26.25</v>
      </c>
      <c r="H9815" t="s">
        <v>17</v>
      </c>
      <c r="I9815" t="str">
        <f>"063066004773"</f>
        <v>063066004773</v>
      </c>
    </row>
    <row r="9816" spans="1:9" x14ac:dyDescent="0.25">
      <c r="A9816" t="s">
        <v>8570</v>
      </c>
      <c r="B9816" t="s">
        <v>13</v>
      </c>
      <c r="C9816">
        <v>112.95</v>
      </c>
      <c r="D9816">
        <v>115.65</v>
      </c>
      <c r="E9816" t="s">
        <v>17</v>
      </c>
      <c r="F9816">
        <v>26.25</v>
      </c>
      <c r="G9816">
        <v>25.89</v>
      </c>
      <c r="H9816" t="s">
        <v>17</v>
      </c>
      <c r="I9816" t="str">
        <f>"064251003264"</f>
        <v>064251003264</v>
      </c>
    </row>
    <row r="9817" spans="1:9" x14ac:dyDescent="0.25">
      <c r="A9817" t="s">
        <v>8571</v>
      </c>
      <c r="B9817" t="s">
        <v>13</v>
      </c>
      <c r="C9817">
        <v>34.799999999999997</v>
      </c>
      <c r="D9817">
        <v>34.950000000000003</v>
      </c>
      <c r="E9817" t="s">
        <v>17</v>
      </c>
      <c r="F9817">
        <v>20.03</v>
      </c>
      <c r="G9817">
        <v>19.600000000000001</v>
      </c>
      <c r="H9817" t="s">
        <v>17</v>
      </c>
      <c r="I9817" t="str">
        <f>"061473001806"</f>
        <v>061473001806</v>
      </c>
    </row>
    <row r="9818" spans="1:9" x14ac:dyDescent="0.25">
      <c r="A9818" t="s">
        <v>8571</v>
      </c>
      <c r="B9818" t="s">
        <v>13</v>
      </c>
      <c r="C9818">
        <v>28</v>
      </c>
      <c r="D9818">
        <v>30</v>
      </c>
      <c r="E9818" t="s">
        <v>17</v>
      </c>
      <c r="F9818">
        <v>18.46</v>
      </c>
      <c r="G9818">
        <v>19.399999999999999</v>
      </c>
      <c r="H9818" t="s">
        <v>17</v>
      </c>
      <c r="I9818" t="str">
        <f>"063432005563"</f>
        <v>063432005563</v>
      </c>
    </row>
    <row r="9819" spans="1:9" x14ac:dyDescent="0.25">
      <c r="A9819" t="s">
        <v>8572</v>
      </c>
      <c r="B9819" t="s">
        <v>13</v>
      </c>
      <c r="C9819">
        <v>29.29</v>
      </c>
      <c r="D9819">
        <v>28.99</v>
      </c>
      <c r="E9819" t="s">
        <v>17</v>
      </c>
      <c r="F9819">
        <v>23.76</v>
      </c>
      <c r="G9819">
        <v>23.63</v>
      </c>
      <c r="H9819" t="s">
        <v>17</v>
      </c>
      <c r="I9819" t="str">
        <f>"062718009410"</f>
        <v>062718009410</v>
      </c>
    </row>
    <row r="9820" spans="1:9" x14ac:dyDescent="0.25">
      <c r="A9820" t="s">
        <v>8573</v>
      </c>
      <c r="B9820" t="s">
        <v>13</v>
      </c>
      <c r="C9820">
        <v>27.5</v>
      </c>
      <c r="D9820">
        <v>28</v>
      </c>
      <c r="E9820" t="s">
        <v>17</v>
      </c>
      <c r="F9820">
        <v>21.64</v>
      </c>
      <c r="G9820">
        <v>21.93</v>
      </c>
      <c r="H9820" t="s">
        <v>17</v>
      </c>
      <c r="I9820" t="str">
        <f>"063486005888"</f>
        <v>063486005888</v>
      </c>
    </row>
    <row r="9821" spans="1:9" x14ac:dyDescent="0.25">
      <c r="A9821" t="s">
        <v>8574</v>
      </c>
      <c r="B9821" t="s">
        <v>13</v>
      </c>
      <c r="C9821">
        <v>27.25</v>
      </c>
      <c r="D9821">
        <v>33.58</v>
      </c>
      <c r="E9821" t="s">
        <v>17</v>
      </c>
      <c r="F9821">
        <v>32.44</v>
      </c>
      <c r="G9821">
        <v>25.43</v>
      </c>
      <c r="H9821" t="s">
        <v>17</v>
      </c>
      <c r="I9821" t="str">
        <f>"063801012085"</f>
        <v>063801012085</v>
      </c>
    </row>
    <row r="9822" spans="1:9" x14ac:dyDescent="0.25">
      <c r="A9822" t="s">
        <v>8575</v>
      </c>
      <c r="B9822" t="s">
        <v>13</v>
      </c>
      <c r="C9822" t="s">
        <v>14</v>
      </c>
      <c r="D9822">
        <v>13.5</v>
      </c>
      <c r="E9822" t="s">
        <v>17</v>
      </c>
      <c r="F9822" t="s">
        <v>17</v>
      </c>
      <c r="G9822">
        <v>26.37</v>
      </c>
      <c r="H9822" t="s">
        <v>17</v>
      </c>
      <c r="I9822" t="str">
        <f>"063801006430"</f>
        <v>063801006430</v>
      </c>
    </row>
    <row r="9823" spans="1:9" x14ac:dyDescent="0.25">
      <c r="A9823" t="s">
        <v>8576</v>
      </c>
      <c r="B9823" t="s">
        <v>13</v>
      </c>
      <c r="C9823">
        <v>40</v>
      </c>
      <c r="D9823">
        <v>43</v>
      </c>
      <c r="E9823" t="s">
        <v>17</v>
      </c>
      <c r="F9823">
        <v>24.5</v>
      </c>
      <c r="G9823">
        <v>24.19</v>
      </c>
      <c r="H9823" t="s">
        <v>17</v>
      </c>
      <c r="I9823" t="str">
        <f>"062271003415"</f>
        <v>062271003415</v>
      </c>
    </row>
    <row r="9824" spans="1:9" x14ac:dyDescent="0.25">
      <c r="A9824" t="s">
        <v>8577</v>
      </c>
      <c r="B9824" t="s">
        <v>13</v>
      </c>
      <c r="C9824">
        <v>23.2</v>
      </c>
      <c r="D9824">
        <v>23.34</v>
      </c>
      <c r="E9824" t="s">
        <v>17</v>
      </c>
      <c r="F9824">
        <v>24.78</v>
      </c>
      <c r="G9824">
        <v>23.82</v>
      </c>
      <c r="H9824" t="s">
        <v>17</v>
      </c>
      <c r="I9824" t="str">
        <f>"062637003977"</f>
        <v>062637003977</v>
      </c>
    </row>
    <row r="9825" spans="1:9" x14ac:dyDescent="0.25">
      <c r="A9825" t="s">
        <v>8578</v>
      </c>
      <c r="B9825" t="s">
        <v>13</v>
      </c>
      <c r="C9825">
        <v>77.19</v>
      </c>
      <c r="D9825">
        <v>78.95</v>
      </c>
      <c r="E9825" t="s">
        <v>17</v>
      </c>
      <c r="F9825">
        <v>27.27</v>
      </c>
      <c r="G9825">
        <v>26.75</v>
      </c>
      <c r="H9825" t="s">
        <v>17</v>
      </c>
      <c r="I9825" t="str">
        <f>"061623002028"</f>
        <v>061623002028</v>
      </c>
    </row>
    <row r="9826" spans="1:9" x14ac:dyDescent="0.25">
      <c r="A9826" t="s">
        <v>8579</v>
      </c>
      <c r="B9826" t="s">
        <v>13</v>
      </c>
      <c r="C9826">
        <v>26</v>
      </c>
      <c r="D9826">
        <v>28</v>
      </c>
      <c r="E9826" t="s">
        <v>17</v>
      </c>
      <c r="F9826">
        <v>21.42</v>
      </c>
      <c r="G9826">
        <v>22.07</v>
      </c>
      <c r="H9826" t="s">
        <v>17</v>
      </c>
      <c r="I9826" t="str">
        <f>"061632502068"</f>
        <v>061632502068</v>
      </c>
    </row>
    <row r="9827" spans="1:9" x14ac:dyDescent="0.25">
      <c r="A9827" t="s">
        <v>8580</v>
      </c>
      <c r="B9827" t="s">
        <v>13</v>
      </c>
      <c r="C9827">
        <v>27</v>
      </c>
      <c r="D9827">
        <v>26.15</v>
      </c>
      <c r="E9827" t="s">
        <v>17</v>
      </c>
      <c r="F9827">
        <v>26.59</v>
      </c>
      <c r="G9827">
        <v>26.31</v>
      </c>
      <c r="H9827" t="s">
        <v>17</v>
      </c>
      <c r="I9827" t="str">
        <f>"060907000921"</f>
        <v>060907000921</v>
      </c>
    </row>
    <row r="9828" spans="1:9" x14ac:dyDescent="0.25">
      <c r="A9828" t="s">
        <v>8581</v>
      </c>
      <c r="B9828" t="s">
        <v>13</v>
      </c>
      <c r="C9828">
        <v>27</v>
      </c>
      <c r="D9828">
        <v>29</v>
      </c>
      <c r="E9828" t="s">
        <v>17</v>
      </c>
      <c r="F9828">
        <v>20.56</v>
      </c>
      <c r="G9828">
        <v>19.21</v>
      </c>
      <c r="H9828" t="s">
        <v>17</v>
      </c>
      <c r="I9828" t="str">
        <f>"060861000880"</f>
        <v>060861000880</v>
      </c>
    </row>
    <row r="9829" spans="1:9" x14ac:dyDescent="0.25">
      <c r="A9829" t="s">
        <v>8582</v>
      </c>
      <c r="B9829" t="s">
        <v>13</v>
      </c>
      <c r="C9829">
        <v>18.399999999999999</v>
      </c>
      <c r="D9829">
        <v>19</v>
      </c>
      <c r="E9829" t="s">
        <v>17</v>
      </c>
      <c r="F9829">
        <v>25.11</v>
      </c>
      <c r="G9829">
        <v>24.95</v>
      </c>
      <c r="H9829" t="s">
        <v>17</v>
      </c>
      <c r="I9829" t="str">
        <f>"062637003978"</f>
        <v>062637003978</v>
      </c>
    </row>
    <row r="9830" spans="1:9" x14ac:dyDescent="0.25">
      <c r="A9830" t="s">
        <v>8582</v>
      </c>
      <c r="B9830" t="s">
        <v>13</v>
      </c>
      <c r="C9830">
        <v>31</v>
      </c>
      <c r="D9830">
        <v>27.5</v>
      </c>
      <c r="E9830" t="s">
        <v>17</v>
      </c>
      <c r="F9830">
        <v>29.03</v>
      </c>
      <c r="G9830">
        <v>28.11</v>
      </c>
      <c r="H9830" t="s">
        <v>17</v>
      </c>
      <c r="I9830" t="str">
        <f>"061605011218"</f>
        <v>061605011218</v>
      </c>
    </row>
    <row r="9831" spans="1:9" x14ac:dyDescent="0.25">
      <c r="A9831" t="s">
        <v>8583</v>
      </c>
      <c r="B9831" t="s">
        <v>13</v>
      </c>
      <c r="C9831" t="s">
        <v>14</v>
      </c>
      <c r="D9831" t="s">
        <v>17</v>
      </c>
      <c r="E9831" t="s">
        <v>17</v>
      </c>
      <c r="F9831" t="s">
        <v>17</v>
      </c>
      <c r="G9831" t="s">
        <v>17</v>
      </c>
      <c r="H9831" t="s">
        <v>17</v>
      </c>
      <c r="I9831" t="str">
        <f>"061089009130"</f>
        <v>061089009130</v>
      </c>
    </row>
    <row r="9832" spans="1:9" x14ac:dyDescent="0.25">
      <c r="A9832" t="s">
        <v>8583</v>
      </c>
      <c r="B9832" t="s">
        <v>13</v>
      </c>
      <c r="C9832">
        <v>22.25</v>
      </c>
      <c r="D9832">
        <v>20.75</v>
      </c>
      <c r="E9832" t="s">
        <v>17</v>
      </c>
      <c r="F9832">
        <v>21.57</v>
      </c>
      <c r="G9832">
        <v>26.7</v>
      </c>
      <c r="H9832" t="s">
        <v>17</v>
      </c>
      <c r="I9832" t="str">
        <f>"062640003991"</f>
        <v>062640003991</v>
      </c>
    </row>
    <row r="9833" spans="1:9" x14ac:dyDescent="0.25">
      <c r="A9833" t="s">
        <v>8583</v>
      </c>
      <c r="B9833" t="s">
        <v>13</v>
      </c>
      <c r="C9833">
        <v>29.95</v>
      </c>
      <c r="D9833">
        <v>28</v>
      </c>
      <c r="E9833" t="s">
        <v>17</v>
      </c>
      <c r="F9833">
        <v>21.8</v>
      </c>
      <c r="G9833">
        <v>24.68</v>
      </c>
      <c r="H9833" t="s">
        <v>17</v>
      </c>
      <c r="I9833" t="str">
        <f>"061692009144"</f>
        <v>061692009144</v>
      </c>
    </row>
    <row r="9834" spans="1:9" x14ac:dyDescent="0.25">
      <c r="A9834" t="s">
        <v>8583</v>
      </c>
      <c r="B9834" t="s">
        <v>13</v>
      </c>
      <c r="C9834">
        <v>18</v>
      </c>
      <c r="D9834">
        <v>18</v>
      </c>
      <c r="E9834" t="s">
        <v>17</v>
      </c>
      <c r="F9834">
        <v>29.11</v>
      </c>
      <c r="G9834">
        <v>28.94</v>
      </c>
      <c r="H9834" t="s">
        <v>17</v>
      </c>
      <c r="I9834" t="str">
        <f>"060795000764"</f>
        <v>060795000764</v>
      </c>
    </row>
    <row r="9835" spans="1:9" x14ac:dyDescent="0.25">
      <c r="A9835" t="s">
        <v>8584</v>
      </c>
      <c r="B9835" t="s">
        <v>13</v>
      </c>
      <c r="C9835">
        <v>3.29</v>
      </c>
      <c r="D9835">
        <v>3.29</v>
      </c>
      <c r="E9835" t="s">
        <v>17</v>
      </c>
      <c r="F9835">
        <v>6.99</v>
      </c>
      <c r="G9835">
        <v>13.37</v>
      </c>
      <c r="H9835" t="s">
        <v>17</v>
      </c>
      <c r="I9835" t="str">
        <f>"060594000538"</f>
        <v>060594000538</v>
      </c>
    </row>
    <row r="9836" spans="1:9" x14ac:dyDescent="0.25">
      <c r="A9836" t="s">
        <v>8585</v>
      </c>
      <c r="B9836" t="s">
        <v>13</v>
      </c>
      <c r="C9836">
        <v>19.899999999999999</v>
      </c>
      <c r="D9836">
        <v>19</v>
      </c>
      <c r="E9836" t="s">
        <v>17</v>
      </c>
      <c r="F9836">
        <v>21.81</v>
      </c>
      <c r="G9836">
        <v>21.32</v>
      </c>
      <c r="H9836" t="s">
        <v>17</v>
      </c>
      <c r="I9836" t="str">
        <f>"061122008822"</f>
        <v>061122008822</v>
      </c>
    </row>
    <row r="9837" spans="1:9" x14ac:dyDescent="0.25">
      <c r="A9837" t="s">
        <v>8586</v>
      </c>
      <c r="B9837" t="s">
        <v>13</v>
      </c>
      <c r="C9837">
        <v>11.5</v>
      </c>
      <c r="D9837">
        <v>12</v>
      </c>
      <c r="E9837" t="s">
        <v>17</v>
      </c>
      <c r="F9837">
        <v>17.04</v>
      </c>
      <c r="G9837">
        <v>18.25</v>
      </c>
      <c r="H9837" t="s">
        <v>17</v>
      </c>
      <c r="I9837" t="str">
        <f>"064071006717"</f>
        <v>064071006717</v>
      </c>
    </row>
    <row r="9838" spans="1:9" x14ac:dyDescent="0.25">
      <c r="A9838" t="s">
        <v>8587</v>
      </c>
      <c r="B9838" t="s">
        <v>13</v>
      </c>
      <c r="C9838">
        <v>1.95</v>
      </c>
      <c r="D9838">
        <v>5</v>
      </c>
      <c r="E9838" t="s">
        <v>17</v>
      </c>
      <c r="F9838">
        <v>24.1</v>
      </c>
      <c r="G9838">
        <v>7.4</v>
      </c>
      <c r="H9838" t="s">
        <v>17</v>
      </c>
      <c r="I9838" t="str">
        <f>"064074007889"</f>
        <v>064074007889</v>
      </c>
    </row>
    <row r="9839" spans="1:9" x14ac:dyDescent="0.25">
      <c r="A9839" t="s">
        <v>8588</v>
      </c>
      <c r="B9839" t="s">
        <v>13</v>
      </c>
      <c r="C9839">
        <v>16.100000000000001</v>
      </c>
      <c r="D9839">
        <v>15.6</v>
      </c>
      <c r="E9839" t="s">
        <v>17</v>
      </c>
      <c r="F9839">
        <v>33.479999999999997</v>
      </c>
      <c r="G9839">
        <v>32.049999999999997</v>
      </c>
      <c r="H9839" t="s">
        <v>17</v>
      </c>
      <c r="I9839" t="str">
        <f>"064074012088"</f>
        <v>064074012088</v>
      </c>
    </row>
    <row r="9840" spans="1:9" x14ac:dyDescent="0.25">
      <c r="A9840" t="s">
        <v>8589</v>
      </c>
      <c r="B9840" t="s">
        <v>13</v>
      </c>
      <c r="C9840">
        <v>3.4</v>
      </c>
      <c r="D9840">
        <v>4.5999999999999996</v>
      </c>
      <c r="E9840" t="s">
        <v>17</v>
      </c>
      <c r="F9840">
        <v>12.94</v>
      </c>
      <c r="G9840">
        <v>5.87</v>
      </c>
      <c r="H9840" t="s">
        <v>17</v>
      </c>
      <c r="I9840" t="str">
        <f>"064074011224"</f>
        <v>064074011224</v>
      </c>
    </row>
    <row r="9841" spans="1:9" x14ac:dyDescent="0.25">
      <c r="A9841" t="s">
        <v>8590</v>
      </c>
      <c r="B9841" t="s">
        <v>13</v>
      </c>
      <c r="C9841">
        <v>79.930000000000007</v>
      </c>
      <c r="D9841">
        <v>98.53</v>
      </c>
      <c r="E9841" t="s">
        <v>17</v>
      </c>
      <c r="F9841">
        <v>23.15</v>
      </c>
      <c r="G9841">
        <v>19.420000000000002</v>
      </c>
      <c r="H9841" t="s">
        <v>17</v>
      </c>
      <c r="I9841" t="str">
        <f>"064074006739"</f>
        <v>064074006739</v>
      </c>
    </row>
    <row r="9842" spans="1:9" x14ac:dyDescent="0.25">
      <c r="A9842" t="s">
        <v>8591</v>
      </c>
      <c r="B9842" t="s">
        <v>13</v>
      </c>
      <c r="C9842" t="s">
        <v>14</v>
      </c>
      <c r="D9842" t="s">
        <v>14</v>
      </c>
      <c r="E9842" t="s">
        <v>17</v>
      </c>
      <c r="F9842" t="s">
        <v>14</v>
      </c>
      <c r="G9842" t="s">
        <v>14</v>
      </c>
      <c r="H9842" t="s">
        <v>17</v>
      </c>
      <c r="I9842" t="str">
        <f>"064074006738"</f>
        <v>064074006738</v>
      </c>
    </row>
    <row r="9843" spans="1:9" x14ac:dyDescent="0.25">
      <c r="A9843" t="s">
        <v>8592</v>
      </c>
      <c r="B9843" t="s">
        <v>13</v>
      </c>
      <c r="C9843">
        <v>22.7</v>
      </c>
      <c r="D9843">
        <v>23.1</v>
      </c>
      <c r="E9843" t="s">
        <v>17</v>
      </c>
      <c r="F9843">
        <v>22.78</v>
      </c>
      <c r="G9843">
        <v>22.73</v>
      </c>
      <c r="H9843" t="s">
        <v>17</v>
      </c>
      <c r="I9843" t="str">
        <f>"061440001688"</f>
        <v>061440001688</v>
      </c>
    </row>
    <row r="9844" spans="1:9" x14ac:dyDescent="0.25">
      <c r="A9844" t="s">
        <v>8593</v>
      </c>
      <c r="B9844" t="s">
        <v>13</v>
      </c>
      <c r="C9844">
        <v>21.4</v>
      </c>
      <c r="D9844">
        <v>21.5</v>
      </c>
      <c r="E9844" t="s">
        <v>17</v>
      </c>
      <c r="F9844">
        <v>25.75</v>
      </c>
      <c r="G9844">
        <v>25.86</v>
      </c>
      <c r="H9844" t="s">
        <v>17</v>
      </c>
      <c r="I9844" t="str">
        <f>"062046002470"</f>
        <v>062046002470</v>
      </c>
    </row>
    <row r="9845" spans="1:9" x14ac:dyDescent="0.25">
      <c r="A9845" t="s">
        <v>8594</v>
      </c>
      <c r="B9845" t="s">
        <v>13</v>
      </c>
      <c r="C9845">
        <v>42.51</v>
      </c>
      <c r="D9845">
        <v>39.520000000000003</v>
      </c>
      <c r="E9845" t="s">
        <v>14</v>
      </c>
      <c r="F9845">
        <v>27.31</v>
      </c>
      <c r="G9845">
        <v>23.56</v>
      </c>
      <c r="H9845" t="s">
        <v>14</v>
      </c>
      <c r="I9845" t="str">
        <f>"062271012946"</f>
        <v>062271012946</v>
      </c>
    </row>
    <row r="9846" spans="1:9" x14ac:dyDescent="0.25">
      <c r="A9846" t="s">
        <v>8595</v>
      </c>
      <c r="B9846" t="s">
        <v>13</v>
      </c>
      <c r="C9846">
        <v>8</v>
      </c>
      <c r="D9846">
        <v>8</v>
      </c>
      <c r="E9846" t="s">
        <v>17</v>
      </c>
      <c r="F9846">
        <v>16.75</v>
      </c>
      <c r="G9846">
        <v>15.13</v>
      </c>
      <c r="H9846" t="s">
        <v>17</v>
      </c>
      <c r="I9846" t="str">
        <f>"061632502069"</f>
        <v>061632502069</v>
      </c>
    </row>
    <row r="9847" spans="1:9" x14ac:dyDescent="0.25">
      <c r="A9847" t="s">
        <v>8596</v>
      </c>
      <c r="B9847" t="s">
        <v>13</v>
      </c>
      <c r="C9847">
        <v>22</v>
      </c>
      <c r="D9847">
        <v>22.01</v>
      </c>
      <c r="E9847" t="s">
        <v>17</v>
      </c>
      <c r="F9847">
        <v>27.14</v>
      </c>
      <c r="G9847">
        <v>27.35</v>
      </c>
      <c r="H9847" t="s">
        <v>17</v>
      </c>
      <c r="I9847" t="str">
        <f>"062271003416"</f>
        <v>062271003416</v>
      </c>
    </row>
    <row r="9848" spans="1:9" x14ac:dyDescent="0.25">
      <c r="A9848" t="s">
        <v>8597</v>
      </c>
      <c r="B9848" t="s">
        <v>13</v>
      </c>
      <c r="C9848">
        <v>15.6</v>
      </c>
      <c r="D9848">
        <v>15.71</v>
      </c>
      <c r="E9848" t="s">
        <v>17</v>
      </c>
      <c r="F9848">
        <v>18.91</v>
      </c>
      <c r="G9848">
        <v>18.399999999999999</v>
      </c>
      <c r="H9848" t="s">
        <v>17</v>
      </c>
      <c r="I9848" t="str">
        <f>"061455011588"</f>
        <v>061455011588</v>
      </c>
    </row>
    <row r="9849" spans="1:9" x14ac:dyDescent="0.25">
      <c r="A9849" t="s">
        <v>8598</v>
      </c>
      <c r="B9849" t="s">
        <v>13</v>
      </c>
      <c r="C9849">
        <v>5.15</v>
      </c>
      <c r="D9849">
        <v>6.82</v>
      </c>
      <c r="E9849" t="s">
        <v>17</v>
      </c>
      <c r="F9849">
        <v>18.059999999999999</v>
      </c>
      <c r="G9849">
        <v>15.4</v>
      </c>
      <c r="H9849" t="s">
        <v>17</v>
      </c>
      <c r="I9849" t="str">
        <f>"069102010961"</f>
        <v>069102010961</v>
      </c>
    </row>
    <row r="9850" spans="1:9" x14ac:dyDescent="0.25">
      <c r="A9850" t="s">
        <v>8599</v>
      </c>
      <c r="B9850" t="s">
        <v>13</v>
      </c>
      <c r="C9850">
        <v>20.94</v>
      </c>
      <c r="D9850">
        <v>22.14</v>
      </c>
      <c r="E9850" t="s">
        <v>17</v>
      </c>
      <c r="F9850">
        <v>23.35</v>
      </c>
      <c r="G9850">
        <v>22.49</v>
      </c>
      <c r="H9850" t="s">
        <v>17</v>
      </c>
      <c r="I9850" t="str">
        <f>"060006908614"</f>
        <v>060006908614</v>
      </c>
    </row>
    <row r="9851" spans="1:9" x14ac:dyDescent="0.25">
      <c r="A9851" t="s">
        <v>8600</v>
      </c>
      <c r="B9851" t="s">
        <v>13</v>
      </c>
      <c r="C9851" t="s">
        <v>14</v>
      </c>
      <c r="D9851" t="s">
        <v>17</v>
      </c>
      <c r="E9851" t="s">
        <v>17</v>
      </c>
      <c r="F9851" t="s">
        <v>17</v>
      </c>
      <c r="G9851" t="s">
        <v>17</v>
      </c>
      <c r="H9851" t="s">
        <v>17</v>
      </c>
      <c r="I9851" t="str">
        <f>"060006908611"</f>
        <v>060006908611</v>
      </c>
    </row>
    <row r="9852" spans="1:9" x14ac:dyDescent="0.25">
      <c r="A9852" t="s">
        <v>8601</v>
      </c>
      <c r="B9852" t="s">
        <v>13</v>
      </c>
      <c r="C9852">
        <v>55.29</v>
      </c>
      <c r="D9852">
        <v>55.99</v>
      </c>
      <c r="E9852" t="s">
        <v>17</v>
      </c>
      <c r="F9852">
        <v>21.83</v>
      </c>
      <c r="G9852">
        <v>22.61</v>
      </c>
      <c r="H9852" t="s">
        <v>17</v>
      </c>
      <c r="I9852" t="str">
        <f>"060006908607"</f>
        <v>060006908607</v>
      </c>
    </row>
    <row r="9853" spans="1:9" x14ac:dyDescent="0.25">
      <c r="A9853" t="s">
        <v>8602</v>
      </c>
      <c r="B9853" t="s">
        <v>13</v>
      </c>
      <c r="C9853">
        <v>34.89</v>
      </c>
      <c r="D9853">
        <v>34.28</v>
      </c>
      <c r="E9853" t="s">
        <v>17</v>
      </c>
      <c r="F9853">
        <v>24.22</v>
      </c>
      <c r="G9853">
        <v>24.8</v>
      </c>
      <c r="H9853" t="s">
        <v>17</v>
      </c>
      <c r="I9853" t="str">
        <f>"060006908612"</f>
        <v>060006908612</v>
      </c>
    </row>
    <row r="9854" spans="1:9" x14ac:dyDescent="0.25">
      <c r="A9854" t="s">
        <v>8603</v>
      </c>
      <c r="B9854" t="s">
        <v>13</v>
      </c>
      <c r="C9854">
        <v>3</v>
      </c>
      <c r="D9854">
        <v>3</v>
      </c>
      <c r="E9854" t="s">
        <v>17</v>
      </c>
      <c r="F9854">
        <v>24.33</v>
      </c>
      <c r="G9854">
        <v>19.329999999999998</v>
      </c>
      <c r="H9854" t="s">
        <v>17</v>
      </c>
      <c r="I9854" t="str">
        <f>"060006910646"</f>
        <v>060006910646</v>
      </c>
    </row>
    <row r="9855" spans="1:9" x14ac:dyDescent="0.25">
      <c r="A9855" t="s">
        <v>8604</v>
      </c>
      <c r="B9855" t="s">
        <v>13</v>
      </c>
      <c r="C9855">
        <v>26.54</v>
      </c>
      <c r="D9855">
        <v>28.12</v>
      </c>
      <c r="E9855" t="s">
        <v>17</v>
      </c>
      <c r="F9855">
        <v>21.85</v>
      </c>
      <c r="G9855">
        <v>20.7</v>
      </c>
      <c r="H9855" t="s">
        <v>17</v>
      </c>
      <c r="I9855" t="str">
        <f>"060006908613"</f>
        <v>060006908613</v>
      </c>
    </row>
    <row r="9856" spans="1:9" x14ac:dyDescent="0.25">
      <c r="A9856" t="s">
        <v>8605</v>
      </c>
      <c r="B9856" t="s">
        <v>13</v>
      </c>
      <c r="C9856">
        <v>10</v>
      </c>
      <c r="D9856">
        <v>8</v>
      </c>
      <c r="E9856" t="s">
        <v>17</v>
      </c>
      <c r="F9856">
        <v>22</v>
      </c>
      <c r="G9856">
        <v>21.88</v>
      </c>
      <c r="H9856" t="s">
        <v>17</v>
      </c>
      <c r="I9856" t="str">
        <f>"062271012641"</f>
        <v>062271012641</v>
      </c>
    </row>
    <row r="9857" spans="1:9" x14ac:dyDescent="0.25">
      <c r="A9857" t="s">
        <v>8606</v>
      </c>
      <c r="B9857" t="s">
        <v>13</v>
      </c>
      <c r="C9857">
        <v>12</v>
      </c>
      <c r="D9857">
        <v>12.5</v>
      </c>
      <c r="E9857" t="s">
        <v>17</v>
      </c>
      <c r="F9857">
        <v>19.420000000000002</v>
      </c>
      <c r="G9857">
        <v>18.239999999999998</v>
      </c>
      <c r="H9857" t="s">
        <v>17</v>
      </c>
      <c r="I9857" t="str">
        <f>"069104108409"</f>
        <v>069104108409</v>
      </c>
    </row>
    <row r="9858" spans="1:9" x14ac:dyDescent="0.25">
      <c r="A9858" t="s">
        <v>8607</v>
      </c>
      <c r="B9858" t="s">
        <v>13</v>
      </c>
      <c r="C9858">
        <v>4.75</v>
      </c>
      <c r="D9858">
        <v>2</v>
      </c>
      <c r="E9858" t="s">
        <v>14</v>
      </c>
      <c r="F9858">
        <v>23.58</v>
      </c>
      <c r="G9858">
        <v>30.5</v>
      </c>
      <c r="H9858" t="s">
        <v>14</v>
      </c>
      <c r="I9858" t="str">
        <f>"062271012643"</f>
        <v>062271012643</v>
      </c>
    </row>
    <row r="9859" spans="1:9" x14ac:dyDescent="0.25">
      <c r="A9859" t="s">
        <v>8608</v>
      </c>
      <c r="B9859" t="s">
        <v>13</v>
      </c>
      <c r="C9859">
        <v>18.2</v>
      </c>
      <c r="D9859">
        <v>22.78</v>
      </c>
      <c r="E9859" t="s">
        <v>17</v>
      </c>
      <c r="F9859">
        <v>22.86</v>
      </c>
      <c r="G9859">
        <v>23.66</v>
      </c>
      <c r="H9859" t="s">
        <v>17</v>
      </c>
      <c r="I9859" t="str">
        <f>"069102008217"</f>
        <v>069102008217</v>
      </c>
    </row>
    <row r="9860" spans="1:9" x14ac:dyDescent="0.25">
      <c r="A9860" t="s">
        <v>8609</v>
      </c>
      <c r="B9860" t="s">
        <v>13</v>
      </c>
      <c r="C9860">
        <v>2</v>
      </c>
      <c r="D9860">
        <v>2</v>
      </c>
      <c r="E9860" t="s">
        <v>17</v>
      </c>
      <c r="F9860">
        <v>12.5</v>
      </c>
      <c r="G9860">
        <v>19.5</v>
      </c>
      <c r="H9860" t="s">
        <v>17</v>
      </c>
      <c r="I9860" t="str">
        <f>"061632511282"</f>
        <v>061632511282</v>
      </c>
    </row>
    <row r="9861" spans="1:9" x14ac:dyDescent="0.25">
      <c r="A9861" t="s">
        <v>8609</v>
      </c>
      <c r="B9861" t="s">
        <v>13</v>
      </c>
      <c r="C9861">
        <v>1</v>
      </c>
      <c r="D9861">
        <v>1</v>
      </c>
      <c r="E9861" t="s">
        <v>17</v>
      </c>
      <c r="F9861">
        <v>9</v>
      </c>
      <c r="G9861">
        <v>5</v>
      </c>
      <c r="H9861" t="s">
        <v>17</v>
      </c>
      <c r="I9861" t="str">
        <f>"060006012334"</f>
        <v>060006012334</v>
      </c>
    </row>
    <row r="9862" spans="1:9" x14ac:dyDescent="0.25">
      <c r="A9862" t="s">
        <v>8610</v>
      </c>
      <c r="B9862" t="s">
        <v>13</v>
      </c>
      <c r="C9862">
        <v>28</v>
      </c>
      <c r="D9862">
        <v>26</v>
      </c>
      <c r="E9862" t="s">
        <v>17</v>
      </c>
      <c r="F9862">
        <v>25.43</v>
      </c>
      <c r="G9862">
        <v>28.12</v>
      </c>
      <c r="H9862" t="s">
        <v>17</v>
      </c>
      <c r="I9862" t="str">
        <f>"063153004899"</f>
        <v>063153004899</v>
      </c>
    </row>
    <row r="9863" spans="1:9" x14ac:dyDescent="0.25">
      <c r="A9863" t="s">
        <v>8610</v>
      </c>
      <c r="B9863" t="s">
        <v>13</v>
      </c>
      <c r="C9863">
        <v>24.1</v>
      </c>
      <c r="D9863">
        <v>28.5</v>
      </c>
      <c r="E9863" t="s">
        <v>17</v>
      </c>
      <c r="F9863">
        <v>25.85</v>
      </c>
      <c r="G9863">
        <v>24.49</v>
      </c>
      <c r="H9863" t="s">
        <v>17</v>
      </c>
      <c r="I9863" t="str">
        <f>"064356007045"</f>
        <v>064356007045</v>
      </c>
    </row>
    <row r="9864" spans="1:9" x14ac:dyDescent="0.25">
      <c r="A9864" t="s">
        <v>8611</v>
      </c>
      <c r="B9864" t="s">
        <v>13</v>
      </c>
      <c r="C9864">
        <v>70.37</v>
      </c>
      <c r="D9864">
        <v>73.03</v>
      </c>
      <c r="E9864" t="s">
        <v>17</v>
      </c>
      <c r="F9864">
        <v>20.99</v>
      </c>
      <c r="G9864">
        <v>21.28</v>
      </c>
      <c r="H9864" t="s">
        <v>17</v>
      </c>
      <c r="I9864" t="str">
        <f>"061233001414"</f>
        <v>061233001414</v>
      </c>
    </row>
    <row r="9865" spans="1:9" x14ac:dyDescent="0.25">
      <c r="A9865" t="s">
        <v>8611</v>
      </c>
      <c r="B9865" t="s">
        <v>13</v>
      </c>
      <c r="C9865" t="s">
        <v>17</v>
      </c>
      <c r="D9865">
        <v>2</v>
      </c>
      <c r="E9865" t="s">
        <v>17</v>
      </c>
      <c r="F9865" t="s">
        <v>17</v>
      </c>
      <c r="G9865">
        <v>14.5</v>
      </c>
      <c r="H9865" t="s">
        <v>17</v>
      </c>
      <c r="I9865" t="str">
        <f>"063993006621"</f>
        <v>063993006621</v>
      </c>
    </row>
    <row r="9866" spans="1:9" x14ac:dyDescent="0.25">
      <c r="A9866" t="s">
        <v>8611</v>
      </c>
      <c r="B9866" t="s">
        <v>13</v>
      </c>
      <c r="C9866">
        <v>8.67</v>
      </c>
      <c r="D9866">
        <v>9.42</v>
      </c>
      <c r="E9866" t="s">
        <v>17</v>
      </c>
      <c r="F9866">
        <v>10.84</v>
      </c>
      <c r="G9866">
        <v>16.239999999999998</v>
      </c>
      <c r="H9866" t="s">
        <v>17</v>
      </c>
      <c r="I9866" t="str">
        <f>"061086007693"</f>
        <v>061086007693</v>
      </c>
    </row>
    <row r="9867" spans="1:9" x14ac:dyDescent="0.25">
      <c r="A9867" t="s">
        <v>8611</v>
      </c>
      <c r="B9867" t="s">
        <v>13</v>
      </c>
      <c r="C9867" t="str">
        <f>"0.69"</f>
        <v>0.69</v>
      </c>
      <c r="D9867" t="str">
        <f>"0.72"</f>
        <v>0.72</v>
      </c>
      <c r="E9867" t="s">
        <v>17</v>
      </c>
      <c r="F9867">
        <v>11.59</v>
      </c>
      <c r="G9867">
        <v>11.11</v>
      </c>
      <c r="H9867" t="s">
        <v>17</v>
      </c>
      <c r="I9867" t="str">
        <f>"060001809106"</f>
        <v>060001809106</v>
      </c>
    </row>
    <row r="9868" spans="1:9" x14ac:dyDescent="0.25">
      <c r="A9868" t="s">
        <v>8611</v>
      </c>
      <c r="B9868" t="s">
        <v>13</v>
      </c>
      <c r="C9868">
        <v>101.45</v>
      </c>
      <c r="D9868">
        <v>99.59</v>
      </c>
      <c r="E9868" t="s">
        <v>17</v>
      </c>
      <c r="F9868">
        <v>22.5</v>
      </c>
      <c r="G9868">
        <v>23.42</v>
      </c>
      <c r="H9868" t="s">
        <v>17</v>
      </c>
      <c r="I9868" t="str">
        <f>"063531006011"</f>
        <v>063531006011</v>
      </c>
    </row>
    <row r="9869" spans="1:9" x14ac:dyDescent="0.25">
      <c r="A9869" t="s">
        <v>8612</v>
      </c>
      <c r="B9869" t="s">
        <v>13</v>
      </c>
      <c r="C9869">
        <v>20.8</v>
      </c>
      <c r="D9869">
        <v>19.2</v>
      </c>
      <c r="E9869" t="s">
        <v>17</v>
      </c>
      <c r="F9869">
        <v>18.170000000000002</v>
      </c>
      <c r="G9869">
        <v>19.64</v>
      </c>
      <c r="H9869" t="s">
        <v>17</v>
      </c>
      <c r="I9869" t="str">
        <f>"061291001468"</f>
        <v>061291001468</v>
      </c>
    </row>
    <row r="9870" spans="1:9" x14ac:dyDescent="0.25">
      <c r="A9870" t="s">
        <v>8612</v>
      </c>
      <c r="B9870" t="s">
        <v>13</v>
      </c>
      <c r="C9870">
        <v>7.4</v>
      </c>
      <c r="D9870">
        <v>7.4</v>
      </c>
      <c r="E9870" t="s">
        <v>17</v>
      </c>
      <c r="F9870">
        <v>10.81</v>
      </c>
      <c r="G9870">
        <v>10.95</v>
      </c>
      <c r="H9870" t="s">
        <v>17</v>
      </c>
      <c r="I9870" t="str">
        <f>"060001909274"</f>
        <v>060001909274</v>
      </c>
    </row>
    <row r="9871" spans="1:9" x14ac:dyDescent="0.25">
      <c r="A9871" t="s">
        <v>8613</v>
      </c>
      <c r="B9871" t="s">
        <v>13</v>
      </c>
      <c r="C9871" t="s">
        <v>14</v>
      </c>
      <c r="D9871" t="s">
        <v>14</v>
      </c>
      <c r="E9871" t="s">
        <v>17</v>
      </c>
      <c r="F9871" t="s">
        <v>14</v>
      </c>
      <c r="G9871" t="s">
        <v>14</v>
      </c>
      <c r="H9871" t="s">
        <v>17</v>
      </c>
      <c r="I9871" t="str">
        <f>"064080012397"</f>
        <v>064080012397</v>
      </c>
    </row>
    <row r="9872" spans="1:9" x14ac:dyDescent="0.25">
      <c r="A9872" t="s">
        <v>8614</v>
      </c>
      <c r="B9872" t="s">
        <v>13</v>
      </c>
      <c r="C9872">
        <v>8</v>
      </c>
      <c r="D9872">
        <v>8</v>
      </c>
      <c r="E9872" t="s">
        <v>17</v>
      </c>
      <c r="F9872">
        <v>20.75</v>
      </c>
      <c r="G9872">
        <v>20.88</v>
      </c>
      <c r="H9872" t="s">
        <v>17</v>
      </c>
      <c r="I9872" t="str">
        <f>"064080006742"</f>
        <v>064080006742</v>
      </c>
    </row>
    <row r="9873" spans="1:9" x14ac:dyDescent="0.25">
      <c r="A9873" t="s">
        <v>8615</v>
      </c>
      <c r="B9873" t="s">
        <v>13</v>
      </c>
      <c r="C9873">
        <v>25.45</v>
      </c>
      <c r="D9873" t="s">
        <v>17</v>
      </c>
      <c r="E9873" t="s">
        <v>14</v>
      </c>
      <c r="F9873">
        <v>19.489999999999998</v>
      </c>
      <c r="G9873" t="s">
        <v>17</v>
      </c>
      <c r="H9873" t="s">
        <v>14</v>
      </c>
      <c r="I9873" t="str">
        <f>"069104512862"</f>
        <v>069104512862</v>
      </c>
    </row>
    <row r="9874" spans="1:9" x14ac:dyDescent="0.25">
      <c r="A9874" t="s">
        <v>8616</v>
      </c>
      <c r="B9874" t="s">
        <v>13</v>
      </c>
      <c r="C9874">
        <v>7.6</v>
      </c>
      <c r="D9874">
        <v>7</v>
      </c>
      <c r="E9874" t="s">
        <v>17</v>
      </c>
      <c r="F9874">
        <v>21.84</v>
      </c>
      <c r="G9874">
        <v>18.86</v>
      </c>
      <c r="H9874" t="s">
        <v>17</v>
      </c>
      <c r="I9874" t="str">
        <f>"069102008737"</f>
        <v>069102008737</v>
      </c>
    </row>
    <row r="9875" spans="1:9" x14ac:dyDescent="0.25">
      <c r="A9875" t="s">
        <v>8617</v>
      </c>
      <c r="B9875" t="s">
        <v>13</v>
      </c>
      <c r="C9875">
        <v>41.6</v>
      </c>
      <c r="D9875">
        <v>42.41</v>
      </c>
      <c r="E9875" t="s">
        <v>17</v>
      </c>
      <c r="F9875">
        <v>24.33</v>
      </c>
      <c r="G9875">
        <v>24.24</v>
      </c>
      <c r="H9875" t="s">
        <v>17</v>
      </c>
      <c r="I9875" t="str">
        <f>"060750000715"</f>
        <v>060750000715</v>
      </c>
    </row>
    <row r="9876" spans="1:9" x14ac:dyDescent="0.25">
      <c r="A9876" t="s">
        <v>8618</v>
      </c>
      <c r="B9876" t="s">
        <v>13</v>
      </c>
      <c r="C9876">
        <v>1.55</v>
      </c>
      <c r="D9876">
        <v>1.55</v>
      </c>
      <c r="E9876" t="s">
        <v>17</v>
      </c>
      <c r="F9876">
        <v>44.52</v>
      </c>
      <c r="G9876">
        <v>43.23</v>
      </c>
      <c r="H9876" t="s">
        <v>17</v>
      </c>
      <c r="I9876" t="str">
        <f>"062827010709"</f>
        <v>062827010709</v>
      </c>
    </row>
    <row r="9877" spans="1:9" x14ac:dyDescent="0.25">
      <c r="A9877" t="s">
        <v>8619</v>
      </c>
      <c r="B9877" t="s">
        <v>13</v>
      </c>
      <c r="C9877">
        <v>1.1000000000000001</v>
      </c>
      <c r="D9877">
        <v>1.1000000000000001</v>
      </c>
      <c r="E9877" t="s">
        <v>17</v>
      </c>
      <c r="F9877">
        <v>19.09</v>
      </c>
      <c r="G9877">
        <v>25.45</v>
      </c>
      <c r="H9877" t="s">
        <v>17</v>
      </c>
      <c r="I9877" t="str">
        <f>"062205009390"</f>
        <v>062205009390</v>
      </c>
    </row>
    <row r="9878" spans="1:9" x14ac:dyDescent="0.25">
      <c r="A9878" t="s">
        <v>8620</v>
      </c>
      <c r="B9878" t="s">
        <v>13</v>
      </c>
      <c r="C9878">
        <v>19</v>
      </c>
      <c r="D9878">
        <v>21</v>
      </c>
      <c r="E9878" t="s">
        <v>17</v>
      </c>
      <c r="F9878">
        <v>27.89</v>
      </c>
      <c r="G9878">
        <v>26.38</v>
      </c>
      <c r="H9878" t="s">
        <v>17</v>
      </c>
      <c r="I9878" t="str">
        <f>"060903009531"</f>
        <v>060903009531</v>
      </c>
    </row>
    <row r="9879" spans="1:9" x14ac:dyDescent="0.25">
      <c r="A9879" t="s">
        <v>8621</v>
      </c>
      <c r="B9879" t="s">
        <v>13</v>
      </c>
      <c r="C9879">
        <v>10.9</v>
      </c>
      <c r="D9879">
        <v>10.7</v>
      </c>
      <c r="E9879" t="s">
        <v>17</v>
      </c>
      <c r="F9879">
        <v>17.16</v>
      </c>
      <c r="G9879">
        <v>16.54</v>
      </c>
      <c r="H9879" t="s">
        <v>17</v>
      </c>
      <c r="I9879" t="str">
        <f>"062664010563"</f>
        <v>062664010563</v>
      </c>
    </row>
    <row r="9880" spans="1:9" x14ac:dyDescent="0.25">
      <c r="A9880" t="s">
        <v>8622</v>
      </c>
      <c r="B9880" t="s">
        <v>13</v>
      </c>
      <c r="C9880">
        <v>5.2</v>
      </c>
      <c r="D9880">
        <v>5.3</v>
      </c>
      <c r="E9880" t="s">
        <v>17</v>
      </c>
      <c r="F9880">
        <v>13.08</v>
      </c>
      <c r="G9880">
        <v>13.4</v>
      </c>
      <c r="H9880" t="s">
        <v>17</v>
      </c>
      <c r="I9880" t="str">
        <f>"060006206757"</f>
        <v>060006206757</v>
      </c>
    </row>
    <row r="9881" spans="1:9" x14ac:dyDescent="0.25">
      <c r="A9881" t="s">
        <v>8623</v>
      </c>
      <c r="B9881" t="s">
        <v>13</v>
      </c>
      <c r="C9881">
        <v>36.26</v>
      </c>
      <c r="D9881">
        <v>35.909999999999997</v>
      </c>
      <c r="E9881" t="s">
        <v>17</v>
      </c>
      <c r="F9881">
        <v>26.03</v>
      </c>
      <c r="G9881">
        <v>26.32</v>
      </c>
      <c r="H9881" t="s">
        <v>17</v>
      </c>
      <c r="I9881" t="str">
        <f>"064116006808"</f>
        <v>064116006808</v>
      </c>
    </row>
    <row r="9882" spans="1:9" x14ac:dyDescent="0.25">
      <c r="A9882" t="s">
        <v>8624</v>
      </c>
      <c r="B9882" t="s">
        <v>13</v>
      </c>
      <c r="C9882">
        <v>2</v>
      </c>
      <c r="D9882">
        <v>1.5</v>
      </c>
      <c r="E9882" t="s">
        <v>17</v>
      </c>
      <c r="F9882">
        <v>9</v>
      </c>
      <c r="G9882">
        <v>16</v>
      </c>
      <c r="H9882" t="s">
        <v>17</v>
      </c>
      <c r="I9882" t="str">
        <f>"063462008195"</f>
        <v>063462008195</v>
      </c>
    </row>
    <row r="9883" spans="1:9" x14ac:dyDescent="0.25">
      <c r="A9883" t="s">
        <v>8625</v>
      </c>
      <c r="B9883" t="s">
        <v>13</v>
      </c>
      <c r="C9883">
        <v>47.3</v>
      </c>
      <c r="D9883">
        <v>47.5</v>
      </c>
      <c r="E9883" t="s">
        <v>17</v>
      </c>
      <c r="F9883">
        <v>26.15</v>
      </c>
      <c r="G9883">
        <v>23.98</v>
      </c>
      <c r="H9883" t="s">
        <v>17</v>
      </c>
      <c r="I9883" t="str">
        <f>"069101208491"</f>
        <v>069101208491</v>
      </c>
    </row>
    <row r="9884" spans="1:9" x14ac:dyDescent="0.25">
      <c r="A9884" t="s">
        <v>8626</v>
      </c>
      <c r="B9884" t="s">
        <v>13</v>
      </c>
      <c r="C9884">
        <v>29.5</v>
      </c>
      <c r="D9884">
        <v>30.8</v>
      </c>
      <c r="E9884" t="s">
        <v>17</v>
      </c>
      <c r="F9884">
        <v>21.32</v>
      </c>
      <c r="G9884">
        <v>19.29</v>
      </c>
      <c r="H9884" t="s">
        <v>17</v>
      </c>
      <c r="I9884" t="str">
        <f>"061479001819"</f>
        <v>061479001819</v>
      </c>
    </row>
    <row r="9885" spans="1:9" x14ac:dyDescent="0.25">
      <c r="A9885" t="s">
        <v>8627</v>
      </c>
      <c r="B9885" t="s">
        <v>13</v>
      </c>
      <c r="C9885" t="str">
        <f>"0.20"</f>
        <v>0.20</v>
      </c>
      <c r="D9885" t="str">
        <f>"0.20"</f>
        <v>0.20</v>
      </c>
      <c r="E9885" t="s">
        <v>17</v>
      </c>
      <c r="F9885">
        <v>5</v>
      </c>
      <c r="G9885">
        <v>5</v>
      </c>
      <c r="H9885" t="s">
        <v>17</v>
      </c>
      <c r="I9885" t="str">
        <f>"063023005436"</f>
        <v>063023005436</v>
      </c>
    </row>
    <row r="9886" spans="1:9" x14ac:dyDescent="0.25">
      <c r="A9886" t="s">
        <v>8628</v>
      </c>
      <c r="B9886" t="s">
        <v>13</v>
      </c>
      <c r="C9886">
        <v>5.3</v>
      </c>
      <c r="D9886">
        <v>5.4</v>
      </c>
      <c r="E9886" t="s">
        <v>17</v>
      </c>
      <c r="F9886">
        <v>16.04</v>
      </c>
      <c r="G9886">
        <v>12.22</v>
      </c>
      <c r="H9886" t="s">
        <v>17</v>
      </c>
      <c r="I9886" t="str">
        <f>"063025005439"</f>
        <v>063025005439</v>
      </c>
    </row>
    <row r="9887" spans="1:9" x14ac:dyDescent="0.25">
      <c r="A9887" t="s">
        <v>8629</v>
      </c>
      <c r="B9887" t="s">
        <v>13</v>
      </c>
      <c r="C9887">
        <v>19.920000000000002</v>
      </c>
      <c r="D9887">
        <v>23.65</v>
      </c>
      <c r="E9887" t="s">
        <v>17</v>
      </c>
      <c r="F9887">
        <v>25.2</v>
      </c>
      <c r="G9887">
        <v>22.16</v>
      </c>
      <c r="H9887" t="s">
        <v>17</v>
      </c>
      <c r="I9887" t="str">
        <f>"063261005076"</f>
        <v>063261005076</v>
      </c>
    </row>
    <row r="9888" spans="1:9" x14ac:dyDescent="0.25">
      <c r="A9888" t="s">
        <v>8630</v>
      </c>
      <c r="B9888" t="s">
        <v>13</v>
      </c>
      <c r="C9888">
        <v>13</v>
      </c>
      <c r="D9888">
        <v>12</v>
      </c>
      <c r="E9888" t="s">
        <v>17</v>
      </c>
      <c r="F9888">
        <v>24.54</v>
      </c>
      <c r="G9888">
        <v>23.33</v>
      </c>
      <c r="H9888" t="s">
        <v>17</v>
      </c>
      <c r="I9888" t="str">
        <f>"061455010775"</f>
        <v>061455010775</v>
      </c>
    </row>
    <row r="9889" spans="1:9" x14ac:dyDescent="0.25">
      <c r="A9889" t="s">
        <v>8631</v>
      </c>
      <c r="B9889" t="s">
        <v>13</v>
      </c>
      <c r="C9889" t="s">
        <v>17</v>
      </c>
      <c r="D9889" t="s">
        <v>17</v>
      </c>
      <c r="E9889" t="s">
        <v>17</v>
      </c>
      <c r="F9889" t="s">
        <v>17</v>
      </c>
      <c r="G9889" t="s">
        <v>17</v>
      </c>
      <c r="H9889" t="s">
        <v>17</v>
      </c>
      <c r="I9889" t="str">
        <f>"060009710787"</f>
        <v>060009710787</v>
      </c>
    </row>
    <row r="9890" spans="1:9" x14ac:dyDescent="0.25">
      <c r="A9890" t="s">
        <v>8632</v>
      </c>
      <c r="B9890" t="s">
        <v>13</v>
      </c>
      <c r="C9890">
        <v>19.63</v>
      </c>
      <c r="D9890">
        <v>21.25</v>
      </c>
      <c r="E9890" t="s">
        <v>17</v>
      </c>
      <c r="F9890">
        <v>24.2</v>
      </c>
      <c r="G9890">
        <v>23.06</v>
      </c>
      <c r="H9890" t="s">
        <v>17</v>
      </c>
      <c r="I9890" t="str">
        <f>"060687000631"</f>
        <v>060687000631</v>
      </c>
    </row>
    <row r="9891" spans="1:9" x14ac:dyDescent="0.25">
      <c r="A9891" t="s">
        <v>8633</v>
      </c>
      <c r="B9891" t="s">
        <v>13</v>
      </c>
      <c r="C9891">
        <v>2</v>
      </c>
      <c r="D9891">
        <v>2</v>
      </c>
      <c r="E9891" t="s">
        <v>17</v>
      </c>
      <c r="F9891">
        <v>13.5</v>
      </c>
      <c r="G9891">
        <v>13</v>
      </c>
      <c r="H9891" t="s">
        <v>17</v>
      </c>
      <c r="I9891" t="str">
        <f>"060006811681"</f>
        <v>060006811681</v>
      </c>
    </row>
    <row r="9892" spans="1:9" x14ac:dyDescent="0.25">
      <c r="A9892" t="s">
        <v>8634</v>
      </c>
      <c r="B9892" t="s">
        <v>13</v>
      </c>
      <c r="C9892">
        <v>13</v>
      </c>
      <c r="D9892">
        <v>14</v>
      </c>
      <c r="E9892" t="s">
        <v>17</v>
      </c>
      <c r="F9892">
        <v>30.69</v>
      </c>
      <c r="G9892">
        <v>24.93</v>
      </c>
      <c r="H9892" t="s">
        <v>17</v>
      </c>
      <c r="I9892" t="str">
        <f>"060243009514"</f>
        <v>060243009514</v>
      </c>
    </row>
    <row r="9893" spans="1:9" x14ac:dyDescent="0.25">
      <c r="A9893" t="s">
        <v>8634</v>
      </c>
      <c r="B9893" t="s">
        <v>13</v>
      </c>
      <c r="C9893">
        <v>11.5</v>
      </c>
      <c r="D9893">
        <v>11</v>
      </c>
      <c r="E9893" t="s">
        <v>17</v>
      </c>
      <c r="F9893">
        <v>22</v>
      </c>
      <c r="G9893">
        <v>22.27</v>
      </c>
      <c r="H9893" t="s">
        <v>17</v>
      </c>
      <c r="I9893" t="str">
        <f>"062271003417"</f>
        <v>062271003417</v>
      </c>
    </row>
    <row r="9894" spans="1:9" x14ac:dyDescent="0.25">
      <c r="A9894" t="s">
        <v>8634</v>
      </c>
      <c r="B9894" t="s">
        <v>13</v>
      </c>
      <c r="C9894">
        <v>29</v>
      </c>
      <c r="D9894">
        <v>33</v>
      </c>
      <c r="E9894" t="s">
        <v>17</v>
      </c>
      <c r="F9894">
        <v>27.48</v>
      </c>
      <c r="G9894">
        <v>25.97</v>
      </c>
      <c r="H9894" t="s">
        <v>17</v>
      </c>
      <c r="I9894" t="str">
        <f>"064212006893"</f>
        <v>064212006893</v>
      </c>
    </row>
    <row r="9895" spans="1:9" x14ac:dyDescent="0.25">
      <c r="A9895" t="s">
        <v>8634</v>
      </c>
      <c r="B9895" t="s">
        <v>13</v>
      </c>
      <c r="C9895">
        <v>29</v>
      </c>
      <c r="D9895">
        <v>27.8</v>
      </c>
      <c r="E9895" t="s">
        <v>17</v>
      </c>
      <c r="F9895">
        <v>21.1</v>
      </c>
      <c r="G9895">
        <v>21.29</v>
      </c>
      <c r="H9895" t="s">
        <v>17</v>
      </c>
      <c r="I9895" t="str">
        <f>"063822007883"</f>
        <v>063822007883</v>
      </c>
    </row>
    <row r="9896" spans="1:9" x14ac:dyDescent="0.25">
      <c r="A9896" t="s">
        <v>8634</v>
      </c>
      <c r="B9896" t="s">
        <v>13</v>
      </c>
      <c r="C9896">
        <v>15</v>
      </c>
      <c r="D9896">
        <v>18</v>
      </c>
      <c r="E9896" t="s">
        <v>17</v>
      </c>
      <c r="F9896">
        <v>26.07</v>
      </c>
      <c r="G9896">
        <v>23.22</v>
      </c>
      <c r="H9896" t="s">
        <v>17</v>
      </c>
      <c r="I9896" t="str">
        <f>"061524007519"</f>
        <v>061524007519</v>
      </c>
    </row>
    <row r="9897" spans="1:9" x14ac:dyDescent="0.25">
      <c r="A9897" t="s">
        <v>8634</v>
      </c>
      <c r="B9897" t="s">
        <v>13</v>
      </c>
      <c r="C9897">
        <v>18</v>
      </c>
      <c r="D9897">
        <v>17</v>
      </c>
      <c r="E9897" t="s">
        <v>17</v>
      </c>
      <c r="F9897">
        <v>22.78</v>
      </c>
      <c r="G9897">
        <v>22.53</v>
      </c>
      <c r="H9897" t="s">
        <v>17</v>
      </c>
      <c r="I9897" t="str">
        <f>"061152001289"</f>
        <v>061152001289</v>
      </c>
    </row>
    <row r="9898" spans="1:9" x14ac:dyDescent="0.25">
      <c r="A9898" t="s">
        <v>8634</v>
      </c>
      <c r="B9898" t="s">
        <v>13</v>
      </c>
      <c r="C9898">
        <v>18</v>
      </c>
      <c r="D9898">
        <v>19</v>
      </c>
      <c r="E9898" t="s">
        <v>17</v>
      </c>
      <c r="F9898">
        <v>26.22</v>
      </c>
      <c r="G9898">
        <v>26.32</v>
      </c>
      <c r="H9898" t="s">
        <v>17</v>
      </c>
      <c r="I9898" t="str">
        <f>"060001308763"</f>
        <v>060001308763</v>
      </c>
    </row>
    <row r="9899" spans="1:9" x14ac:dyDescent="0.25">
      <c r="A9899" t="s">
        <v>8634</v>
      </c>
      <c r="B9899" t="s">
        <v>13</v>
      </c>
      <c r="C9899">
        <v>30.5</v>
      </c>
      <c r="D9899">
        <v>30.55</v>
      </c>
      <c r="E9899" t="s">
        <v>17</v>
      </c>
      <c r="F9899">
        <v>26.1</v>
      </c>
      <c r="G9899">
        <v>26.22</v>
      </c>
      <c r="H9899" t="s">
        <v>17</v>
      </c>
      <c r="I9899" t="str">
        <f>"060907000929"</f>
        <v>060907000929</v>
      </c>
    </row>
    <row r="9900" spans="1:9" x14ac:dyDescent="0.25">
      <c r="A9900" t="s">
        <v>8634</v>
      </c>
      <c r="B9900" t="s">
        <v>13</v>
      </c>
      <c r="C9900">
        <v>23</v>
      </c>
      <c r="D9900">
        <v>24</v>
      </c>
      <c r="E9900" t="s">
        <v>17</v>
      </c>
      <c r="F9900">
        <v>27.43</v>
      </c>
      <c r="G9900">
        <v>23.21</v>
      </c>
      <c r="H9900" t="s">
        <v>17</v>
      </c>
      <c r="I9900" t="str">
        <f>"062778002426"</f>
        <v>062778002426</v>
      </c>
    </row>
    <row r="9901" spans="1:9" x14ac:dyDescent="0.25">
      <c r="A9901" t="s">
        <v>8634</v>
      </c>
      <c r="B9901" t="s">
        <v>13</v>
      </c>
      <c r="C9901">
        <v>30.12</v>
      </c>
      <c r="D9901">
        <v>33.22</v>
      </c>
      <c r="E9901" t="s">
        <v>17</v>
      </c>
      <c r="F9901">
        <v>24</v>
      </c>
      <c r="G9901">
        <v>21.82</v>
      </c>
      <c r="H9901" t="s">
        <v>17</v>
      </c>
      <c r="I9901" t="str">
        <f>"060002009287"</f>
        <v>060002009287</v>
      </c>
    </row>
    <row r="9902" spans="1:9" x14ac:dyDescent="0.25">
      <c r="A9902" t="s">
        <v>8634</v>
      </c>
      <c r="B9902" t="s">
        <v>13</v>
      </c>
      <c r="C9902">
        <v>12</v>
      </c>
      <c r="D9902">
        <v>14</v>
      </c>
      <c r="E9902" t="s">
        <v>17</v>
      </c>
      <c r="F9902">
        <v>26.42</v>
      </c>
      <c r="G9902">
        <v>24.64</v>
      </c>
      <c r="H9902" t="s">
        <v>17</v>
      </c>
      <c r="I9902" t="str">
        <f>"063255005064"</f>
        <v>063255005064</v>
      </c>
    </row>
    <row r="9903" spans="1:9" x14ac:dyDescent="0.25">
      <c r="A9903" t="s">
        <v>8635</v>
      </c>
      <c r="B9903" t="s">
        <v>13</v>
      </c>
      <c r="C9903">
        <v>105.16</v>
      </c>
      <c r="D9903">
        <v>112.75</v>
      </c>
      <c r="E9903" t="s">
        <v>17</v>
      </c>
      <c r="F9903">
        <v>24.66</v>
      </c>
      <c r="G9903">
        <v>22.87</v>
      </c>
      <c r="H9903" t="s">
        <v>17</v>
      </c>
      <c r="I9903" t="str">
        <f>"062580009404"</f>
        <v>062580009404</v>
      </c>
    </row>
    <row r="9904" spans="1:9" x14ac:dyDescent="0.25">
      <c r="A9904" t="s">
        <v>8636</v>
      </c>
      <c r="B9904" t="s">
        <v>13</v>
      </c>
      <c r="C9904">
        <v>31.06</v>
      </c>
      <c r="D9904">
        <v>31.25</v>
      </c>
      <c r="E9904" t="s">
        <v>17</v>
      </c>
      <c r="F9904">
        <v>20.61</v>
      </c>
      <c r="G9904">
        <v>20.86</v>
      </c>
      <c r="H9904" t="s">
        <v>17</v>
      </c>
      <c r="I9904" t="str">
        <f>"060816000797"</f>
        <v>060816000797</v>
      </c>
    </row>
    <row r="9905" spans="1:9" x14ac:dyDescent="0.25">
      <c r="A9905" t="s">
        <v>8637</v>
      </c>
      <c r="B9905" t="s">
        <v>13</v>
      </c>
      <c r="C9905">
        <v>37.01</v>
      </c>
      <c r="D9905">
        <v>34.82</v>
      </c>
      <c r="E9905" t="s">
        <v>17</v>
      </c>
      <c r="F9905">
        <v>22.83</v>
      </c>
      <c r="G9905">
        <v>24.33</v>
      </c>
      <c r="H9905" t="s">
        <v>17</v>
      </c>
      <c r="I9905" t="str">
        <f>"062637003979"</f>
        <v>062637003979</v>
      </c>
    </row>
    <row r="9906" spans="1:9" x14ac:dyDescent="0.25">
      <c r="A9906" t="s">
        <v>8637</v>
      </c>
      <c r="B9906" t="s">
        <v>13</v>
      </c>
      <c r="C9906">
        <v>51.9</v>
      </c>
      <c r="D9906">
        <v>48.6</v>
      </c>
      <c r="E9906" t="s">
        <v>17</v>
      </c>
      <c r="F9906">
        <v>26.71</v>
      </c>
      <c r="G9906">
        <v>27.14</v>
      </c>
      <c r="H9906" t="s">
        <v>17</v>
      </c>
      <c r="I9906" t="str">
        <f>"063684006272"</f>
        <v>063684006272</v>
      </c>
    </row>
    <row r="9907" spans="1:9" x14ac:dyDescent="0.25">
      <c r="A9907" t="s">
        <v>8638</v>
      </c>
      <c r="B9907" t="s">
        <v>13</v>
      </c>
      <c r="C9907">
        <v>17.100000000000001</v>
      </c>
      <c r="D9907">
        <v>19.5</v>
      </c>
      <c r="E9907" t="s">
        <v>17</v>
      </c>
      <c r="F9907">
        <v>23.45</v>
      </c>
      <c r="G9907">
        <v>21.03</v>
      </c>
      <c r="H9907" t="s">
        <v>17</v>
      </c>
      <c r="I9907" t="str">
        <f>"063023004726"</f>
        <v>063023004726</v>
      </c>
    </row>
    <row r="9908" spans="1:9" x14ac:dyDescent="0.25">
      <c r="A9908" t="s">
        <v>8638</v>
      </c>
      <c r="B9908" t="s">
        <v>13</v>
      </c>
      <c r="C9908">
        <v>26</v>
      </c>
      <c r="D9908">
        <v>26</v>
      </c>
      <c r="E9908" t="s">
        <v>17</v>
      </c>
      <c r="F9908">
        <v>22.12</v>
      </c>
      <c r="G9908">
        <v>21.08</v>
      </c>
      <c r="H9908" t="s">
        <v>17</v>
      </c>
      <c r="I9908" t="str">
        <f>"060861000881"</f>
        <v>060861000881</v>
      </c>
    </row>
    <row r="9909" spans="1:9" x14ac:dyDescent="0.25">
      <c r="A9909" t="s">
        <v>8639</v>
      </c>
      <c r="B9909" t="s">
        <v>13</v>
      </c>
      <c r="C9909">
        <v>15</v>
      </c>
      <c r="D9909">
        <v>15</v>
      </c>
      <c r="E9909" t="s">
        <v>17</v>
      </c>
      <c r="F9909">
        <v>20.329999999999998</v>
      </c>
      <c r="G9909">
        <v>20.73</v>
      </c>
      <c r="H9909" t="s">
        <v>17</v>
      </c>
      <c r="I9909" t="str">
        <f>"061806002235"</f>
        <v>061806002235</v>
      </c>
    </row>
    <row r="9910" spans="1:9" x14ac:dyDescent="0.25">
      <c r="A9910" t="s">
        <v>8640</v>
      </c>
      <c r="B9910" t="s">
        <v>13</v>
      </c>
      <c r="C9910">
        <v>21.16</v>
      </c>
      <c r="D9910">
        <v>21.4</v>
      </c>
      <c r="E9910" t="s">
        <v>17</v>
      </c>
      <c r="F9910">
        <v>15.64</v>
      </c>
      <c r="G9910">
        <v>17.059999999999999</v>
      </c>
      <c r="H9910" t="s">
        <v>17</v>
      </c>
      <c r="I9910" t="str">
        <f>"060360000285"</f>
        <v>060360000285</v>
      </c>
    </row>
    <row r="9911" spans="1:9" x14ac:dyDescent="0.25">
      <c r="A9911" t="s">
        <v>8641</v>
      </c>
      <c r="B9911" t="s">
        <v>13</v>
      </c>
      <c r="C9911">
        <v>3</v>
      </c>
      <c r="D9911">
        <v>3</v>
      </c>
      <c r="E9911" t="s">
        <v>17</v>
      </c>
      <c r="F9911">
        <v>23.67</v>
      </c>
      <c r="G9911">
        <v>21</v>
      </c>
      <c r="H9911" t="s">
        <v>17</v>
      </c>
      <c r="I9911" t="str">
        <f>"062970012459"</f>
        <v>062970012459</v>
      </c>
    </row>
    <row r="9912" spans="1:9" x14ac:dyDescent="0.25">
      <c r="A9912" t="s">
        <v>8642</v>
      </c>
      <c r="B9912" t="s">
        <v>13</v>
      </c>
      <c r="C9912" t="s">
        <v>17</v>
      </c>
      <c r="D9912">
        <v>10.1</v>
      </c>
      <c r="E9912" t="s">
        <v>17</v>
      </c>
      <c r="F9912" t="s">
        <v>17</v>
      </c>
      <c r="G9912">
        <v>31.39</v>
      </c>
      <c r="H9912" t="s">
        <v>17</v>
      </c>
      <c r="I9912" t="str">
        <f>"062271012510"</f>
        <v>062271012510</v>
      </c>
    </row>
    <row r="9913" spans="1:9" x14ac:dyDescent="0.25">
      <c r="A9913" t="s">
        <v>8643</v>
      </c>
      <c r="B9913" t="s">
        <v>13</v>
      </c>
      <c r="C9913" t="s">
        <v>17</v>
      </c>
      <c r="D9913" t="s">
        <v>14</v>
      </c>
      <c r="E9913" t="s">
        <v>14</v>
      </c>
      <c r="F9913" t="s">
        <v>17</v>
      </c>
      <c r="G9913" t="s">
        <v>14</v>
      </c>
      <c r="H9913" t="s">
        <v>14</v>
      </c>
      <c r="I9913" t="str">
        <f>"062271013564"</f>
        <v>062271013564</v>
      </c>
    </row>
    <row r="9914" spans="1:9" x14ac:dyDescent="0.25">
      <c r="A9914" t="s">
        <v>8644</v>
      </c>
      <c r="B9914" t="s">
        <v>13</v>
      </c>
      <c r="C9914">
        <v>14</v>
      </c>
      <c r="D9914">
        <v>14</v>
      </c>
      <c r="E9914" t="s">
        <v>17</v>
      </c>
      <c r="F9914">
        <v>23.21</v>
      </c>
      <c r="G9914">
        <v>22</v>
      </c>
      <c r="H9914" t="s">
        <v>17</v>
      </c>
      <c r="I9914" t="str">
        <f>"061284001450"</f>
        <v>061284001450</v>
      </c>
    </row>
    <row r="9915" spans="1:9" x14ac:dyDescent="0.25">
      <c r="A9915" t="s">
        <v>8645</v>
      </c>
      <c r="B9915" t="s">
        <v>13</v>
      </c>
      <c r="C9915">
        <v>16.829999999999998</v>
      </c>
      <c r="D9915">
        <v>24.25</v>
      </c>
      <c r="E9915" t="s">
        <v>17</v>
      </c>
      <c r="F9915">
        <v>34.28</v>
      </c>
      <c r="G9915">
        <v>23.59</v>
      </c>
      <c r="H9915" t="s">
        <v>17</v>
      </c>
      <c r="I9915" t="str">
        <f>"063801006436"</f>
        <v>063801006436</v>
      </c>
    </row>
    <row r="9916" spans="1:9" x14ac:dyDescent="0.25">
      <c r="A9916" t="s">
        <v>8645</v>
      </c>
      <c r="B9916" t="s">
        <v>13</v>
      </c>
      <c r="C9916">
        <v>25</v>
      </c>
      <c r="D9916">
        <v>24.5</v>
      </c>
      <c r="E9916" t="s">
        <v>17</v>
      </c>
      <c r="F9916">
        <v>25.2</v>
      </c>
      <c r="G9916">
        <v>26.16</v>
      </c>
      <c r="H9916" t="s">
        <v>17</v>
      </c>
      <c r="I9916" t="str">
        <f>"061926002321"</f>
        <v>061926002321</v>
      </c>
    </row>
    <row r="9917" spans="1:9" x14ac:dyDescent="0.25">
      <c r="A9917" t="s">
        <v>8645</v>
      </c>
      <c r="B9917" t="s">
        <v>13</v>
      </c>
      <c r="C9917">
        <v>21.9</v>
      </c>
      <c r="D9917">
        <v>22</v>
      </c>
      <c r="E9917" t="s">
        <v>17</v>
      </c>
      <c r="F9917">
        <v>30.32</v>
      </c>
      <c r="G9917">
        <v>28.68</v>
      </c>
      <c r="H9917" t="s">
        <v>17</v>
      </c>
      <c r="I9917" t="str">
        <f>"063066004774"</f>
        <v>063066004774</v>
      </c>
    </row>
    <row r="9918" spans="1:9" x14ac:dyDescent="0.25">
      <c r="A9918" t="s">
        <v>8646</v>
      </c>
      <c r="B9918" t="s">
        <v>13</v>
      </c>
      <c r="C9918">
        <v>19</v>
      </c>
      <c r="D9918">
        <v>18</v>
      </c>
      <c r="E9918" t="s">
        <v>17</v>
      </c>
      <c r="F9918">
        <v>22.47</v>
      </c>
      <c r="G9918">
        <v>22.5</v>
      </c>
      <c r="H9918" t="s">
        <v>17</v>
      </c>
      <c r="I9918" t="str">
        <f>"062271003418"</f>
        <v>062271003418</v>
      </c>
    </row>
    <row r="9919" spans="1:9" x14ac:dyDescent="0.25">
      <c r="A9919" t="s">
        <v>8647</v>
      </c>
      <c r="B9919" t="s">
        <v>13</v>
      </c>
      <c r="C9919">
        <v>4</v>
      </c>
      <c r="D9919">
        <v>4</v>
      </c>
      <c r="E9919" t="s">
        <v>17</v>
      </c>
      <c r="F9919">
        <v>16.5</v>
      </c>
      <c r="G9919">
        <v>18</v>
      </c>
      <c r="H9919" t="s">
        <v>17</v>
      </c>
      <c r="I9919" t="str">
        <f>"063763006378"</f>
        <v>063763006378</v>
      </c>
    </row>
    <row r="9920" spans="1:9" x14ac:dyDescent="0.25">
      <c r="A9920" t="s">
        <v>8648</v>
      </c>
      <c r="B9920" t="s">
        <v>13</v>
      </c>
      <c r="C9920">
        <v>19</v>
      </c>
      <c r="D9920">
        <v>19</v>
      </c>
      <c r="E9920" t="s">
        <v>17</v>
      </c>
      <c r="F9920">
        <v>26.37</v>
      </c>
      <c r="G9920">
        <v>25.32</v>
      </c>
      <c r="H9920" t="s">
        <v>17</v>
      </c>
      <c r="I9920" t="str">
        <f>"062271003419"</f>
        <v>062271003419</v>
      </c>
    </row>
    <row r="9921" spans="1:9" x14ac:dyDescent="0.25">
      <c r="A9921" t="s">
        <v>8649</v>
      </c>
      <c r="B9921" t="s">
        <v>13</v>
      </c>
      <c r="C9921">
        <v>12</v>
      </c>
      <c r="D9921">
        <v>11</v>
      </c>
      <c r="E9921" t="s">
        <v>17</v>
      </c>
      <c r="F9921">
        <v>21.25</v>
      </c>
      <c r="G9921">
        <v>22.27</v>
      </c>
      <c r="H9921" t="s">
        <v>17</v>
      </c>
      <c r="I9921" t="str">
        <f>"062271003420"</f>
        <v>062271003420</v>
      </c>
    </row>
    <row r="9922" spans="1:9" x14ac:dyDescent="0.25">
      <c r="A9922" t="s">
        <v>8650</v>
      </c>
      <c r="B9922" t="s">
        <v>13</v>
      </c>
      <c r="C9922">
        <v>24</v>
      </c>
      <c r="D9922">
        <v>24</v>
      </c>
      <c r="E9922" t="s">
        <v>17</v>
      </c>
      <c r="F9922">
        <v>23.33</v>
      </c>
      <c r="G9922">
        <v>22.67</v>
      </c>
      <c r="H9922" t="s">
        <v>17</v>
      </c>
      <c r="I9922" t="str">
        <f>"062271003421"</f>
        <v>062271003421</v>
      </c>
    </row>
    <row r="9923" spans="1:9" x14ac:dyDescent="0.25">
      <c r="A9923" t="s">
        <v>8651</v>
      </c>
      <c r="B9923" t="s">
        <v>13</v>
      </c>
      <c r="C9923">
        <v>67.25</v>
      </c>
      <c r="D9923">
        <v>73.53</v>
      </c>
      <c r="E9923" t="s">
        <v>17</v>
      </c>
      <c r="F9923">
        <v>19.78</v>
      </c>
      <c r="G9923">
        <v>18.18</v>
      </c>
      <c r="H9923" t="s">
        <v>17</v>
      </c>
      <c r="I9923" t="str">
        <f>"062271003422"</f>
        <v>062271003422</v>
      </c>
    </row>
    <row r="9924" spans="1:9" x14ac:dyDescent="0.25">
      <c r="A9924" t="s">
        <v>8652</v>
      </c>
      <c r="B9924" t="s">
        <v>13</v>
      </c>
      <c r="C9924">
        <v>106.83</v>
      </c>
      <c r="D9924">
        <v>120.62</v>
      </c>
      <c r="E9924" t="s">
        <v>17</v>
      </c>
      <c r="F9924">
        <v>25.99</v>
      </c>
      <c r="G9924">
        <v>23.59</v>
      </c>
      <c r="H9924" t="s">
        <v>17</v>
      </c>
      <c r="I9924" t="str">
        <f>"062271003424"</f>
        <v>062271003424</v>
      </c>
    </row>
    <row r="9925" spans="1:9" x14ac:dyDescent="0.25">
      <c r="A9925" t="s">
        <v>8653</v>
      </c>
      <c r="B9925" t="s">
        <v>13</v>
      </c>
      <c r="C9925">
        <v>16</v>
      </c>
      <c r="D9925">
        <v>16.010000000000002</v>
      </c>
      <c r="E9925" t="s">
        <v>17</v>
      </c>
      <c r="F9925">
        <v>24.69</v>
      </c>
      <c r="G9925">
        <v>25.61</v>
      </c>
      <c r="H9925" t="s">
        <v>17</v>
      </c>
      <c r="I9925" t="str">
        <f>"062271003425"</f>
        <v>062271003425</v>
      </c>
    </row>
    <row r="9926" spans="1:9" x14ac:dyDescent="0.25">
      <c r="A9926" t="s">
        <v>8654</v>
      </c>
      <c r="B9926" t="s">
        <v>13</v>
      </c>
      <c r="C9926">
        <v>24</v>
      </c>
      <c r="D9926">
        <v>28</v>
      </c>
      <c r="E9926" t="s">
        <v>17</v>
      </c>
      <c r="F9926">
        <v>29.29</v>
      </c>
      <c r="G9926">
        <v>25.89</v>
      </c>
      <c r="H9926" t="s">
        <v>17</v>
      </c>
      <c r="I9926" t="str">
        <f>"060006404875"</f>
        <v>060006404875</v>
      </c>
    </row>
    <row r="9927" spans="1:9" x14ac:dyDescent="0.25">
      <c r="A9927" t="s">
        <v>8655</v>
      </c>
      <c r="B9927" t="s">
        <v>13</v>
      </c>
      <c r="C9927">
        <v>65.67</v>
      </c>
      <c r="D9927">
        <v>66.75</v>
      </c>
      <c r="E9927" t="s">
        <v>17</v>
      </c>
      <c r="F9927">
        <v>25.37</v>
      </c>
      <c r="G9927">
        <v>24.49</v>
      </c>
      <c r="H9927" t="s">
        <v>17</v>
      </c>
      <c r="I9927" t="str">
        <f>"063963006600"</f>
        <v>063963006600</v>
      </c>
    </row>
    <row r="9928" spans="1:9" x14ac:dyDescent="0.25">
      <c r="A9928" t="s">
        <v>8656</v>
      </c>
      <c r="B9928" t="s">
        <v>13</v>
      </c>
      <c r="C9928">
        <v>38.58</v>
      </c>
      <c r="D9928">
        <v>38.04</v>
      </c>
      <c r="E9928" t="s">
        <v>17</v>
      </c>
      <c r="F9928">
        <v>21.9</v>
      </c>
      <c r="G9928">
        <v>21.98</v>
      </c>
      <c r="H9928" t="s">
        <v>17</v>
      </c>
      <c r="I9928" t="str">
        <f>"062241002690"</f>
        <v>062241002690</v>
      </c>
    </row>
    <row r="9929" spans="1:9" x14ac:dyDescent="0.25">
      <c r="A9929" t="s">
        <v>8657</v>
      </c>
      <c r="B9929" t="s">
        <v>13</v>
      </c>
      <c r="C9929">
        <v>28</v>
      </c>
      <c r="D9929">
        <v>23</v>
      </c>
      <c r="E9929" t="s">
        <v>17</v>
      </c>
      <c r="F9929">
        <v>26.79</v>
      </c>
      <c r="G9929">
        <v>28.43</v>
      </c>
      <c r="H9929" t="s">
        <v>17</v>
      </c>
      <c r="I9929" t="str">
        <f>"061455012411"</f>
        <v>061455012411</v>
      </c>
    </row>
    <row r="9930" spans="1:9" x14ac:dyDescent="0.25">
      <c r="A9930" t="s">
        <v>8658</v>
      </c>
      <c r="B9930" t="s">
        <v>13</v>
      </c>
      <c r="C9930">
        <v>19.5</v>
      </c>
      <c r="D9930">
        <v>22</v>
      </c>
      <c r="E9930" t="s">
        <v>17</v>
      </c>
      <c r="F9930">
        <v>18.260000000000002</v>
      </c>
      <c r="G9930">
        <v>13.45</v>
      </c>
      <c r="H9930" t="s">
        <v>17</v>
      </c>
      <c r="I9930" t="str">
        <f>"060962000999"</f>
        <v>060962000999</v>
      </c>
    </row>
    <row r="9931" spans="1:9" x14ac:dyDescent="0.25">
      <c r="A9931" t="s">
        <v>8659</v>
      </c>
      <c r="B9931" t="s">
        <v>13</v>
      </c>
      <c r="C9931">
        <v>43.34</v>
      </c>
      <c r="D9931">
        <v>44.34</v>
      </c>
      <c r="E9931" t="s">
        <v>17</v>
      </c>
      <c r="F9931">
        <v>28.56</v>
      </c>
      <c r="G9931">
        <v>27.83</v>
      </c>
      <c r="H9931" t="s">
        <v>17</v>
      </c>
      <c r="I9931" t="str">
        <f>"060001711122"</f>
        <v>060001711122</v>
      </c>
    </row>
    <row r="9932" spans="1:9" x14ac:dyDescent="0.25">
      <c r="A9932" t="s">
        <v>8660</v>
      </c>
      <c r="B9932" t="s">
        <v>13</v>
      </c>
      <c r="C9932">
        <v>19.170000000000002</v>
      </c>
      <c r="D9932">
        <v>18.3</v>
      </c>
      <c r="E9932" t="s">
        <v>17</v>
      </c>
      <c r="F9932">
        <v>21.13</v>
      </c>
      <c r="G9932">
        <v>20.6</v>
      </c>
      <c r="H9932" t="s">
        <v>17</v>
      </c>
      <c r="I9932" t="str">
        <f>"060780000752"</f>
        <v>060780000752</v>
      </c>
    </row>
    <row r="9933" spans="1:9" x14ac:dyDescent="0.25">
      <c r="A9933" t="s">
        <v>8661</v>
      </c>
      <c r="B9933" t="s">
        <v>13</v>
      </c>
      <c r="C9933">
        <v>3</v>
      </c>
      <c r="D9933">
        <v>3</v>
      </c>
      <c r="E9933" t="s">
        <v>17</v>
      </c>
      <c r="F9933">
        <v>18.329999999999998</v>
      </c>
      <c r="G9933">
        <v>19</v>
      </c>
      <c r="H9933" t="s">
        <v>17</v>
      </c>
      <c r="I9933" t="str">
        <f>"063195002295"</f>
        <v>063195002295</v>
      </c>
    </row>
    <row r="9934" spans="1:9" x14ac:dyDescent="0.25">
      <c r="A9934" t="s">
        <v>8662</v>
      </c>
      <c r="B9934" t="s">
        <v>13</v>
      </c>
      <c r="C9934">
        <v>26.2</v>
      </c>
      <c r="D9934">
        <v>27.5</v>
      </c>
      <c r="E9934" t="s">
        <v>17</v>
      </c>
      <c r="F9934">
        <v>22.06</v>
      </c>
      <c r="G9934">
        <v>21.89</v>
      </c>
      <c r="H9934" t="s">
        <v>17</v>
      </c>
      <c r="I9934" t="str">
        <f>"063846002796"</f>
        <v>063846002796</v>
      </c>
    </row>
    <row r="9935" spans="1:9" x14ac:dyDescent="0.25">
      <c r="A9935" t="s">
        <v>8663</v>
      </c>
      <c r="B9935" t="s">
        <v>13</v>
      </c>
      <c r="C9935">
        <v>23.5</v>
      </c>
      <c r="D9935">
        <v>22.2</v>
      </c>
      <c r="E9935" t="s">
        <v>17</v>
      </c>
      <c r="F9935">
        <v>19.45</v>
      </c>
      <c r="G9935">
        <v>23.11</v>
      </c>
      <c r="H9935" t="s">
        <v>17</v>
      </c>
      <c r="I9935" t="str">
        <f>"060000103278"</f>
        <v>060000103278</v>
      </c>
    </row>
    <row r="9936" spans="1:9" x14ac:dyDescent="0.25">
      <c r="A9936" t="s">
        <v>8664</v>
      </c>
      <c r="B9936" t="s">
        <v>13</v>
      </c>
      <c r="C9936">
        <v>110.37</v>
      </c>
      <c r="D9936">
        <v>104.3</v>
      </c>
      <c r="E9936" t="s">
        <v>17</v>
      </c>
      <c r="F9936">
        <v>22.01</v>
      </c>
      <c r="G9936">
        <v>21.73</v>
      </c>
      <c r="H9936" t="s">
        <v>17</v>
      </c>
      <c r="I9936" t="str">
        <f>"062271003426"</f>
        <v>062271003426</v>
      </c>
    </row>
    <row r="9937" spans="1:9" x14ac:dyDescent="0.25">
      <c r="A9937" t="s">
        <v>8665</v>
      </c>
      <c r="B9937" t="s">
        <v>13</v>
      </c>
      <c r="C9937">
        <v>22</v>
      </c>
      <c r="D9937">
        <v>20</v>
      </c>
      <c r="E9937" t="s">
        <v>17</v>
      </c>
      <c r="F9937">
        <v>26.32</v>
      </c>
      <c r="G9937">
        <v>26.15</v>
      </c>
      <c r="H9937" t="s">
        <v>17</v>
      </c>
      <c r="I9937" t="str">
        <f>"064128006841"</f>
        <v>064128006841</v>
      </c>
    </row>
    <row r="9938" spans="1:9" x14ac:dyDescent="0.25">
      <c r="A9938" t="s">
        <v>8665</v>
      </c>
      <c r="B9938" t="s">
        <v>13</v>
      </c>
      <c r="C9938">
        <v>41</v>
      </c>
      <c r="D9938">
        <v>41.33</v>
      </c>
      <c r="E9938" t="s">
        <v>17</v>
      </c>
      <c r="F9938">
        <v>23.17</v>
      </c>
      <c r="G9938">
        <v>22.62</v>
      </c>
      <c r="H9938" t="s">
        <v>17</v>
      </c>
      <c r="I9938" t="str">
        <f>"063132010000"</f>
        <v>063132010000</v>
      </c>
    </row>
    <row r="9939" spans="1:9" x14ac:dyDescent="0.25">
      <c r="A9939" t="s">
        <v>8666</v>
      </c>
      <c r="B9939" t="s">
        <v>13</v>
      </c>
      <c r="C9939" t="s">
        <v>17</v>
      </c>
      <c r="D9939" t="s">
        <v>14</v>
      </c>
      <c r="E9939" t="s">
        <v>14</v>
      </c>
      <c r="F9939" t="s">
        <v>17</v>
      </c>
      <c r="G9939" t="s">
        <v>14</v>
      </c>
      <c r="H9939" t="s">
        <v>14</v>
      </c>
      <c r="I9939" t="str">
        <f>"062703013097"</f>
        <v>062703013097</v>
      </c>
    </row>
    <row r="9940" spans="1:9" x14ac:dyDescent="0.25">
      <c r="A9940" t="s">
        <v>8667</v>
      </c>
      <c r="B9940" t="s">
        <v>13</v>
      </c>
      <c r="C9940">
        <v>24</v>
      </c>
      <c r="D9940">
        <v>23</v>
      </c>
      <c r="E9940" t="s">
        <v>17</v>
      </c>
      <c r="F9940">
        <v>22.04</v>
      </c>
      <c r="G9940">
        <v>24.48</v>
      </c>
      <c r="H9940" t="s">
        <v>17</v>
      </c>
      <c r="I9940" t="str">
        <f>"062271003427"</f>
        <v>062271003427</v>
      </c>
    </row>
    <row r="9941" spans="1:9" x14ac:dyDescent="0.25">
      <c r="A9941" t="s">
        <v>8668</v>
      </c>
      <c r="B9941" t="s">
        <v>13</v>
      </c>
      <c r="C9941">
        <v>22.18</v>
      </c>
      <c r="D9941">
        <v>22.69</v>
      </c>
      <c r="E9941" t="s">
        <v>17</v>
      </c>
      <c r="F9941">
        <v>29.22</v>
      </c>
      <c r="G9941">
        <v>28.03</v>
      </c>
      <c r="H9941" t="s">
        <v>17</v>
      </c>
      <c r="I9941" t="str">
        <f>"068450007069"</f>
        <v>068450007069</v>
      </c>
    </row>
    <row r="9942" spans="1:9" x14ac:dyDescent="0.25">
      <c r="A9942" t="s">
        <v>8669</v>
      </c>
      <c r="B9942" t="s">
        <v>13</v>
      </c>
      <c r="C9942">
        <v>18</v>
      </c>
      <c r="D9942">
        <v>19.5</v>
      </c>
      <c r="E9942" t="s">
        <v>17</v>
      </c>
      <c r="F9942">
        <v>26.56</v>
      </c>
      <c r="G9942">
        <v>24.31</v>
      </c>
      <c r="H9942" t="s">
        <v>17</v>
      </c>
      <c r="I9942" t="str">
        <f>"063360004953"</f>
        <v>063360004953</v>
      </c>
    </row>
    <row r="9943" spans="1:9" x14ac:dyDescent="0.25">
      <c r="A9943" t="s">
        <v>8670</v>
      </c>
      <c r="B9943" t="s">
        <v>13</v>
      </c>
      <c r="C9943">
        <v>32.9</v>
      </c>
      <c r="D9943">
        <v>36.17</v>
      </c>
      <c r="E9943" t="s">
        <v>17</v>
      </c>
      <c r="F9943">
        <v>21.52</v>
      </c>
      <c r="G9943">
        <v>19.66</v>
      </c>
      <c r="H9943" t="s">
        <v>17</v>
      </c>
      <c r="I9943" t="str">
        <f>"063509005934"</f>
        <v>063509005934</v>
      </c>
    </row>
    <row r="9944" spans="1:9" x14ac:dyDescent="0.25">
      <c r="A9944" t="s">
        <v>8671</v>
      </c>
      <c r="B9944" t="s">
        <v>13</v>
      </c>
      <c r="C9944">
        <v>83.25</v>
      </c>
      <c r="D9944">
        <v>96.31</v>
      </c>
      <c r="E9944" t="s">
        <v>17</v>
      </c>
      <c r="F9944">
        <v>24.91</v>
      </c>
      <c r="G9944">
        <v>23.77</v>
      </c>
      <c r="H9944" t="s">
        <v>17</v>
      </c>
      <c r="I9944" t="str">
        <f>"062271003429"</f>
        <v>062271003429</v>
      </c>
    </row>
    <row r="9945" spans="1:9" x14ac:dyDescent="0.25">
      <c r="A9945" t="s">
        <v>8672</v>
      </c>
      <c r="B9945" t="s">
        <v>13</v>
      </c>
      <c r="C9945" t="s">
        <v>14</v>
      </c>
      <c r="D9945" t="s">
        <v>17</v>
      </c>
      <c r="E9945" t="s">
        <v>17</v>
      </c>
      <c r="F9945" t="s">
        <v>17</v>
      </c>
      <c r="G9945" t="s">
        <v>17</v>
      </c>
      <c r="H9945" t="s">
        <v>17</v>
      </c>
      <c r="I9945" t="str">
        <f>"064098012592"</f>
        <v>064098012592</v>
      </c>
    </row>
    <row r="9946" spans="1:9" x14ac:dyDescent="0.25">
      <c r="A9946" t="s">
        <v>8673</v>
      </c>
      <c r="B9946" t="s">
        <v>13</v>
      </c>
      <c r="C9946">
        <v>15.71</v>
      </c>
      <c r="D9946">
        <v>13.32</v>
      </c>
      <c r="E9946" t="s">
        <v>17</v>
      </c>
      <c r="F9946">
        <v>24.7</v>
      </c>
      <c r="G9946">
        <v>26.28</v>
      </c>
      <c r="H9946" t="s">
        <v>17</v>
      </c>
      <c r="I9946" t="str">
        <f>"069104711829"</f>
        <v>069104711829</v>
      </c>
    </row>
    <row r="9947" spans="1:9" x14ac:dyDescent="0.25">
      <c r="A9947" t="s">
        <v>8674</v>
      </c>
      <c r="B9947" t="s">
        <v>13</v>
      </c>
      <c r="C9947" t="s">
        <v>17</v>
      </c>
      <c r="D9947" t="s">
        <v>17</v>
      </c>
      <c r="E9947" t="s">
        <v>17</v>
      </c>
      <c r="F9947" t="s">
        <v>17</v>
      </c>
      <c r="G9947" t="s">
        <v>17</v>
      </c>
      <c r="H9947" t="s">
        <v>17</v>
      </c>
      <c r="I9947" t="str">
        <f>"060014811540"</f>
        <v>060014811540</v>
      </c>
    </row>
    <row r="9948" spans="1:9" x14ac:dyDescent="0.25">
      <c r="A9948" t="s">
        <v>8675</v>
      </c>
      <c r="B9948" t="s">
        <v>13</v>
      </c>
      <c r="C9948">
        <v>74</v>
      </c>
      <c r="D9948">
        <v>71</v>
      </c>
      <c r="E9948" t="s">
        <v>17</v>
      </c>
      <c r="F9948">
        <v>6.77</v>
      </c>
      <c r="G9948">
        <v>7</v>
      </c>
      <c r="H9948" t="s">
        <v>17</v>
      </c>
      <c r="I9948" t="str">
        <f>"069104709260"</f>
        <v>069104709260</v>
      </c>
    </row>
    <row r="9949" spans="1:9" x14ac:dyDescent="0.25">
      <c r="A9949" t="s">
        <v>8676</v>
      </c>
      <c r="B9949" t="s">
        <v>13</v>
      </c>
      <c r="C9949">
        <v>86.02</v>
      </c>
      <c r="D9949">
        <v>86.44</v>
      </c>
      <c r="E9949" t="s">
        <v>17</v>
      </c>
      <c r="F9949">
        <v>24.33</v>
      </c>
      <c r="G9949">
        <v>23.95</v>
      </c>
      <c r="H9949" t="s">
        <v>17</v>
      </c>
      <c r="I9949" t="str">
        <f>"064098006768"</f>
        <v>064098006768</v>
      </c>
    </row>
    <row r="9950" spans="1:9" x14ac:dyDescent="0.25">
      <c r="A9950" t="s">
        <v>8677</v>
      </c>
      <c r="B9950" t="s">
        <v>13</v>
      </c>
      <c r="C9950" t="s">
        <v>17</v>
      </c>
      <c r="D9950">
        <v>2</v>
      </c>
      <c r="E9950" t="s">
        <v>17</v>
      </c>
      <c r="F9950" t="s">
        <v>17</v>
      </c>
      <c r="G9950">
        <v>17</v>
      </c>
      <c r="H9950" t="s">
        <v>17</v>
      </c>
      <c r="I9950" t="str">
        <f>"064098001879"</f>
        <v>064098001879</v>
      </c>
    </row>
    <row r="9951" spans="1:9" x14ac:dyDescent="0.25">
      <c r="A9951" t="s">
        <v>8678</v>
      </c>
      <c r="B9951" t="s">
        <v>13</v>
      </c>
      <c r="C9951">
        <v>11.85</v>
      </c>
      <c r="D9951">
        <v>11.67</v>
      </c>
      <c r="E9951" t="s">
        <v>17</v>
      </c>
      <c r="F9951">
        <v>21.27</v>
      </c>
      <c r="G9951">
        <v>23.39</v>
      </c>
      <c r="H9951" t="s">
        <v>17</v>
      </c>
      <c r="I9951" t="str">
        <f>"063513008976"</f>
        <v>063513008976</v>
      </c>
    </row>
    <row r="9952" spans="1:9" x14ac:dyDescent="0.25">
      <c r="A9952" t="s">
        <v>8679</v>
      </c>
      <c r="B9952" t="s">
        <v>13</v>
      </c>
      <c r="C9952">
        <v>56.94</v>
      </c>
      <c r="D9952">
        <v>47.75</v>
      </c>
      <c r="E9952" t="s">
        <v>17</v>
      </c>
      <c r="F9952">
        <v>24.64</v>
      </c>
      <c r="G9952">
        <v>23.16</v>
      </c>
      <c r="H9952" t="s">
        <v>17</v>
      </c>
      <c r="I9952" t="str">
        <f>"069103110651"</f>
        <v>069103110651</v>
      </c>
    </row>
    <row r="9953" spans="1:9" x14ac:dyDescent="0.25">
      <c r="A9953" t="s">
        <v>8680</v>
      </c>
      <c r="B9953" t="s">
        <v>13</v>
      </c>
      <c r="C9953">
        <v>11</v>
      </c>
      <c r="D9953">
        <v>11</v>
      </c>
      <c r="E9953" t="s">
        <v>17</v>
      </c>
      <c r="F9953">
        <v>28.82</v>
      </c>
      <c r="G9953">
        <v>28.91</v>
      </c>
      <c r="H9953" t="s">
        <v>17</v>
      </c>
      <c r="I9953" t="str">
        <f>"063255005065"</f>
        <v>063255005065</v>
      </c>
    </row>
    <row r="9954" spans="1:9" x14ac:dyDescent="0.25">
      <c r="A9954" t="s">
        <v>8681</v>
      </c>
      <c r="B9954" t="s">
        <v>13</v>
      </c>
      <c r="C9954" t="s">
        <v>14</v>
      </c>
      <c r="D9954">
        <v>8</v>
      </c>
      <c r="E9954" t="s">
        <v>17</v>
      </c>
      <c r="F9954" t="s">
        <v>17</v>
      </c>
      <c r="G9954">
        <v>24.13</v>
      </c>
      <c r="H9954" t="s">
        <v>17</v>
      </c>
      <c r="I9954" t="str">
        <f>"060768000736"</f>
        <v>060768000736</v>
      </c>
    </row>
    <row r="9955" spans="1:9" x14ac:dyDescent="0.25">
      <c r="A9955" t="s">
        <v>8682</v>
      </c>
      <c r="B9955" t="s">
        <v>13</v>
      </c>
      <c r="C9955">
        <v>4.4000000000000004</v>
      </c>
      <c r="D9955">
        <v>4.4000000000000004</v>
      </c>
      <c r="E9955" t="s">
        <v>17</v>
      </c>
      <c r="F9955">
        <v>22.27</v>
      </c>
      <c r="G9955">
        <v>22.27</v>
      </c>
      <c r="H9955" t="s">
        <v>17</v>
      </c>
      <c r="I9955" t="str">
        <f>"061524000440"</f>
        <v>061524000440</v>
      </c>
    </row>
    <row r="9956" spans="1:9" x14ac:dyDescent="0.25">
      <c r="A9956" t="s">
        <v>8683</v>
      </c>
      <c r="B9956" t="s">
        <v>13</v>
      </c>
      <c r="C9956">
        <v>64.33</v>
      </c>
      <c r="D9956">
        <v>75.33</v>
      </c>
      <c r="E9956" t="s">
        <v>17</v>
      </c>
      <c r="F9956">
        <v>25.66</v>
      </c>
      <c r="G9956">
        <v>23.67</v>
      </c>
      <c r="H9956" t="s">
        <v>17</v>
      </c>
      <c r="I9956" t="str">
        <f>"062271003430"</f>
        <v>062271003430</v>
      </c>
    </row>
    <row r="9957" spans="1:9" x14ac:dyDescent="0.25">
      <c r="A9957" t="s">
        <v>8684</v>
      </c>
      <c r="B9957" t="s">
        <v>13</v>
      </c>
      <c r="C9957">
        <v>29</v>
      </c>
      <c r="D9957">
        <v>27</v>
      </c>
      <c r="E9957" t="s">
        <v>17</v>
      </c>
      <c r="F9957">
        <v>25.97</v>
      </c>
      <c r="G9957">
        <v>26.3</v>
      </c>
      <c r="H9957" t="s">
        <v>17</v>
      </c>
      <c r="I9957" t="str">
        <f>"061524001948"</f>
        <v>061524001948</v>
      </c>
    </row>
    <row r="9958" spans="1:9" x14ac:dyDescent="0.25">
      <c r="A9958" t="s">
        <v>8685</v>
      </c>
      <c r="B9958" t="s">
        <v>13</v>
      </c>
      <c r="C9958">
        <v>18.45</v>
      </c>
      <c r="D9958">
        <v>17.2</v>
      </c>
      <c r="E9958" t="s">
        <v>17</v>
      </c>
      <c r="F9958">
        <v>29.43</v>
      </c>
      <c r="G9958">
        <v>27.44</v>
      </c>
      <c r="H9958" t="s">
        <v>17</v>
      </c>
      <c r="I9958" t="str">
        <f>"062361011420"</f>
        <v>062361011420</v>
      </c>
    </row>
    <row r="9959" spans="1:9" x14ac:dyDescent="0.25">
      <c r="A9959" t="s">
        <v>8686</v>
      </c>
      <c r="B9959" t="s">
        <v>13</v>
      </c>
      <c r="C9959">
        <v>38</v>
      </c>
      <c r="D9959">
        <v>38</v>
      </c>
      <c r="E9959" t="s">
        <v>17</v>
      </c>
      <c r="F9959">
        <v>19.84</v>
      </c>
      <c r="G9959">
        <v>19.5</v>
      </c>
      <c r="H9959" t="s">
        <v>17</v>
      </c>
      <c r="I9959" t="str">
        <f>"062271003431"</f>
        <v>062271003431</v>
      </c>
    </row>
    <row r="9960" spans="1:9" x14ac:dyDescent="0.25">
      <c r="A9960" t="s">
        <v>8687</v>
      </c>
      <c r="B9960" t="s">
        <v>13</v>
      </c>
      <c r="C9960">
        <v>37</v>
      </c>
      <c r="D9960">
        <v>38</v>
      </c>
      <c r="E9960" t="s">
        <v>17</v>
      </c>
      <c r="F9960">
        <v>20.38</v>
      </c>
      <c r="G9960">
        <v>20.45</v>
      </c>
      <c r="H9960" t="s">
        <v>17</v>
      </c>
      <c r="I9960" t="str">
        <f>"063417005390"</f>
        <v>063417005390</v>
      </c>
    </row>
    <row r="9961" spans="1:9" x14ac:dyDescent="0.25">
      <c r="A9961" t="s">
        <v>8688</v>
      </c>
      <c r="B9961" t="s">
        <v>13</v>
      </c>
      <c r="C9961">
        <v>11</v>
      </c>
      <c r="D9961">
        <v>11</v>
      </c>
      <c r="E9961" t="s">
        <v>17</v>
      </c>
      <c r="F9961">
        <v>22.55</v>
      </c>
      <c r="G9961">
        <v>23.09</v>
      </c>
      <c r="H9961" t="s">
        <v>17</v>
      </c>
      <c r="I9961" t="str">
        <f>"062271003432"</f>
        <v>062271003432</v>
      </c>
    </row>
    <row r="9962" spans="1:9" x14ac:dyDescent="0.25">
      <c r="A9962" t="s">
        <v>8689</v>
      </c>
      <c r="B9962" t="s">
        <v>13</v>
      </c>
      <c r="C9962">
        <v>23.44</v>
      </c>
      <c r="D9962">
        <v>22.4</v>
      </c>
      <c r="E9962" t="s">
        <v>17</v>
      </c>
      <c r="F9962">
        <v>21.46</v>
      </c>
      <c r="G9962">
        <v>21.79</v>
      </c>
      <c r="H9962" t="s">
        <v>17</v>
      </c>
      <c r="I9962" t="str">
        <f>"061479012430"</f>
        <v>061479012430</v>
      </c>
    </row>
    <row r="9963" spans="1:9" x14ac:dyDescent="0.25">
      <c r="A9963" t="s">
        <v>8690</v>
      </c>
      <c r="B9963" t="s">
        <v>13</v>
      </c>
      <c r="C9963">
        <v>39.71</v>
      </c>
      <c r="D9963">
        <v>38.67</v>
      </c>
      <c r="E9963" t="s">
        <v>17</v>
      </c>
      <c r="F9963">
        <v>20.350000000000001</v>
      </c>
      <c r="G9963">
        <v>20.97</v>
      </c>
      <c r="H9963" t="s">
        <v>17</v>
      </c>
      <c r="I9963" t="str">
        <f>"062847004413"</f>
        <v>062847004413</v>
      </c>
    </row>
    <row r="9964" spans="1:9" x14ac:dyDescent="0.25">
      <c r="A9964" t="s">
        <v>8691</v>
      </c>
      <c r="B9964" t="s">
        <v>13</v>
      </c>
      <c r="C9964">
        <v>41</v>
      </c>
      <c r="D9964">
        <v>40</v>
      </c>
      <c r="E9964" t="s">
        <v>17</v>
      </c>
      <c r="F9964">
        <v>22.05</v>
      </c>
      <c r="G9964">
        <v>21.15</v>
      </c>
      <c r="H9964" t="s">
        <v>17</v>
      </c>
      <c r="I9964" t="str">
        <f>"060861011127"</f>
        <v>060861011127</v>
      </c>
    </row>
    <row r="9965" spans="1:9" x14ac:dyDescent="0.25">
      <c r="A9965" t="s">
        <v>8691</v>
      </c>
      <c r="B9965" t="s">
        <v>13</v>
      </c>
      <c r="C9965">
        <v>30</v>
      </c>
      <c r="D9965">
        <v>30</v>
      </c>
      <c r="E9965" t="s">
        <v>17</v>
      </c>
      <c r="F9965">
        <v>26.07</v>
      </c>
      <c r="G9965">
        <v>23.7</v>
      </c>
      <c r="H9965" t="s">
        <v>17</v>
      </c>
      <c r="I9965" t="str">
        <f>"062745011866"</f>
        <v>062745011866</v>
      </c>
    </row>
    <row r="9966" spans="1:9" x14ac:dyDescent="0.25">
      <c r="A9966" t="s">
        <v>8692</v>
      </c>
      <c r="B9966" t="s">
        <v>13</v>
      </c>
      <c r="C9966">
        <v>20</v>
      </c>
      <c r="D9966">
        <v>22</v>
      </c>
      <c r="E9966" t="s">
        <v>17</v>
      </c>
      <c r="F9966">
        <v>29.3</v>
      </c>
      <c r="G9966">
        <v>25.95</v>
      </c>
      <c r="H9966" t="s">
        <v>17</v>
      </c>
      <c r="I9966" t="str">
        <f>"064116006809"</f>
        <v>064116006809</v>
      </c>
    </row>
    <row r="9967" spans="1:9" x14ac:dyDescent="0.25">
      <c r="A9967" t="s">
        <v>8693</v>
      </c>
      <c r="B9967" t="s">
        <v>13</v>
      </c>
      <c r="C9967" t="s">
        <v>17</v>
      </c>
      <c r="D9967" t="s">
        <v>17</v>
      </c>
      <c r="E9967" t="s">
        <v>17</v>
      </c>
      <c r="F9967" t="s">
        <v>17</v>
      </c>
      <c r="G9967" t="s">
        <v>17</v>
      </c>
      <c r="H9967" t="s">
        <v>17</v>
      </c>
      <c r="I9967" t="str">
        <f>"063462007855"</f>
        <v>063462007855</v>
      </c>
    </row>
    <row r="9968" spans="1:9" x14ac:dyDescent="0.25">
      <c r="A9968" t="s">
        <v>8694</v>
      </c>
      <c r="B9968" t="s">
        <v>13</v>
      </c>
      <c r="C9968" t="s">
        <v>14</v>
      </c>
      <c r="D9968" t="s">
        <v>14</v>
      </c>
      <c r="E9968" t="s">
        <v>14</v>
      </c>
      <c r="F9968" t="s">
        <v>14</v>
      </c>
      <c r="G9968" t="s">
        <v>14</v>
      </c>
      <c r="H9968" t="s">
        <v>14</v>
      </c>
      <c r="I9968" t="str">
        <f>"069107812822"</f>
        <v>069107812822</v>
      </c>
    </row>
    <row r="9969" spans="1:9" x14ac:dyDescent="0.25">
      <c r="A9969" t="s">
        <v>8695</v>
      </c>
      <c r="B9969" t="s">
        <v>13</v>
      </c>
      <c r="C9969">
        <v>8</v>
      </c>
      <c r="D9969">
        <v>7</v>
      </c>
      <c r="E9969" t="s">
        <v>17</v>
      </c>
      <c r="F9969">
        <v>13.38</v>
      </c>
      <c r="G9969">
        <v>16.14</v>
      </c>
      <c r="H9969" t="s">
        <v>17</v>
      </c>
      <c r="I9969" t="str">
        <f>"062403001966"</f>
        <v>062403001966</v>
      </c>
    </row>
    <row r="9970" spans="1:9" x14ac:dyDescent="0.25">
      <c r="A9970" t="s">
        <v>8696</v>
      </c>
      <c r="B9970" t="s">
        <v>13</v>
      </c>
      <c r="C9970">
        <v>27.5</v>
      </c>
      <c r="D9970">
        <v>32.5</v>
      </c>
      <c r="E9970" t="s">
        <v>17</v>
      </c>
      <c r="F9970">
        <v>24.47</v>
      </c>
      <c r="G9970">
        <v>21.45</v>
      </c>
      <c r="H9970" t="s">
        <v>17</v>
      </c>
      <c r="I9970" t="str">
        <f>"060985001067"</f>
        <v>060985001067</v>
      </c>
    </row>
    <row r="9971" spans="1:9" x14ac:dyDescent="0.25">
      <c r="A9971" t="s">
        <v>8697</v>
      </c>
      <c r="B9971" t="s">
        <v>13</v>
      </c>
      <c r="C9971">
        <v>14.8</v>
      </c>
      <c r="D9971">
        <v>15</v>
      </c>
      <c r="E9971" t="s">
        <v>17</v>
      </c>
      <c r="F9971">
        <v>26.55</v>
      </c>
      <c r="G9971">
        <v>27.07</v>
      </c>
      <c r="H9971" t="s">
        <v>17</v>
      </c>
      <c r="I9971" t="str">
        <f>"062664004036"</f>
        <v>062664004036</v>
      </c>
    </row>
    <row r="9972" spans="1:9" x14ac:dyDescent="0.25">
      <c r="A9972" t="s">
        <v>8698</v>
      </c>
      <c r="B9972" t="s">
        <v>13</v>
      </c>
      <c r="C9972">
        <v>37.42</v>
      </c>
      <c r="D9972">
        <v>37.25</v>
      </c>
      <c r="E9972" t="s">
        <v>17</v>
      </c>
      <c r="F9972">
        <v>25.73</v>
      </c>
      <c r="G9972">
        <v>26.12</v>
      </c>
      <c r="H9972" t="s">
        <v>17</v>
      </c>
      <c r="I9972" t="str">
        <f>"063942006578"</f>
        <v>063942006578</v>
      </c>
    </row>
    <row r="9973" spans="1:9" x14ac:dyDescent="0.25">
      <c r="A9973" t="s">
        <v>8698</v>
      </c>
      <c r="B9973" t="s">
        <v>13</v>
      </c>
      <c r="C9973">
        <v>11.38</v>
      </c>
      <c r="D9973">
        <v>10.98</v>
      </c>
      <c r="E9973" t="s">
        <v>17</v>
      </c>
      <c r="F9973">
        <v>18.190000000000001</v>
      </c>
      <c r="G9973">
        <v>19.13</v>
      </c>
      <c r="H9973" t="s">
        <v>17</v>
      </c>
      <c r="I9973" t="str">
        <f>"062223002668"</f>
        <v>062223002668</v>
      </c>
    </row>
    <row r="9974" spans="1:9" x14ac:dyDescent="0.25">
      <c r="A9974" t="s">
        <v>8699</v>
      </c>
      <c r="B9974" t="s">
        <v>13</v>
      </c>
      <c r="C9974">
        <v>30.16</v>
      </c>
      <c r="D9974">
        <v>30.2</v>
      </c>
      <c r="E9974" t="s">
        <v>17</v>
      </c>
      <c r="F9974">
        <v>22.65</v>
      </c>
      <c r="G9974">
        <v>21.92</v>
      </c>
      <c r="H9974" t="s">
        <v>17</v>
      </c>
      <c r="I9974" t="str">
        <f>"060360000275"</f>
        <v>060360000275</v>
      </c>
    </row>
    <row r="9975" spans="1:9" x14ac:dyDescent="0.25">
      <c r="A9975" t="s">
        <v>8700</v>
      </c>
      <c r="B9975" t="s">
        <v>13</v>
      </c>
      <c r="C9975">
        <v>99.6</v>
      </c>
      <c r="D9975">
        <v>106.28</v>
      </c>
      <c r="E9975" t="s">
        <v>17</v>
      </c>
      <c r="F9975">
        <v>24.37</v>
      </c>
      <c r="G9975">
        <v>25.52</v>
      </c>
      <c r="H9975" t="s">
        <v>17</v>
      </c>
      <c r="I9975" t="str">
        <f>"063697206782"</f>
        <v>063697206782</v>
      </c>
    </row>
    <row r="9976" spans="1:9" x14ac:dyDescent="0.25">
      <c r="A9976" t="s">
        <v>8701</v>
      </c>
      <c r="B9976" t="s">
        <v>13</v>
      </c>
      <c r="C9976" t="s">
        <v>14</v>
      </c>
      <c r="D9976" t="s">
        <v>14</v>
      </c>
      <c r="E9976" t="s">
        <v>17</v>
      </c>
      <c r="F9976" t="s">
        <v>14</v>
      </c>
      <c r="G9976" t="s">
        <v>14</v>
      </c>
      <c r="H9976" t="s">
        <v>17</v>
      </c>
      <c r="I9976" t="str">
        <f>"063697211113"</f>
        <v>063697211113</v>
      </c>
    </row>
    <row r="9977" spans="1:9" x14ac:dyDescent="0.25">
      <c r="A9977" t="s">
        <v>8702</v>
      </c>
      <c r="B9977" t="s">
        <v>13</v>
      </c>
      <c r="C9977">
        <v>23</v>
      </c>
      <c r="D9977">
        <v>31.75</v>
      </c>
      <c r="E9977" t="s">
        <v>17</v>
      </c>
      <c r="F9977">
        <v>24.3</v>
      </c>
      <c r="G9977">
        <v>22.65</v>
      </c>
      <c r="H9977" t="s">
        <v>17</v>
      </c>
      <c r="I9977" t="str">
        <f>"062271003433"</f>
        <v>062271003433</v>
      </c>
    </row>
    <row r="9978" spans="1:9" x14ac:dyDescent="0.25">
      <c r="A9978" t="s">
        <v>8703</v>
      </c>
      <c r="B9978" t="s">
        <v>13</v>
      </c>
      <c r="C9978">
        <v>20</v>
      </c>
      <c r="D9978">
        <v>22</v>
      </c>
      <c r="E9978" t="s">
        <v>17</v>
      </c>
      <c r="F9978">
        <v>20.6</v>
      </c>
      <c r="G9978">
        <v>18.68</v>
      </c>
      <c r="H9978" t="s">
        <v>17</v>
      </c>
      <c r="I9978" t="str">
        <f>"062724002341"</f>
        <v>062724002341</v>
      </c>
    </row>
    <row r="9979" spans="1:9" x14ac:dyDescent="0.25">
      <c r="A9979" t="s">
        <v>8703</v>
      </c>
      <c r="B9979" t="s">
        <v>13</v>
      </c>
      <c r="C9979">
        <v>21.31</v>
      </c>
      <c r="D9979">
        <v>23.44</v>
      </c>
      <c r="E9979" t="s">
        <v>17</v>
      </c>
      <c r="F9979">
        <v>24.92</v>
      </c>
      <c r="G9979">
        <v>24.4</v>
      </c>
      <c r="H9979" t="s">
        <v>17</v>
      </c>
      <c r="I9979" t="str">
        <f>"063315005161"</f>
        <v>063315005161</v>
      </c>
    </row>
    <row r="9980" spans="1:9" x14ac:dyDescent="0.25">
      <c r="A9980" t="s">
        <v>8703</v>
      </c>
      <c r="B9980" t="s">
        <v>13</v>
      </c>
      <c r="C9980">
        <v>26.31</v>
      </c>
      <c r="D9980">
        <v>25.68</v>
      </c>
      <c r="E9980" t="s">
        <v>17</v>
      </c>
      <c r="F9980">
        <v>20.18</v>
      </c>
      <c r="G9980">
        <v>21.92</v>
      </c>
      <c r="H9980" t="s">
        <v>17</v>
      </c>
      <c r="I9980" t="str">
        <f>"063207004948"</f>
        <v>063207004948</v>
      </c>
    </row>
    <row r="9981" spans="1:9" x14ac:dyDescent="0.25">
      <c r="A9981" t="s">
        <v>8704</v>
      </c>
      <c r="B9981" t="s">
        <v>13</v>
      </c>
      <c r="C9981">
        <v>20</v>
      </c>
      <c r="D9981">
        <v>22</v>
      </c>
      <c r="E9981" t="s">
        <v>17</v>
      </c>
      <c r="F9981">
        <v>27.25</v>
      </c>
      <c r="G9981">
        <v>25.82</v>
      </c>
      <c r="H9981" t="s">
        <v>17</v>
      </c>
      <c r="I9981" t="str">
        <f>"060216009298"</f>
        <v>060216009298</v>
      </c>
    </row>
    <row r="9982" spans="1:9" x14ac:dyDescent="0.25">
      <c r="A9982" t="s">
        <v>8705</v>
      </c>
      <c r="B9982" t="s">
        <v>13</v>
      </c>
      <c r="C9982">
        <v>20</v>
      </c>
      <c r="D9982">
        <v>20</v>
      </c>
      <c r="E9982" t="s">
        <v>17</v>
      </c>
      <c r="F9982">
        <v>28.9</v>
      </c>
      <c r="G9982">
        <v>28.9</v>
      </c>
      <c r="H9982" t="s">
        <v>17</v>
      </c>
      <c r="I9982" t="str">
        <f>"060171011092"</f>
        <v>060171011092</v>
      </c>
    </row>
    <row r="9983" spans="1:9" x14ac:dyDescent="0.25">
      <c r="A9983" t="s">
        <v>8706</v>
      </c>
      <c r="B9983" t="s">
        <v>13</v>
      </c>
      <c r="C9983">
        <v>26</v>
      </c>
      <c r="D9983">
        <v>25</v>
      </c>
      <c r="E9983" t="s">
        <v>17</v>
      </c>
      <c r="F9983">
        <v>28.35</v>
      </c>
      <c r="G9983">
        <v>28.36</v>
      </c>
      <c r="H9983" t="s">
        <v>17</v>
      </c>
      <c r="I9983" t="str">
        <f>"069113510288"</f>
        <v>069113510288</v>
      </c>
    </row>
    <row r="9984" spans="1:9" x14ac:dyDescent="0.25">
      <c r="A9984" t="s">
        <v>8707</v>
      </c>
      <c r="B9984" t="s">
        <v>13</v>
      </c>
      <c r="C9984">
        <v>25</v>
      </c>
      <c r="D9984">
        <v>34</v>
      </c>
      <c r="E9984" t="s">
        <v>17</v>
      </c>
      <c r="F9984">
        <v>24.24</v>
      </c>
      <c r="G9984">
        <v>22.21</v>
      </c>
      <c r="H9984" t="s">
        <v>17</v>
      </c>
      <c r="I9984" t="str">
        <f>"062271003434"</f>
        <v>062271003434</v>
      </c>
    </row>
    <row r="9985" spans="1:9" x14ac:dyDescent="0.25">
      <c r="A9985" t="s">
        <v>8708</v>
      </c>
      <c r="B9985" t="s">
        <v>13</v>
      </c>
      <c r="C9985">
        <v>20.93</v>
      </c>
      <c r="D9985">
        <v>20.55</v>
      </c>
      <c r="E9985" t="s">
        <v>17</v>
      </c>
      <c r="F9985">
        <v>25.47</v>
      </c>
      <c r="G9985">
        <v>25.26</v>
      </c>
      <c r="H9985" t="s">
        <v>17</v>
      </c>
      <c r="I9985" t="str">
        <f>"063801006437"</f>
        <v>063801006437</v>
      </c>
    </row>
    <row r="9986" spans="1:9" x14ac:dyDescent="0.25">
      <c r="A9986" t="s">
        <v>8709</v>
      </c>
      <c r="B9986" t="s">
        <v>13</v>
      </c>
      <c r="C9986">
        <v>6.4</v>
      </c>
      <c r="D9986">
        <v>7.4</v>
      </c>
      <c r="E9986" t="s">
        <v>17</v>
      </c>
      <c r="F9986">
        <v>13.59</v>
      </c>
      <c r="G9986">
        <v>14.32</v>
      </c>
      <c r="H9986" t="s">
        <v>17</v>
      </c>
      <c r="I9986" t="str">
        <f>"060001306176"</f>
        <v>060001306176</v>
      </c>
    </row>
    <row r="9987" spans="1:9" x14ac:dyDescent="0.25">
      <c r="A9987" t="s">
        <v>8710</v>
      </c>
      <c r="B9987" t="s">
        <v>13</v>
      </c>
      <c r="C9987">
        <v>9.0500000000000007</v>
      </c>
      <c r="D9987">
        <v>9</v>
      </c>
      <c r="E9987" t="s">
        <v>17</v>
      </c>
      <c r="F9987">
        <v>6.08</v>
      </c>
      <c r="G9987">
        <v>6.11</v>
      </c>
      <c r="H9987" t="s">
        <v>17</v>
      </c>
      <c r="I9987" t="str">
        <f>"060985001068"</f>
        <v>060985001068</v>
      </c>
    </row>
    <row r="9988" spans="1:9" x14ac:dyDescent="0.25">
      <c r="A9988" t="s">
        <v>8711</v>
      </c>
      <c r="B9988" t="s">
        <v>13</v>
      </c>
      <c r="C9988">
        <v>13.5</v>
      </c>
      <c r="D9988">
        <v>15.8</v>
      </c>
      <c r="E9988" t="s">
        <v>17</v>
      </c>
      <c r="F9988">
        <v>23.85</v>
      </c>
      <c r="G9988">
        <v>21.33</v>
      </c>
      <c r="H9988" t="s">
        <v>17</v>
      </c>
      <c r="I9988" t="str">
        <f>"061749002190"</f>
        <v>061749002190</v>
      </c>
    </row>
    <row r="9989" spans="1:9" x14ac:dyDescent="0.25">
      <c r="A9989" t="s">
        <v>8712</v>
      </c>
      <c r="B9989" t="s">
        <v>13</v>
      </c>
      <c r="C9989">
        <v>15.55</v>
      </c>
      <c r="D9989">
        <v>16.850000000000001</v>
      </c>
      <c r="E9989" t="s">
        <v>17</v>
      </c>
      <c r="F9989">
        <v>27.59</v>
      </c>
      <c r="G9989">
        <v>24.45</v>
      </c>
      <c r="H9989" t="s">
        <v>17</v>
      </c>
      <c r="I9989" t="str">
        <f>"060744000705"</f>
        <v>060744000705</v>
      </c>
    </row>
    <row r="9990" spans="1:9" x14ac:dyDescent="0.25">
      <c r="A9990" t="s">
        <v>8713</v>
      </c>
      <c r="B9990" t="s">
        <v>13</v>
      </c>
      <c r="C9990">
        <v>2</v>
      </c>
      <c r="D9990">
        <v>3</v>
      </c>
      <c r="E9990" t="s">
        <v>17</v>
      </c>
      <c r="F9990">
        <v>21.5</v>
      </c>
      <c r="G9990">
        <v>21.67</v>
      </c>
      <c r="H9990" t="s">
        <v>17</v>
      </c>
      <c r="I9990" t="str">
        <f>"062271003435"</f>
        <v>062271003435</v>
      </c>
    </row>
    <row r="9991" spans="1:9" x14ac:dyDescent="0.25">
      <c r="A9991" t="s">
        <v>8714</v>
      </c>
      <c r="B9991" t="s">
        <v>13</v>
      </c>
      <c r="C9991">
        <v>14</v>
      </c>
      <c r="D9991">
        <v>12.5</v>
      </c>
      <c r="E9991" t="s">
        <v>17</v>
      </c>
      <c r="F9991">
        <v>36.71</v>
      </c>
      <c r="G9991">
        <v>39.6</v>
      </c>
      <c r="H9991" t="s">
        <v>17</v>
      </c>
      <c r="I9991" t="str">
        <f>"062271008030"</f>
        <v>062271008030</v>
      </c>
    </row>
    <row r="9992" spans="1:9" x14ac:dyDescent="0.25">
      <c r="A9992" t="s">
        <v>8715</v>
      </c>
      <c r="B9992" t="s">
        <v>13</v>
      </c>
      <c r="C9992">
        <v>12.1</v>
      </c>
      <c r="D9992">
        <v>10</v>
      </c>
      <c r="E9992" t="s">
        <v>17</v>
      </c>
      <c r="F9992">
        <v>28.43</v>
      </c>
      <c r="G9992">
        <v>37.9</v>
      </c>
      <c r="H9992" t="s">
        <v>17</v>
      </c>
      <c r="I9992" t="str">
        <f>"062271010530"</f>
        <v>062271010530</v>
      </c>
    </row>
    <row r="9993" spans="1:9" x14ac:dyDescent="0.25">
      <c r="A9993" t="s">
        <v>8716</v>
      </c>
      <c r="B9993" t="s">
        <v>13</v>
      </c>
      <c r="C9993">
        <v>8</v>
      </c>
      <c r="D9993">
        <v>9</v>
      </c>
      <c r="E9993" t="s">
        <v>17</v>
      </c>
      <c r="F9993">
        <v>51.25</v>
      </c>
      <c r="G9993">
        <v>37.33</v>
      </c>
      <c r="H9993" t="s">
        <v>17</v>
      </c>
      <c r="I9993" t="str">
        <f>"062271011358"</f>
        <v>062271011358</v>
      </c>
    </row>
    <row r="9994" spans="1:9" x14ac:dyDescent="0.25">
      <c r="A9994" t="s">
        <v>8717</v>
      </c>
      <c r="B9994" t="s">
        <v>13</v>
      </c>
      <c r="C9994">
        <v>3.6</v>
      </c>
      <c r="D9994">
        <v>3.2</v>
      </c>
      <c r="E9994" t="s">
        <v>17</v>
      </c>
      <c r="F9994">
        <v>7.5</v>
      </c>
      <c r="G9994">
        <v>9.3800000000000008</v>
      </c>
      <c r="H9994" t="s">
        <v>17</v>
      </c>
      <c r="I9994" t="str">
        <f>"061623010628"</f>
        <v>061623010628</v>
      </c>
    </row>
    <row r="9995" spans="1:9" x14ac:dyDescent="0.25">
      <c r="A9995" t="s">
        <v>8718</v>
      </c>
      <c r="B9995" t="s">
        <v>13</v>
      </c>
      <c r="C9995">
        <v>27.01</v>
      </c>
      <c r="D9995">
        <v>28.8</v>
      </c>
      <c r="E9995" t="s">
        <v>17</v>
      </c>
      <c r="F9995">
        <v>26.43</v>
      </c>
      <c r="G9995">
        <v>26.25</v>
      </c>
      <c r="H9995" t="s">
        <v>17</v>
      </c>
      <c r="I9995" t="str">
        <f>"061455001775"</f>
        <v>061455001775</v>
      </c>
    </row>
    <row r="9996" spans="1:9" x14ac:dyDescent="0.25">
      <c r="A9996" t="s">
        <v>8719</v>
      </c>
      <c r="B9996" t="s">
        <v>13</v>
      </c>
      <c r="C9996">
        <v>22</v>
      </c>
      <c r="D9996">
        <v>22.76</v>
      </c>
      <c r="E9996" t="s">
        <v>17</v>
      </c>
      <c r="F9996">
        <v>30.05</v>
      </c>
      <c r="G9996">
        <v>29.48</v>
      </c>
      <c r="H9996" t="s">
        <v>17</v>
      </c>
      <c r="I9996" t="str">
        <f>"062865004455"</f>
        <v>062865004455</v>
      </c>
    </row>
    <row r="9997" spans="1:9" x14ac:dyDescent="0.25">
      <c r="A9997" t="s">
        <v>8720</v>
      </c>
      <c r="B9997" t="s">
        <v>13</v>
      </c>
      <c r="C9997">
        <v>86.89</v>
      </c>
      <c r="D9997">
        <v>87.1</v>
      </c>
      <c r="E9997" t="s">
        <v>17</v>
      </c>
      <c r="F9997">
        <v>28.75</v>
      </c>
      <c r="G9997">
        <v>28.67</v>
      </c>
      <c r="H9997" t="s">
        <v>17</v>
      </c>
      <c r="I9997" t="str">
        <f>"062865004456"</f>
        <v>062865004456</v>
      </c>
    </row>
    <row r="9998" spans="1:9" x14ac:dyDescent="0.25">
      <c r="A9998" t="s">
        <v>8721</v>
      </c>
      <c r="B9998" t="s">
        <v>13</v>
      </c>
      <c r="C9998">
        <v>25</v>
      </c>
      <c r="D9998">
        <v>26</v>
      </c>
      <c r="E9998" t="s">
        <v>17</v>
      </c>
      <c r="F9998">
        <v>23.12</v>
      </c>
      <c r="G9998">
        <v>23.38</v>
      </c>
      <c r="H9998" t="s">
        <v>17</v>
      </c>
      <c r="I9998" t="str">
        <f>"063375005214"</f>
        <v>063375005214</v>
      </c>
    </row>
    <row r="9999" spans="1:9" x14ac:dyDescent="0.25">
      <c r="A9999" t="s">
        <v>8722</v>
      </c>
      <c r="B9999" t="s">
        <v>13</v>
      </c>
      <c r="C9999">
        <v>10.5</v>
      </c>
      <c r="D9999">
        <v>11</v>
      </c>
      <c r="E9999" t="s">
        <v>17</v>
      </c>
      <c r="F9999">
        <v>24.95</v>
      </c>
      <c r="G9999">
        <v>24</v>
      </c>
      <c r="H9999" t="s">
        <v>17</v>
      </c>
      <c r="I9999" t="str">
        <f>"060720011447"</f>
        <v>060720011447</v>
      </c>
    </row>
    <row r="10000" spans="1:9" x14ac:dyDescent="0.25">
      <c r="A10000" t="s">
        <v>8723</v>
      </c>
      <c r="B10000" t="s">
        <v>13</v>
      </c>
      <c r="C10000">
        <v>22.75</v>
      </c>
      <c r="D10000">
        <v>21.83</v>
      </c>
      <c r="E10000" t="s">
        <v>17</v>
      </c>
      <c r="F10000">
        <v>20.62</v>
      </c>
      <c r="G10000">
        <v>23.22</v>
      </c>
      <c r="H10000" t="s">
        <v>17</v>
      </c>
      <c r="I10000" t="str">
        <f>"063132008730"</f>
        <v>063132008730</v>
      </c>
    </row>
    <row r="10001" spans="1:9" x14ac:dyDescent="0.25">
      <c r="A10001" t="s">
        <v>8724</v>
      </c>
      <c r="B10001" t="s">
        <v>13</v>
      </c>
      <c r="C10001">
        <v>5.7</v>
      </c>
      <c r="D10001">
        <v>5.7</v>
      </c>
      <c r="E10001" t="s">
        <v>17</v>
      </c>
      <c r="F10001">
        <v>20.7</v>
      </c>
      <c r="G10001">
        <v>19.12</v>
      </c>
      <c r="H10001" t="s">
        <v>17</v>
      </c>
      <c r="I10001" t="str">
        <f>"060003411882"</f>
        <v>060003411882</v>
      </c>
    </row>
    <row r="10002" spans="1:9" x14ac:dyDescent="0.25">
      <c r="A10002" t="s">
        <v>8725</v>
      </c>
      <c r="B10002" t="s">
        <v>13</v>
      </c>
      <c r="C10002">
        <v>22.83</v>
      </c>
      <c r="D10002">
        <v>21.5</v>
      </c>
      <c r="E10002" t="s">
        <v>17</v>
      </c>
      <c r="F10002">
        <v>26.41</v>
      </c>
      <c r="G10002">
        <v>28.51</v>
      </c>
      <c r="H10002" t="s">
        <v>17</v>
      </c>
      <c r="I10002" t="str">
        <f>"060133205108"</f>
        <v>060133205108</v>
      </c>
    </row>
    <row r="10003" spans="1:9" x14ac:dyDescent="0.25">
      <c r="A10003" t="s">
        <v>8725</v>
      </c>
      <c r="B10003" t="s">
        <v>13</v>
      </c>
      <c r="C10003">
        <v>25</v>
      </c>
      <c r="D10003">
        <v>22</v>
      </c>
      <c r="E10003" t="s">
        <v>17</v>
      </c>
      <c r="F10003">
        <v>31.12</v>
      </c>
      <c r="G10003">
        <v>31.45</v>
      </c>
      <c r="H10003" t="s">
        <v>17</v>
      </c>
      <c r="I10003" t="str">
        <f>"064104007891"</f>
        <v>064104007891</v>
      </c>
    </row>
    <row r="10004" spans="1:9" x14ac:dyDescent="0.25">
      <c r="A10004" t="s">
        <v>8726</v>
      </c>
      <c r="B10004" t="s">
        <v>13</v>
      </c>
      <c r="C10004">
        <v>18</v>
      </c>
      <c r="D10004">
        <v>20.45</v>
      </c>
      <c r="E10004" t="s">
        <v>17</v>
      </c>
      <c r="F10004">
        <v>23.17</v>
      </c>
      <c r="G10004">
        <v>19.95</v>
      </c>
      <c r="H10004" t="s">
        <v>17</v>
      </c>
      <c r="I10004" t="str">
        <f>"063264005083"</f>
        <v>063264005083</v>
      </c>
    </row>
    <row r="10005" spans="1:9" x14ac:dyDescent="0.25">
      <c r="A10005" t="s">
        <v>8727</v>
      </c>
      <c r="B10005" t="s">
        <v>13</v>
      </c>
      <c r="C10005">
        <v>10.44</v>
      </c>
      <c r="D10005">
        <v>14.4</v>
      </c>
      <c r="E10005" t="s">
        <v>17</v>
      </c>
      <c r="F10005">
        <v>12.07</v>
      </c>
      <c r="G10005">
        <v>13.33</v>
      </c>
      <c r="H10005" t="s">
        <v>17</v>
      </c>
      <c r="I10005" t="str">
        <f>"060002009280"</f>
        <v>060002009280</v>
      </c>
    </row>
    <row r="10006" spans="1:9" x14ac:dyDescent="0.25">
      <c r="A10006" t="s">
        <v>8728</v>
      </c>
      <c r="B10006" t="s">
        <v>13</v>
      </c>
      <c r="C10006">
        <v>22.38</v>
      </c>
      <c r="D10006">
        <v>24.3</v>
      </c>
      <c r="E10006" t="s">
        <v>17</v>
      </c>
      <c r="F10006">
        <v>25.65</v>
      </c>
      <c r="G10006">
        <v>22.67</v>
      </c>
      <c r="H10006" t="s">
        <v>17</v>
      </c>
      <c r="I10006" t="str">
        <f>"062814004349"</f>
        <v>062814004349</v>
      </c>
    </row>
    <row r="10007" spans="1:9" x14ac:dyDescent="0.25">
      <c r="A10007" t="s">
        <v>8729</v>
      </c>
      <c r="B10007" t="s">
        <v>13</v>
      </c>
      <c r="C10007">
        <v>42.91</v>
      </c>
      <c r="D10007">
        <v>45.67</v>
      </c>
      <c r="E10007" t="s">
        <v>17</v>
      </c>
      <c r="F10007">
        <v>21.56</v>
      </c>
      <c r="G10007">
        <v>22.53</v>
      </c>
      <c r="H10007" t="s">
        <v>17</v>
      </c>
      <c r="I10007" t="str">
        <f>"062847004414"</f>
        <v>062847004414</v>
      </c>
    </row>
    <row r="10008" spans="1:9" x14ac:dyDescent="0.25">
      <c r="A10008" t="s">
        <v>8730</v>
      </c>
      <c r="B10008" t="s">
        <v>13</v>
      </c>
      <c r="C10008">
        <v>4.5</v>
      </c>
      <c r="D10008">
        <v>4.38</v>
      </c>
      <c r="E10008" t="s">
        <v>17</v>
      </c>
      <c r="F10008">
        <v>15.11</v>
      </c>
      <c r="G10008">
        <v>15.75</v>
      </c>
      <c r="H10008" t="s">
        <v>17</v>
      </c>
      <c r="I10008" t="str">
        <f>"062286003498"</f>
        <v>062286003498</v>
      </c>
    </row>
    <row r="10009" spans="1:9" x14ac:dyDescent="0.25">
      <c r="A10009" t="s">
        <v>8731</v>
      </c>
      <c r="B10009" t="s">
        <v>13</v>
      </c>
      <c r="C10009">
        <v>5</v>
      </c>
      <c r="D10009">
        <v>3</v>
      </c>
      <c r="E10009" t="s">
        <v>14</v>
      </c>
      <c r="F10009">
        <v>20.2</v>
      </c>
      <c r="G10009">
        <v>20.67</v>
      </c>
      <c r="H10009" t="s">
        <v>14</v>
      </c>
      <c r="I10009" t="str">
        <f>"062805012648"</f>
        <v>062805012648</v>
      </c>
    </row>
    <row r="10010" spans="1:9" x14ac:dyDescent="0.25">
      <c r="A10010" t="s">
        <v>8732</v>
      </c>
      <c r="B10010" t="s">
        <v>13</v>
      </c>
      <c r="C10010">
        <v>26</v>
      </c>
      <c r="D10010">
        <v>26</v>
      </c>
      <c r="E10010" t="s">
        <v>17</v>
      </c>
      <c r="F10010">
        <v>24.23</v>
      </c>
      <c r="G10010">
        <v>24.58</v>
      </c>
      <c r="H10010" t="s">
        <v>17</v>
      </c>
      <c r="I10010" t="str">
        <f>"060480000469"</f>
        <v>060480000469</v>
      </c>
    </row>
    <row r="10011" spans="1:9" x14ac:dyDescent="0.25">
      <c r="A10011" t="s">
        <v>8733</v>
      </c>
      <c r="B10011" t="s">
        <v>13</v>
      </c>
      <c r="C10011">
        <v>25.11</v>
      </c>
      <c r="D10011">
        <v>26</v>
      </c>
      <c r="E10011" t="s">
        <v>17</v>
      </c>
      <c r="F10011">
        <v>22.14</v>
      </c>
      <c r="G10011">
        <v>21.85</v>
      </c>
      <c r="H10011" t="s">
        <v>17</v>
      </c>
      <c r="I10011" t="str">
        <f>"064200006884"</f>
        <v>064200006884</v>
      </c>
    </row>
    <row r="10012" spans="1:9" x14ac:dyDescent="0.25">
      <c r="A10012" t="s">
        <v>8734</v>
      </c>
      <c r="B10012" t="s">
        <v>13</v>
      </c>
      <c r="C10012">
        <v>18</v>
      </c>
      <c r="D10012">
        <v>22.39</v>
      </c>
      <c r="E10012" t="s">
        <v>17</v>
      </c>
      <c r="F10012">
        <v>29.33</v>
      </c>
      <c r="G10012">
        <v>25.23</v>
      </c>
      <c r="H10012" t="s">
        <v>17</v>
      </c>
      <c r="I10012" t="str">
        <f>"060004306174"</f>
        <v>060004306174</v>
      </c>
    </row>
    <row r="10013" spans="1:9" x14ac:dyDescent="0.25">
      <c r="A10013" t="s">
        <v>8735</v>
      </c>
      <c r="B10013" t="s">
        <v>13</v>
      </c>
      <c r="C10013">
        <v>1.5</v>
      </c>
      <c r="D10013">
        <v>2.5</v>
      </c>
      <c r="E10013" t="s">
        <v>17</v>
      </c>
      <c r="F10013">
        <v>6.67</v>
      </c>
      <c r="G10013">
        <v>6</v>
      </c>
      <c r="H10013" t="s">
        <v>17</v>
      </c>
      <c r="I10013" t="str">
        <f>"060006407905"</f>
        <v>060006407905</v>
      </c>
    </row>
    <row r="10014" spans="1:9" x14ac:dyDescent="0.25">
      <c r="A10014" t="s">
        <v>8736</v>
      </c>
      <c r="B10014" t="s">
        <v>13</v>
      </c>
      <c r="C10014">
        <v>24</v>
      </c>
      <c r="D10014">
        <v>23</v>
      </c>
      <c r="E10014" t="s">
        <v>17</v>
      </c>
      <c r="F10014">
        <v>24</v>
      </c>
      <c r="G10014">
        <v>25.91</v>
      </c>
      <c r="H10014" t="s">
        <v>17</v>
      </c>
      <c r="I10014" t="str">
        <f>"062271003436"</f>
        <v>062271003436</v>
      </c>
    </row>
    <row r="10015" spans="1:9" x14ac:dyDescent="0.25">
      <c r="A10015" t="s">
        <v>8737</v>
      </c>
      <c r="B10015" t="s">
        <v>13</v>
      </c>
      <c r="C10015">
        <v>13</v>
      </c>
      <c r="D10015">
        <v>12</v>
      </c>
      <c r="E10015" t="s">
        <v>17</v>
      </c>
      <c r="F10015">
        <v>21.15</v>
      </c>
      <c r="G10015">
        <v>23</v>
      </c>
      <c r="H10015" t="s">
        <v>17</v>
      </c>
      <c r="I10015" t="str">
        <f>"062271003437"</f>
        <v>062271003437</v>
      </c>
    </row>
    <row r="10016" spans="1:9" x14ac:dyDescent="0.25">
      <c r="A10016" t="s">
        <v>8738</v>
      </c>
      <c r="B10016" t="s">
        <v>13</v>
      </c>
      <c r="C10016">
        <v>19</v>
      </c>
      <c r="D10016">
        <v>22</v>
      </c>
      <c r="E10016" t="s">
        <v>17</v>
      </c>
      <c r="F10016">
        <v>24.95</v>
      </c>
      <c r="G10016">
        <v>21.41</v>
      </c>
      <c r="H10016" t="s">
        <v>17</v>
      </c>
      <c r="I10016" t="str">
        <f>"064113006784"</f>
        <v>064113006784</v>
      </c>
    </row>
    <row r="10017" spans="1:9" x14ac:dyDescent="0.25">
      <c r="A10017" t="s">
        <v>8738</v>
      </c>
      <c r="B10017" t="s">
        <v>13</v>
      </c>
      <c r="C10017">
        <v>33</v>
      </c>
      <c r="D10017">
        <v>39</v>
      </c>
      <c r="E10017" t="s">
        <v>17</v>
      </c>
      <c r="F10017">
        <v>25.18</v>
      </c>
      <c r="G10017">
        <v>22.72</v>
      </c>
      <c r="H10017" t="s">
        <v>17</v>
      </c>
      <c r="I10017" t="str">
        <f>"060369000341"</f>
        <v>060369000341</v>
      </c>
    </row>
    <row r="10018" spans="1:9" x14ac:dyDescent="0.25">
      <c r="A10018" t="s">
        <v>8739</v>
      </c>
      <c r="B10018" t="s">
        <v>13</v>
      </c>
      <c r="C10018">
        <v>22.2</v>
      </c>
      <c r="D10018">
        <v>22.83</v>
      </c>
      <c r="E10018" t="s">
        <v>17</v>
      </c>
      <c r="F10018">
        <v>24.01</v>
      </c>
      <c r="G10018">
        <v>23.48</v>
      </c>
      <c r="H10018" t="s">
        <v>17</v>
      </c>
      <c r="I10018" t="str">
        <f>"062223002669"</f>
        <v>062223002669</v>
      </c>
    </row>
    <row r="10019" spans="1:9" x14ac:dyDescent="0.25">
      <c r="A10019" t="s">
        <v>8740</v>
      </c>
      <c r="B10019" t="s">
        <v>13</v>
      </c>
      <c r="C10019">
        <v>16.36</v>
      </c>
      <c r="D10019">
        <v>18.36</v>
      </c>
      <c r="E10019" t="s">
        <v>17</v>
      </c>
      <c r="F10019">
        <v>8.1300000000000008</v>
      </c>
      <c r="G10019">
        <v>7.95</v>
      </c>
      <c r="H10019" t="s">
        <v>17</v>
      </c>
      <c r="I10019" t="str">
        <f>"062211008877"</f>
        <v>062211008877</v>
      </c>
    </row>
    <row r="10020" spans="1:9" x14ac:dyDescent="0.25">
      <c r="A10020" t="s">
        <v>8741</v>
      </c>
      <c r="B10020" t="s">
        <v>13</v>
      </c>
      <c r="C10020">
        <v>29.5</v>
      </c>
      <c r="D10020">
        <v>28.21</v>
      </c>
      <c r="E10020" t="s">
        <v>17</v>
      </c>
      <c r="F10020">
        <v>25.76</v>
      </c>
      <c r="G10020">
        <v>25.91</v>
      </c>
      <c r="H10020" t="s">
        <v>17</v>
      </c>
      <c r="I10020" t="str">
        <f>"062847004415"</f>
        <v>062847004415</v>
      </c>
    </row>
    <row r="10021" spans="1:9" x14ac:dyDescent="0.25">
      <c r="A10021" t="s">
        <v>8741</v>
      </c>
      <c r="B10021" t="s">
        <v>13</v>
      </c>
      <c r="C10021">
        <v>18</v>
      </c>
      <c r="D10021">
        <v>16.75</v>
      </c>
      <c r="E10021" t="s">
        <v>17</v>
      </c>
      <c r="F10021">
        <v>24.89</v>
      </c>
      <c r="G10021">
        <v>26.03</v>
      </c>
      <c r="H10021" t="s">
        <v>17</v>
      </c>
      <c r="I10021" t="str">
        <f>"063900004016"</f>
        <v>063900004016</v>
      </c>
    </row>
    <row r="10022" spans="1:9" x14ac:dyDescent="0.25">
      <c r="A10022" t="s">
        <v>8742</v>
      </c>
      <c r="B10022" t="s">
        <v>13</v>
      </c>
      <c r="C10022">
        <v>30</v>
      </c>
      <c r="D10022">
        <v>29</v>
      </c>
      <c r="E10022" t="s">
        <v>17</v>
      </c>
      <c r="F10022">
        <v>26.27</v>
      </c>
      <c r="G10022">
        <v>27.03</v>
      </c>
      <c r="H10022" t="s">
        <v>17</v>
      </c>
      <c r="I10022" t="str">
        <f>"060216009697"</f>
        <v>060216009697</v>
      </c>
    </row>
    <row r="10023" spans="1:9" x14ac:dyDescent="0.25">
      <c r="A10023" t="s">
        <v>8743</v>
      </c>
      <c r="B10023" t="s">
        <v>13</v>
      </c>
      <c r="C10023">
        <v>24</v>
      </c>
      <c r="D10023">
        <v>26</v>
      </c>
      <c r="E10023" t="s">
        <v>17</v>
      </c>
      <c r="F10023">
        <v>26.29</v>
      </c>
      <c r="G10023">
        <v>25.27</v>
      </c>
      <c r="H10023" t="s">
        <v>17</v>
      </c>
      <c r="I10023" t="str">
        <f>"061455001776"</f>
        <v>061455001776</v>
      </c>
    </row>
    <row r="10024" spans="1:9" x14ac:dyDescent="0.25">
      <c r="A10024" t="s">
        <v>8744</v>
      </c>
      <c r="B10024" t="s">
        <v>13</v>
      </c>
      <c r="C10024">
        <v>81.099999999999994</v>
      </c>
      <c r="D10024">
        <v>84.7</v>
      </c>
      <c r="E10024" t="s">
        <v>17</v>
      </c>
      <c r="F10024">
        <v>22.22</v>
      </c>
      <c r="G10024">
        <v>22.86</v>
      </c>
      <c r="H10024" t="s">
        <v>17</v>
      </c>
      <c r="I10024" t="str">
        <f>"062664004037"</f>
        <v>062664004037</v>
      </c>
    </row>
    <row r="10025" spans="1:9" x14ac:dyDescent="0.25">
      <c r="A10025" t="s">
        <v>8745</v>
      </c>
      <c r="B10025" t="s">
        <v>13</v>
      </c>
      <c r="C10025">
        <v>28</v>
      </c>
      <c r="D10025">
        <v>30.8</v>
      </c>
      <c r="E10025" t="s">
        <v>17</v>
      </c>
      <c r="F10025">
        <v>27.46</v>
      </c>
      <c r="G10025">
        <v>24.87</v>
      </c>
      <c r="H10025" t="s">
        <v>17</v>
      </c>
      <c r="I10025" t="str">
        <f>"060002807223"</f>
        <v>060002807223</v>
      </c>
    </row>
    <row r="10026" spans="1:9" x14ac:dyDescent="0.25">
      <c r="A10026" t="s">
        <v>8745</v>
      </c>
      <c r="B10026" t="s">
        <v>13</v>
      </c>
      <c r="C10026">
        <v>26.56</v>
      </c>
      <c r="D10026">
        <v>28.63</v>
      </c>
      <c r="E10026" t="s">
        <v>17</v>
      </c>
      <c r="F10026">
        <v>23.95</v>
      </c>
      <c r="G10026">
        <v>22.74</v>
      </c>
      <c r="H10026" t="s">
        <v>17</v>
      </c>
      <c r="I10026" t="str">
        <f>"060002009290"</f>
        <v>060002009290</v>
      </c>
    </row>
    <row r="10027" spans="1:9" x14ac:dyDescent="0.25">
      <c r="A10027" t="s">
        <v>8746</v>
      </c>
      <c r="B10027" t="s">
        <v>13</v>
      </c>
      <c r="C10027">
        <v>30</v>
      </c>
      <c r="D10027">
        <v>29.5</v>
      </c>
      <c r="E10027" t="s">
        <v>17</v>
      </c>
      <c r="F10027">
        <v>26.4</v>
      </c>
      <c r="G10027">
        <v>26.78</v>
      </c>
      <c r="H10027" t="s">
        <v>17</v>
      </c>
      <c r="I10027" t="str">
        <f>"062271003438"</f>
        <v>062271003438</v>
      </c>
    </row>
    <row r="10028" spans="1:9" x14ac:dyDescent="0.25">
      <c r="A10028" t="s">
        <v>8747</v>
      </c>
      <c r="B10028" t="s">
        <v>13</v>
      </c>
      <c r="C10028">
        <v>19.399999999999999</v>
      </c>
      <c r="D10028">
        <v>17.5</v>
      </c>
      <c r="E10028" t="s">
        <v>17</v>
      </c>
      <c r="F10028">
        <v>26.91</v>
      </c>
      <c r="G10028">
        <v>28.29</v>
      </c>
      <c r="H10028" t="s">
        <v>17</v>
      </c>
      <c r="I10028" t="str">
        <f>"062808000190"</f>
        <v>062808000190</v>
      </c>
    </row>
    <row r="10029" spans="1:9" x14ac:dyDescent="0.25">
      <c r="A10029" t="s">
        <v>8748</v>
      </c>
      <c r="B10029" t="s">
        <v>13</v>
      </c>
      <c r="C10029" t="s">
        <v>17</v>
      </c>
      <c r="D10029" t="s">
        <v>14</v>
      </c>
      <c r="E10029" t="s">
        <v>14</v>
      </c>
      <c r="F10029" t="s">
        <v>17</v>
      </c>
      <c r="G10029" t="s">
        <v>14</v>
      </c>
      <c r="H10029" t="s">
        <v>14</v>
      </c>
      <c r="I10029" t="str">
        <f>"063738013370"</f>
        <v>063738013370</v>
      </c>
    </row>
    <row r="10030" spans="1:9" x14ac:dyDescent="0.25">
      <c r="A10030" t="s">
        <v>8749</v>
      </c>
      <c r="B10030" t="s">
        <v>13</v>
      </c>
      <c r="C10030">
        <v>56.33</v>
      </c>
      <c r="D10030">
        <v>71.010000000000005</v>
      </c>
      <c r="E10030" t="s">
        <v>17</v>
      </c>
      <c r="F10030">
        <v>19.55</v>
      </c>
      <c r="G10030">
        <v>17.11</v>
      </c>
      <c r="H10030" t="s">
        <v>17</v>
      </c>
      <c r="I10030" t="str">
        <f>"062271003439"</f>
        <v>062271003439</v>
      </c>
    </row>
    <row r="10031" spans="1:9" x14ac:dyDescent="0.25">
      <c r="A10031" t="s">
        <v>8750</v>
      </c>
      <c r="B10031" t="s">
        <v>13</v>
      </c>
      <c r="C10031">
        <v>34.5</v>
      </c>
      <c r="D10031">
        <v>35</v>
      </c>
      <c r="E10031" t="s">
        <v>17</v>
      </c>
      <c r="F10031">
        <v>23.01</v>
      </c>
      <c r="G10031">
        <v>22.89</v>
      </c>
      <c r="H10031" t="s">
        <v>17</v>
      </c>
      <c r="I10031" t="str">
        <f>"061329001507"</f>
        <v>061329001507</v>
      </c>
    </row>
    <row r="10032" spans="1:9" x14ac:dyDescent="0.25">
      <c r="A10032" t="s">
        <v>8751</v>
      </c>
      <c r="B10032" t="s">
        <v>13</v>
      </c>
      <c r="C10032">
        <v>27</v>
      </c>
      <c r="D10032">
        <v>27</v>
      </c>
      <c r="E10032" t="s">
        <v>17</v>
      </c>
      <c r="F10032">
        <v>25.11</v>
      </c>
      <c r="G10032">
        <v>24</v>
      </c>
      <c r="H10032" t="s">
        <v>17</v>
      </c>
      <c r="I10032" t="str">
        <f>"060813009526"</f>
        <v>060813009526</v>
      </c>
    </row>
    <row r="10033" spans="1:9" x14ac:dyDescent="0.25">
      <c r="A10033" t="s">
        <v>8752</v>
      </c>
      <c r="B10033" t="s">
        <v>13</v>
      </c>
      <c r="C10033">
        <v>18</v>
      </c>
      <c r="D10033">
        <v>22.03</v>
      </c>
      <c r="E10033" t="s">
        <v>17</v>
      </c>
      <c r="F10033">
        <v>27.22</v>
      </c>
      <c r="G10033">
        <v>23.69</v>
      </c>
      <c r="H10033" t="s">
        <v>17</v>
      </c>
      <c r="I10033" t="str">
        <f>"060004807410"</f>
        <v>060004807410</v>
      </c>
    </row>
    <row r="10034" spans="1:9" x14ac:dyDescent="0.25">
      <c r="A10034" t="s">
        <v>8753</v>
      </c>
      <c r="B10034" t="s">
        <v>13</v>
      </c>
      <c r="C10034">
        <v>23.59</v>
      </c>
      <c r="D10034">
        <v>23.5</v>
      </c>
      <c r="E10034" t="s">
        <v>17</v>
      </c>
      <c r="F10034">
        <v>24.84</v>
      </c>
      <c r="G10034">
        <v>25.62</v>
      </c>
      <c r="H10034" t="s">
        <v>17</v>
      </c>
      <c r="I10034" t="str">
        <f>"061392009543"</f>
        <v>061392009543</v>
      </c>
    </row>
    <row r="10035" spans="1:9" x14ac:dyDescent="0.25">
      <c r="A10035" t="s">
        <v>8754</v>
      </c>
      <c r="B10035" t="s">
        <v>13</v>
      </c>
      <c r="C10035">
        <v>18.5</v>
      </c>
      <c r="D10035">
        <v>18</v>
      </c>
      <c r="E10035" t="s">
        <v>17</v>
      </c>
      <c r="F10035">
        <v>23.57</v>
      </c>
      <c r="G10035">
        <v>23.94</v>
      </c>
      <c r="H10035" t="s">
        <v>17</v>
      </c>
      <c r="I10035" t="str">
        <f>"062271003440"</f>
        <v>062271003440</v>
      </c>
    </row>
    <row r="10036" spans="1:9" x14ac:dyDescent="0.25">
      <c r="A10036" t="s">
        <v>8755</v>
      </c>
      <c r="B10036" t="s">
        <v>13</v>
      </c>
      <c r="C10036">
        <v>27</v>
      </c>
      <c r="D10036">
        <v>25</v>
      </c>
      <c r="E10036" t="s">
        <v>17</v>
      </c>
      <c r="F10036">
        <v>27.89</v>
      </c>
      <c r="G10036">
        <v>28.48</v>
      </c>
      <c r="H10036" t="s">
        <v>17</v>
      </c>
      <c r="I10036" t="str">
        <f>"060195009111"</f>
        <v>060195009111</v>
      </c>
    </row>
    <row r="10037" spans="1:9" x14ac:dyDescent="0.25">
      <c r="A10037" t="s">
        <v>8756</v>
      </c>
      <c r="B10037" t="s">
        <v>13</v>
      </c>
      <c r="C10037" t="s">
        <v>17</v>
      </c>
      <c r="D10037" t="s">
        <v>17</v>
      </c>
      <c r="E10037" t="s">
        <v>17</v>
      </c>
      <c r="F10037" t="s">
        <v>17</v>
      </c>
      <c r="G10037" t="s">
        <v>17</v>
      </c>
      <c r="H10037" t="s">
        <v>17</v>
      </c>
      <c r="I10037" t="str">
        <f>"060846012624"</f>
        <v>060846012624</v>
      </c>
    </row>
    <row r="10038" spans="1:9" x14ac:dyDescent="0.25">
      <c r="A10038" t="s">
        <v>8757</v>
      </c>
      <c r="B10038" t="s">
        <v>13</v>
      </c>
      <c r="C10038" t="s">
        <v>17</v>
      </c>
      <c r="D10038" t="s">
        <v>17</v>
      </c>
      <c r="E10038" t="s">
        <v>17</v>
      </c>
      <c r="F10038" t="s">
        <v>17</v>
      </c>
      <c r="G10038" t="s">
        <v>17</v>
      </c>
      <c r="H10038" t="s">
        <v>17</v>
      </c>
      <c r="I10038" t="str">
        <f>"062955012602"</f>
        <v>062955012602</v>
      </c>
    </row>
    <row r="10039" spans="1:9" x14ac:dyDescent="0.25">
      <c r="A10039" t="s">
        <v>8758</v>
      </c>
      <c r="B10039" t="s">
        <v>13</v>
      </c>
      <c r="C10039">
        <v>9.4</v>
      </c>
      <c r="D10039">
        <v>3.71</v>
      </c>
      <c r="E10039" t="s">
        <v>17</v>
      </c>
      <c r="F10039">
        <v>52.13</v>
      </c>
      <c r="G10039">
        <v>123.72</v>
      </c>
      <c r="H10039" t="s">
        <v>17</v>
      </c>
      <c r="I10039" t="str">
        <f>"064116011823"</f>
        <v>064116011823</v>
      </c>
    </row>
    <row r="10040" spans="1:9" x14ac:dyDescent="0.25">
      <c r="A10040" t="s">
        <v>8759</v>
      </c>
      <c r="B10040" t="s">
        <v>13</v>
      </c>
      <c r="C10040">
        <v>8.57</v>
      </c>
      <c r="D10040">
        <v>5</v>
      </c>
      <c r="E10040" t="s">
        <v>17</v>
      </c>
      <c r="F10040">
        <v>17.97</v>
      </c>
      <c r="G10040">
        <v>20.8</v>
      </c>
      <c r="H10040" t="s">
        <v>17</v>
      </c>
      <c r="I10040" t="str">
        <f>"064116012503"</f>
        <v>064116012503</v>
      </c>
    </row>
    <row r="10041" spans="1:9" x14ac:dyDescent="0.25">
      <c r="A10041" t="s">
        <v>8760</v>
      </c>
      <c r="B10041" t="s">
        <v>13</v>
      </c>
      <c r="C10041" t="s">
        <v>17</v>
      </c>
      <c r="D10041" t="s">
        <v>14</v>
      </c>
      <c r="E10041" t="s">
        <v>14</v>
      </c>
      <c r="F10041" t="s">
        <v>17</v>
      </c>
      <c r="G10041" t="s">
        <v>14</v>
      </c>
      <c r="H10041" t="s">
        <v>14</v>
      </c>
      <c r="I10041" t="str">
        <f>"060528013441"</f>
        <v>060528013441</v>
      </c>
    </row>
    <row r="10042" spans="1:9" x14ac:dyDescent="0.25">
      <c r="A10042" t="s">
        <v>8761</v>
      </c>
      <c r="B10042" t="s">
        <v>13</v>
      </c>
      <c r="C10042">
        <v>168.97</v>
      </c>
      <c r="D10042">
        <v>141</v>
      </c>
      <c r="E10042" t="s">
        <v>17</v>
      </c>
      <c r="F10042">
        <v>26.61</v>
      </c>
      <c r="G10042">
        <v>27.96</v>
      </c>
      <c r="H10042" t="s">
        <v>17</v>
      </c>
      <c r="I10042" t="str">
        <f>"063462008283"</f>
        <v>063462008283</v>
      </c>
    </row>
    <row r="10043" spans="1:9" x14ac:dyDescent="0.25">
      <c r="A10043" t="s">
        <v>8762</v>
      </c>
      <c r="B10043" t="s">
        <v>13</v>
      </c>
      <c r="C10043">
        <v>20</v>
      </c>
      <c r="D10043">
        <v>20</v>
      </c>
      <c r="E10043" t="s">
        <v>17</v>
      </c>
      <c r="F10043">
        <v>23.45</v>
      </c>
      <c r="G10043">
        <v>22.9</v>
      </c>
      <c r="H10043" t="s">
        <v>17</v>
      </c>
      <c r="I10043" t="str">
        <f>"063441005677"</f>
        <v>063441005677</v>
      </c>
    </row>
    <row r="10044" spans="1:9" x14ac:dyDescent="0.25">
      <c r="A10044" t="s">
        <v>8763</v>
      </c>
      <c r="B10044" t="s">
        <v>13</v>
      </c>
      <c r="C10044">
        <v>25.45</v>
      </c>
      <c r="D10044">
        <v>26.3</v>
      </c>
      <c r="E10044" t="s">
        <v>17</v>
      </c>
      <c r="F10044">
        <v>15.28</v>
      </c>
      <c r="G10044">
        <v>14.71</v>
      </c>
      <c r="H10044" t="s">
        <v>17</v>
      </c>
      <c r="I10044" t="str">
        <f>"063441005678"</f>
        <v>063441005678</v>
      </c>
    </row>
    <row r="10045" spans="1:9" x14ac:dyDescent="0.25">
      <c r="A10045" t="s">
        <v>8764</v>
      </c>
      <c r="B10045" t="s">
        <v>13</v>
      </c>
      <c r="C10045">
        <v>3</v>
      </c>
      <c r="D10045">
        <v>4.0999999999999996</v>
      </c>
      <c r="E10045" t="s">
        <v>17</v>
      </c>
      <c r="F10045">
        <v>12</v>
      </c>
      <c r="G10045">
        <v>11.46</v>
      </c>
      <c r="H10045" t="s">
        <v>17</v>
      </c>
      <c r="I10045" t="str">
        <f>"060561005840"</f>
        <v>060561005840</v>
      </c>
    </row>
    <row r="10046" spans="1:9" x14ac:dyDescent="0.25">
      <c r="A10046" t="s">
        <v>8765</v>
      </c>
      <c r="B10046" t="s">
        <v>13</v>
      </c>
      <c r="C10046">
        <v>42.01</v>
      </c>
      <c r="D10046">
        <v>48.43</v>
      </c>
      <c r="E10046" t="s">
        <v>17</v>
      </c>
      <c r="F10046">
        <v>24.26</v>
      </c>
      <c r="G10046">
        <v>21.95</v>
      </c>
      <c r="H10046" t="s">
        <v>17</v>
      </c>
      <c r="I10046" t="str">
        <f>"064119006822"</f>
        <v>064119006822</v>
      </c>
    </row>
    <row r="10047" spans="1:9" x14ac:dyDescent="0.25">
      <c r="A10047" t="s">
        <v>8766</v>
      </c>
      <c r="B10047" t="s">
        <v>13</v>
      </c>
      <c r="C10047">
        <v>2</v>
      </c>
      <c r="D10047">
        <v>3.65</v>
      </c>
      <c r="E10047" t="s">
        <v>17</v>
      </c>
      <c r="F10047">
        <v>37.5</v>
      </c>
      <c r="G10047">
        <v>21.37</v>
      </c>
      <c r="H10047" t="s">
        <v>17</v>
      </c>
      <c r="I10047" t="str">
        <f>"061440009369"</f>
        <v>061440009369</v>
      </c>
    </row>
    <row r="10048" spans="1:9" x14ac:dyDescent="0.25">
      <c r="A10048" t="s">
        <v>8767</v>
      </c>
      <c r="B10048" t="s">
        <v>13</v>
      </c>
      <c r="C10048">
        <v>15</v>
      </c>
      <c r="D10048">
        <v>13</v>
      </c>
      <c r="E10048" t="s">
        <v>17</v>
      </c>
      <c r="F10048">
        <v>27.47</v>
      </c>
      <c r="G10048">
        <v>27.85</v>
      </c>
      <c r="H10048" t="s">
        <v>17</v>
      </c>
      <c r="I10048" t="str">
        <f>"062271012776"</f>
        <v>062271012776</v>
      </c>
    </row>
    <row r="10049" spans="1:9" x14ac:dyDescent="0.25">
      <c r="A10049" t="s">
        <v>8768</v>
      </c>
      <c r="B10049" t="s">
        <v>13</v>
      </c>
      <c r="C10049">
        <v>14.75</v>
      </c>
      <c r="D10049">
        <v>16.75</v>
      </c>
      <c r="E10049" t="s">
        <v>17</v>
      </c>
      <c r="F10049">
        <v>28.75</v>
      </c>
      <c r="G10049">
        <v>26.93</v>
      </c>
      <c r="H10049" t="s">
        <v>17</v>
      </c>
      <c r="I10049" t="str">
        <f>"062676004059"</f>
        <v>062676004059</v>
      </c>
    </row>
    <row r="10050" spans="1:9" x14ac:dyDescent="0.25">
      <c r="A10050" t="s">
        <v>8769</v>
      </c>
      <c r="B10050" t="s">
        <v>13</v>
      </c>
      <c r="C10050">
        <v>15.93</v>
      </c>
      <c r="D10050">
        <v>14.78</v>
      </c>
      <c r="E10050" t="s">
        <v>17</v>
      </c>
      <c r="F10050">
        <v>15.82</v>
      </c>
      <c r="G10050">
        <v>17.93</v>
      </c>
      <c r="H10050" t="s">
        <v>17</v>
      </c>
      <c r="I10050" t="str">
        <f>"061954002355"</f>
        <v>061954002355</v>
      </c>
    </row>
    <row r="10051" spans="1:9" x14ac:dyDescent="0.25">
      <c r="A10051" t="s">
        <v>8770</v>
      </c>
      <c r="B10051" t="s">
        <v>13</v>
      </c>
      <c r="C10051">
        <v>10.1</v>
      </c>
      <c r="D10051">
        <v>10.93</v>
      </c>
      <c r="E10051" t="s">
        <v>17</v>
      </c>
      <c r="F10051">
        <v>10.1</v>
      </c>
      <c r="G10051">
        <v>9.24</v>
      </c>
      <c r="H10051" t="s">
        <v>17</v>
      </c>
      <c r="I10051" t="str">
        <f>"064122006826"</f>
        <v>064122006826</v>
      </c>
    </row>
    <row r="10052" spans="1:9" x14ac:dyDescent="0.25">
      <c r="A10052" t="s">
        <v>8771</v>
      </c>
      <c r="B10052" t="s">
        <v>13</v>
      </c>
      <c r="C10052">
        <v>54.66</v>
      </c>
      <c r="D10052">
        <v>52.66</v>
      </c>
      <c r="E10052" t="s">
        <v>17</v>
      </c>
      <c r="F10052">
        <v>26.22</v>
      </c>
      <c r="G10052">
        <v>27.12</v>
      </c>
      <c r="H10052" t="s">
        <v>17</v>
      </c>
      <c r="I10052" t="str">
        <f>"061389011932"</f>
        <v>061389011932</v>
      </c>
    </row>
    <row r="10053" spans="1:9" x14ac:dyDescent="0.25">
      <c r="A10053" t="s">
        <v>8771</v>
      </c>
      <c r="B10053" t="s">
        <v>13</v>
      </c>
      <c r="C10053">
        <v>101.44</v>
      </c>
      <c r="D10053">
        <v>103.37</v>
      </c>
      <c r="E10053" t="s">
        <v>17</v>
      </c>
      <c r="F10053">
        <v>23.75</v>
      </c>
      <c r="G10053">
        <v>24.68</v>
      </c>
      <c r="H10053" t="s">
        <v>17</v>
      </c>
      <c r="I10053" t="str">
        <f>"062580010583"</f>
        <v>062580010583</v>
      </c>
    </row>
    <row r="10054" spans="1:9" x14ac:dyDescent="0.25">
      <c r="A10054" t="s">
        <v>8772</v>
      </c>
      <c r="B10054" t="s">
        <v>13</v>
      </c>
      <c r="C10054">
        <v>13.5</v>
      </c>
      <c r="D10054" t="s">
        <v>14</v>
      </c>
      <c r="E10054" t="s">
        <v>14</v>
      </c>
      <c r="F10054">
        <v>41.63</v>
      </c>
      <c r="G10054" t="s">
        <v>14</v>
      </c>
      <c r="H10054" t="s">
        <v>14</v>
      </c>
      <c r="I10054" t="str">
        <f>"063522012993"</f>
        <v>063522012993</v>
      </c>
    </row>
    <row r="10055" spans="1:9" x14ac:dyDescent="0.25">
      <c r="A10055" t="s">
        <v>8773</v>
      </c>
      <c r="B10055" t="s">
        <v>13</v>
      </c>
      <c r="C10055">
        <v>35.43</v>
      </c>
      <c r="D10055">
        <v>37.380000000000003</v>
      </c>
      <c r="E10055" t="s">
        <v>17</v>
      </c>
      <c r="F10055">
        <v>32.51</v>
      </c>
      <c r="G10055">
        <v>30.47</v>
      </c>
      <c r="H10055" t="s">
        <v>17</v>
      </c>
      <c r="I10055" t="str">
        <f>"060744011267"</f>
        <v>060744011267</v>
      </c>
    </row>
    <row r="10056" spans="1:9" x14ac:dyDescent="0.25">
      <c r="A10056" t="s">
        <v>8774</v>
      </c>
      <c r="B10056" t="s">
        <v>13</v>
      </c>
      <c r="C10056">
        <v>22.55</v>
      </c>
      <c r="D10056">
        <v>21.55</v>
      </c>
      <c r="E10056" t="s">
        <v>17</v>
      </c>
      <c r="F10056">
        <v>25.72</v>
      </c>
      <c r="G10056">
        <v>24.32</v>
      </c>
      <c r="H10056" t="s">
        <v>17</v>
      </c>
      <c r="I10056" t="str">
        <f>"060744011266"</f>
        <v>060744011266</v>
      </c>
    </row>
    <row r="10057" spans="1:9" x14ac:dyDescent="0.25">
      <c r="A10057" t="s">
        <v>8775</v>
      </c>
      <c r="B10057" t="s">
        <v>13</v>
      </c>
      <c r="C10057">
        <v>15</v>
      </c>
      <c r="D10057">
        <v>17</v>
      </c>
      <c r="E10057" t="s">
        <v>17</v>
      </c>
      <c r="F10057">
        <v>27.13</v>
      </c>
      <c r="G10057">
        <v>25.94</v>
      </c>
      <c r="H10057" t="s">
        <v>17</v>
      </c>
      <c r="I10057" t="str">
        <f>"062955004571"</f>
        <v>062955004571</v>
      </c>
    </row>
    <row r="10058" spans="1:9" x14ac:dyDescent="0.25">
      <c r="A10058" t="s">
        <v>8776</v>
      </c>
      <c r="B10058" t="s">
        <v>13</v>
      </c>
      <c r="C10058">
        <v>19</v>
      </c>
      <c r="D10058">
        <v>20</v>
      </c>
      <c r="E10058" t="s">
        <v>17</v>
      </c>
      <c r="F10058">
        <v>22.63</v>
      </c>
      <c r="G10058">
        <v>22.05</v>
      </c>
      <c r="H10058" t="s">
        <v>17</v>
      </c>
      <c r="I10058" t="str">
        <f>"062271012764"</f>
        <v>062271012764</v>
      </c>
    </row>
    <row r="10059" spans="1:9" x14ac:dyDescent="0.25">
      <c r="A10059" t="s">
        <v>8777</v>
      </c>
      <c r="B10059" t="s">
        <v>13</v>
      </c>
      <c r="C10059">
        <v>13.64</v>
      </c>
      <c r="D10059">
        <v>12.14</v>
      </c>
      <c r="E10059" t="s">
        <v>17</v>
      </c>
      <c r="F10059">
        <v>21.85</v>
      </c>
      <c r="G10059">
        <v>23.72</v>
      </c>
      <c r="H10059" t="s">
        <v>17</v>
      </c>
      <c r="I10059" t="str">
        <f>"060876000896"</f>
        <v>060876000896</v>
      </c>
    </row>
    <row r="10060" spans="1:9" x14ac:dyDescent="0.25">
      <c r="A10060" t="s">
        <v>8778</v>
      </c>
      <c r="B10060" t="s">
        <v>13</v>
      </c>
      <c r="C10060">
        <v>25.5</v>
      </c>
      <c r="D10060">
        <v>26</v>
      </c>
      <c r="E10060" t="s">
        <v>17</v>
      </c>
      <c r="F10060">
        <v>25.53</v>
      </c>
      <c r="G10060">
        <v>25.46</v>
      </c>
      <c r="H10060" t="s">
        <v>17</v>
      </c>
      <c r="I10060" t="str">
        <f>"063684006273"</f>
        <v>063684006273</v>
      </c>
    </row>
    <row r="10061" spans="1:9" x14ac:dyDescent="0.25">
      <c r="A10061" t="s">
        <v>8779</v>
      </c>
      <c r="B10061" t="s">
        <v>13</v>
      </c>
      <c r="C10061">
        <v>19</v>
      </c>
      <c r="D10061">
        <v>18</v>
      </c>
      <c r="E10061" t="s">
        <v>17</v>
      </c>
      <c r="F10061">
        <v>26.68</v>
      </c>
      <c r="G10061">
        <v>26.67</v>
      </c>
      <c r="H10061" t="s">
        <v>17</v>
      </c>
      <c r="I10061" t="str">
        <f>"062847011354"</f>
        <v>062847011354</v>
      </c>
    </row>
    <row r="10062" spans="1:9" x14ac:dyDescent="0.25">
      <c r="A10062" t="s">
        <v>8779</v>
      </c>
      <c r="B10062" t="s">
        <v>13</v>
      </c>
      <c r="C10062">
        <v>18</v>
      </c>
      <c r="D10062">
        <v>20</v>
      </c>
      <c r="E10062" t="s">
        <v>17</v>
      </c>
      <c r="F10062">
        <v>27.56</v>
      </c>
      <c r="G10062">
        <v>25.4</v>
      </c>
      <c r="H10062" t="s">
        <v>17</v>
      </c>
      <c r="I10062" t="str">
        <f>"062970004625"</f>
        <v>062970004625</v>
      </c>
    </row>
    <row r="10063" spans="1:9" x14ac:dyDescent="0.25">
      <c r="A10063" t="s">
        <v>8779</v>
      </c>
      <c r="B10063" t="s">
        <v>13</v>
      </c>
      <c r="C10063">
        <v>21</v>
      </c>
      <c r="D10063">
        <v>18.399999999999999</v>
      </c>
      <c r="E10063" t="s">
        <v>17</v>
      </c>
      <c r="F10063">
        <v>21.52</v>
      </c>
      <c r="G10063">
        <v>21.79</v>
      </c>
      <c r="H10063" t="s">
        <v>17</v>
      </c>
      <c r="I10063" t="str">
        <f>"063432005564"</f>
        <v>063432005564</v>
      </c>
    </row>
    <row r="10064" spans="1:9" x14ac:dyDescent="0.25">
      <c r="A10064" t="s">
        <v>8779</v>
      </c>
      <c r="B10064" t="s">
        <v>13</v>
      </c>
      <c r="C10064">
        <v>23</v>
      </c>
      <c r="D10064">
        <v>23.2</v>
      </c>
      <c r="E10064" t="s">
        <v>17</v>
      </c>
      <c r="F10064">
        <v>24.83</v>
      </c>
      <c r="G10064">
        <v>25.09</v>
      </c>
      <c r="H10064" t="s">
        <v>17</v>
      </c>
      <c r="I10064" t="str">
        <f>"060681007655"</f>
        <v>060681007655</v>
      </c>
    </row>
    <row r="10065" spans="1:9" x14ac:dyDescent="0.25">
      <c r="A10065" t="s">
        <v>8779</v>
      </c>
      <c r="B10065" t="s">
        <v>13</v>
      </c>
      <c r="C10065">
        <v>27.78</v>
      </c>
      <c r="D10065">
        <v>28.57</v>
      </c>
      <c r="E10065" t="s">
        <v>17</v>
      </c>
      <c r="F10065">
        <v>23.22</v>
      </c>
      <c r="G10065">
        <v>23.49</v>
      </c>
      <c r="H10065" t="s">
        <v>17</v>
      </c>
      <c r="I10065" t="str">
        <f>"063513005960"</f>
        <v>063513005960</v>
      </c>
    </row>
    <row r="10066" spans="1:9" x14ac:dyDescent="0.25">
      <c r="A10066" t="s">
        <v>8780</v>
      </c>
      <c r="B10066" t="s">
        <v>13</v>
      </c>
      <c r="C10066">
        <v>52.81</v>
      </c>
      <c r="D10066">
        <v>55.8</v>
      </c>
      <c r="E10066" t="s">
        <v>17</v>
      </c>
      <c r="F10066">
        <v>26.76</v>
      </c>
      <c r="G10066">
        <v>25.75</v>
      </c>
      <c r="H10066" t="s">
        <v>17</v>
      </c>
      <c r="I10066" t="str">
        <f>"062580009159"</f>
        <v>062580009159</v>
      </c>
    </row>
    <row r="10067" spans="1:9" x14ac:dyDescent="0.25">
      <c r="A10067" t="s">
        <v>8781</v>
      </c>
      <c r="B10067" t="s">
        <v>13</v>
      </c>
      <c r="C10067">
        <v>2.04</v>
      </c>
      <c r="D10067">
        <v>2.2400000000000002</v>
      </c>
      <c r="E10067" t="s">
        <v>17</v>
      </c>
      <c r="F10067">
        <v>25.98</v>
      </c>
      <c r="G10067">
        <v>25.45</v>
      </c>
      <c r="H10067" t="s">
        <v>17</v>
      </c>
      <c r="I10067" t="str">
        <f>"061207010479"</f>
        <v>061207010479</v>
      </c>
    </row>
    <row r="10068" spans="1:9" x14ac:dyDescent="0.25">
      <c r="A10068" t="s">
        <v>8781</v>
      </c>
      <c r="B10068" t="s">
        <v>13</v>
      </c>
      <c r="C10068">
        <v>109.72</v>
      </c>
      <c r="D10068">
        <v>118.25</v>
      </c>
      <c r="E10068" t="s">
        <v>17</v>
      </c>
      <c r="F10068">
        <v>23.2</v>
      </c>
      <c r="G10068">
        <v>22.53</v>
      </c>
      <c r="H10068" t="s">
        <v>17</v>
      </c>
      <c r="I10068" t="str">
        <f>"064119006824"</f>
        <v>064119006824</v>
      </c>
    </row>
    <row r="10069" spans="1:9" x14ac:dyDescent="0.25">
      <c r="A10069" t="s">
        <v>8782</v>
      </c>
      <c r="B10069" t="s">
        <v>13</v>
      </c>
      <c r="C10069">
        <v>20.81</v>
      </c>
      <c r="D10069">
        <v>20.81</v>
      </c>
      <c r="E10069" t="s">
        <v>17</v>
      </c>
      <c r="F10069">
        <v>9.56</v>
      </c>
      <c r="G10069">
        <v>11.15</v>
      </c>
      <c r="H10069" t="s">
        <v>17</v>
      </c>
      <c r="I10069" t="str">
        <f>"063255010198"</f>
        <v>063255010198</v>
      </c>
    </row>
    <row r="10070" spans="1:9" x14ac:dyDescent="0.25">
      <c r="A10070" t="s">
        <v>8783</v>
      </c>
      <c r="B10070" t="s">
        <v>13</v>
      </c>
      <c r="C10070">
        <v>2</v>
      </c>
      <c r="D10070">
        <v>2</v>
      </c>
      <c r="E10070" t="s">
        <v>17</v>
      </c>
      <c r="F10070">
        <v>26</v>
      </c>
      <c r="G10070">
        <v>25.5</v>
      </c>
      <c r="H10070" t="s">
        <v>17</v>
      </c>
      <c r="I10070" t="str">
        <f>"061284008831"</f>
        <v>061284008831</v>
      </c>
    </row>
    <row r="10071" spans="1:9" x14ac:dyDescent="0.25">
      <c r="A10071" t="s">
        <v>8783</v>
      </c>
      <c r="B10071" t="s">
        <v>13</v>
      </c>
      <c r="C10071">
        <v>8</v>
      </c>
      <c r="D10071">
        <v>10</v>
      </c>
      <c r="E10071" t="s">
        <v>17</v>
      </c>
      <c r="F10071">
        <v>23.25</v>
      </c>
      <c r="G10071">
        <v>17.600000000000001</v>
      </c>
      <c r="H10071" t="s">
        <v>17</v>
      </c>
      <c r="I10071" t="str">
        <f>"062316003540"</f>
        <v>062316003540</v>
      </c>
    </row>
    <row r="10072" spans="1:9" x14ac:dyDescent="0.25">
      <c r="A10072" t="s">
        <v>8784</v>
      </c>
      <c r="B10072" t="s">
        <v>13</v>
      </c>
      <c r="C10072">
        <v>28</v>
      </c>
      <c r="D10072">
        <v>25</v>
      </c>
      <c r="E10072" t="s">
        <v>17</v>
      </c>
      <c r="F10072">
        <v>24.46</v>
      </c>
      <c r="G10072">
        <v>27.04</v>
      </c>
      <c r="H10072" t="s">
        <v>17</v>
      </c>
      <c r="I10072" t="str">
        <f>"062133002556"</f>
        <v>062133002556</v>
      </c>
    </row>
    <row r="10073" spans="1:9" x14ac:dyDescent="0.25">
      <c r="A10073" t="s">
        <v>8785</v>
      </c>
      <c r="B10073" t="s">
        <v>13</v>
      </c>
      <c r="C10073">
        <v>28</v>
      </c>
      <c r="D10073">
        <v>27.21</v>
      </c>
      <c r="E10073" t="s">
        <v>17</v>
      </c>
      <c r="F10073">
        <v>21.93</v>
      </c>
      <c r="G10073">
        <v>22.23</v>
      </c>
      <c r="H10073" t="s">
        <v>17</v>
      </c>
      <c r="I10073" t="str">
        <f>"064119012147"</f>
        <v>064119012147</v>
      </c>
    </row>
    <row r="10074" spans="1:9" x14ac:dyDescent="0.25">
      <c r="A10074" t="s">
        <v>8786</v>
      </c>
      <c r="B10074" t="s">
        <v>13</v>
      </c>
      <c r="C10074">
        <v>64</v>
      </c>
      <c r="D10074">
        <v>85.01</v>
      </c>
      <c r="E10074" t="s">
        <v>17</v>
      </c>
      <c r="F10074">
        <v>23.41</v>
      </c>
      <c r="G10074">
        <v>18.22</v>
      </c>
      <c r="H10074" t="s">
        <v>17</v>
      </c>
      <c r="I10074" t="str">
        <f>"062271010859"</f>
        <v>062271010859</v>
      </c>
    </row>
    <row r="10075" spans="1:9" x14ac:dyDescent="0.25">
      <c r="A10075" t="s">
        <v>8787</v>
      </c>
      <c r="B10075" t="s">
        <v>13</v>
      </c>
      <c r="C10075">
        <v>119.62</v>
      </c>
      <c r="D10075">
        <v>122.7</v>
      </c>
      <c r="E10075" t="s">
        <v>17</v>
      </c>
      <c r="F10075">
        <v>27.78</v>
      </c>
      <c r="G10075">
        <v>26.3</v>
      </c>
      <c r="H10075" t="s">
        <v>17</v>
      </c>
      <c r="I10075" t="str">
        <f>"060002911249"</f>
        <v>060002911249</v>
      </c>
    </row>
    <row r="10076" spans="1:9" x14ac:dyDescent="0.25">
      <c r="A10076" t="s">
        <v>8788</v>
      </c>
      <c r="B10076" t="s">
        <v>13</v>
      </c>
      <c r="C10076">
        <v>9</v>
      </c>
      <c r="D10076">
        <v>11.4</v>
      </c>
      <c r="E10076" t="s">
        <v>17</v>
      </c>
      <c r="F10076">
        <v>17.11</v>
      </c>
      <c r="G10076">
        <v>13.86</v>
      </c>
      <c r="H10076" t="s">
        <v>17</v>
      </c>
      <c r="I10076" t="str">
        <f>"060133210598"</f>
        <v>060133210598</v>
      </c>
    </row>
    <row r="10077" spans="1:9" x14ac:dyDescent="0.25">
      <c r="A10077" t="s">
        <v>8789</v>
      </c>
      <c r="B10077" t="s">
        <v>13</v>
      </c>
      <c r="C10077">
        <v>19</v>
      </c>
      <c r="D10077">
        <v>20.5</v>
      </c>
      <c r="E10077" t="s">
        <v>17</v>
      </c>
      <c r="F10077">
        <v>22.37</v>
      </c>
      <c r="G10077">
        <v>20.29</v>
      </c>
      <c r="H10077" t="s">
        <v>17</v>
      </c>
      <c r="I10077" t="str">
        <f>"063198004922"</f>
        <v>063198004922</v>
      </c>
    </row>
    <row r="10078" spans="1:9" x14ac:dyDescent="0.25">
      <c r="A10078" t="s">
        <v>8790</v>
      </c>
      <c r="B10078" t="s">
        <v>13</v>
      </c>
      <c r="C10078">
        <v>26.01</v>
      </c>
      <c r="D10078">
        <v>21.05</v>
      </c>
      <c r="E10078" t="s">
        <v>17</v>
      </c>
      <c r="F10078">
        <v>24.53</v>
      </c>
      <c r="G10078">
        <v>31.69</v>
      </c>
      <c r="H10078" t="s">
        <v>17</v>
      </c>
      <c r="I10078" t="str">
        <f>"069104711537"</f>
        <v>069104711537</v>
      </c>
    </row>
    <row r="10079" spans="1:9" x14ac:dyDescent="0.25">
      <c r="A10079" t="s">
        <v>8791</v>
      </c>
      <c r="B10079" t="s">
        <v>13</v>
      </c>
      <c r="C10079">
        <v>30</v>
      </c>
      <c r="D10079">
        <v>29</v>
      </c>
      <c r="E10079" t="s">
        <v>17</v>
      </c>
      <c r="F10079">
        <v>25.57</v>
      </c>
      <c r="G10079">
        <v>26.97</v>
      </c>
      <c r="H10079" t="s">
        <v>17</v>
      </c>
      <c r="I10079" t="str">
        <f>"064281009209"</f>
        <v>064281009209</v>
      </c>
    </row>
    <row r="10080" spans="1:9" x14ac:dyDescent="0.25">
      <c r="A10080" t="s">
        <v>8792</v>
      </c>
      <c r="B10080" t="s">
        <v>13</v>
      </c>
      <c r="C10080">
        <v>27</v>
      </c>
      <c r="D10080">
        <v>27</v>
      </c>
      <c r="E10080" t="s">
        <v>17</v>
      </c>
      <c r="F10080">
        <v>20.260000000000002</v>
      </c>
      <c r="G10080">
        <v>21.7</v>
      </c>
      <c r="H10080" t="s">
        <v>17</v>
      </c>
      <c r="I10080" t="str">
        <f>"060861000882"</f>
        <v>060861000882</v>
      </c>
    </row>
    <row r="10081" spans="1:9" x14ac:dyDescent="0.25">
      <c r="A10081" t="s">
        <v>8793</v>
      </c>
      <c r="B10081" t="s">
        <v>13</v>
      </c>
      <c r="C10081">
        <v>31.38</v>
      </c>
      <c r="D10081">
        <v>32.28</v>
      </c>
      <c r="E10081" t="s">
        <v>17</v>
      </c>
      <c r="F10081">
        <v>29.83</v>
      </c>
      <c r="G10081">
        <v>29.4</v>
      </c>
      <c r="H10081" t="s">
        <v>17</v>
      </c>
      <c r="I10081" t="str">
        <f>"068450007070"</f>
        <v>068450007070</v>
      </c>
    </row>
    <row r="10082" spans="1:9" x14ac:dyDescent="0.25">
      <c r="A10082" t="s">
        <v>8794</v>
      </c>
      <c r="B10082" t="s">
        <v>13</v>
      </c>
      <c r="C10082">
        <v>27</v>
      </c>
      <c r="D10082">
        <v>27</v>
      </c>
      <c r="E10082" t="s">
        <v>17</v>
      </c>
      <c r="F10082">
        <v>29</v>
      </c>
      <c r="G10082">
        <v>30.04</v>
      </c>
      <c r="H10082" t="s">
        <v>17</v>
      </c>
      <c r="I10082" t="str">
        <f>"063697011744"</f>
        <v>063697011744</v>
      </c>
    </row>
    <row r="10083" spans="1:9" x14ac:dyDescent="0.25">
      <c r="A10083" t="s">
        <v>8795</v>
      </c>
      <c r="B10083" t="s">
        <v>13</v>
      </c>
      <c r="C10083">
        <v>39.01</v>
      </c>
      <c r="D10083">
        <v>35.700000000000003</v>
      </c>
      <c r="E10083" t="s">
        <v>17</v>
      </c>
      <c r="F10083">
        <v>19.07</v>
      </c>
      <c r="G10083">
        <v>19.940000000000001</v>
      </c>
      <c r="H10083" t="s">
        <v>17</v>
      </c>
      <c r="I10083" t="str">
        <f>"061608002266"</f>
        <v>061608002266</v>
      </c>
    </row>
    <row r="10084" spans="1:9" x14ac:dyDescent="0.25">
      <c r="A10084" t="s">
        <v>8795</v>
      </c>
      <c r="B10084" t="s">
        <v>13</v>
      </c>
      <c r="C10084">
        <v>36</v>
      </c>
      <c r="D10084">
        <v>37</v>
      </c>
      <c r="E10084" t="s">
        <v>17</v>
      </c>
      <c r="F10084">
        <v>26.06</v>
      </c>
      <c r="G10084">
        <v>25.49</v>
      </c>
      <c r="H10084" t="s">
        <v>17</v>
      </c>
      <c r="I10084" t="str">
        <f>"069113501028"</f>
        <v>069113501028</v>
      </c>
    </row>
    <row r="10085" spans="1:9" x14ac:dyDescent="0.25">
      <c r="A10085" t="s">
        <v>8796</v>
      </c>
      <c r="B10085" t="s">
        <v>13</v>
      </c>
      <c r="C10085">
        <v>31.5</v>
      </c>
      <c r="D10085">
        <v>32.5</v>
      </c>
      <c r="E10085" t="s">
        <v>17</v>
      </c>
      <c r="F10085">
        <v>23.68</v>
      </c>
      <c r="G10085">
        <v>22.74</v>
      </c>
      <c r="H10085" t="s">
        <v>17</v>
      </c>
      <c r="I10085" t="str">
        <f>"062814004350"</f>
        <v>062814004350</v>
      </c>
    </row>
    <row r="10086" spans="1:9" x14ac:dyDescent="0.25">
      <c r="A10086" t="s">
        <v>8797</v>
      </c>
      <c r="B10086" t="s">
        <v>13</v>
      </c>
      <c r="C10086">
        <v>7</v>
      </c>
      <c r="D10086" t="s">
        <v>14</v>
      </c>
      <c r="E10086" t="s">
        <v>14</v>
      </c>
      <c r="F10086">
        <v>19.57</v>
      </c>
      <c r="G10086" t="s">
        <v>14</v>
      </c>
      <c r="H10086" t="s">
        <v>14</v>
      </c>
      <c r="I10086" t="str">
        <f>"064119013151"</f>
        <v>064119013151</v>
      </c>
    </row>
    <row r="10087" spans="1:9" x14ac:dyDescent="0.25">
      <c r="A10087" t="s">
        <v>8798</v>
      </c>
      <c r="B10087" t="s">
        <v>13</v>
      </c>
      <c r="C10087">
        <v>18.32</v>
      </c>
      <c r="D10087">
        <v>16.96</v>
      </c>
      <c r="E10087" t="s">
        <v>17</v>
      </c>
      <c r="F10087">
        <v>16.87</v>
      </c>
      <c r="G10087">
        <v>14.56</v>
      </c>
      <c r="H10087" t="s">
        <v>17</v>
      </c>
      <c r="I10087" t="str">
        <f>"061954009145"</f>
        <v>061954009145</v>
      </c>
    </row>
    <row r="10088" spans="1:9" x14ac:dyDescent="0.25">
      <c r="A10088" t="s">
        <v>8799</v>
      </c>
      <c r="B10088" t="s">
        <v>13</v>
      </c>
      <c r="C10088">
        <v>9.5</v>
      </c>
      <c r="D10088" t="s">
        <v>14</v>
      </c>
      <c r="E10088" t="s">
        <v>14</v>
      </c>
      <c r="F10088">
        <v>26</v>
      </c>
      <c r="G10088" t="s">
        <v>14</v>
      </c>
      <c r="H10088" t="s">
        <v>14</v>
      </c>
      <c r="I10088" t="str">
        <f>"062271013133"</f>
        <v>062271013133</v>
      </c>
    </row>
    <row r="10089" spans="1:9" x14ac:dyDescent="0.25">
      <c r="A10089" t="s">
        <v>8800</v>
      </c>
      <c r="B10089" t="s">
        <v>13</v>
      </c>
      <c r="C10089">
        <v>4.2</v>
      </c>
      <c r="D10089">
        <v>6</v>
      </c>
      <c r="E10089" t="s">
        <v>17</v>
      </c>
      <c r="F10089">
        <v>24.05</v>
      </c>
      <c r="G10089">
        <v>18.329999999999998</v>
      </c>
      <c r="H10089" t="s">
        <v>17</v>
      </c>
      <c r="I10089" t="str">
        <f>"060567006481"</f>
        <v>060567006481</v>
      </c>
    </row>
    <row r="10090" spans="1:9" x14ac:dyDescent="0.25">
      <c r="A10090" t="s">
        <v>8801</v>
      </c>
      <c r="B10090" t="s">
        <v>13</v>
      </c>
      <c r="C10090">
        <v>16</v>
      </c>
      <c r="D10090">
        <v>12</v>
      </c>
      <c r="E10090" t="s">
        <v>17</v>
      </c>
      <c r="F10090">
        <v>22.06</v>
      </c>
      <c r="G10090">
        <v>26.33</v>
      </c>
      <c r="H10090" t="s">
        <v>17</v>
      </c>
      <c r="I10090" t="str">
        <f>"061437012031"</f>
        <v>061437012031</v>
      </c>
    </row>
    <row r="10091" spans="1:9" x14ac:dyDescent="0.25">
      <c r="A10091" t="s">
        <v>8802</v>
      </c>
      <c r="B10091" t="s">
        <v>13</v>
      </c>
      <c r="C10091">
        <v>14</v>
      </c>
      <c r="D10091">
        <v>14</v>
      </c>
      <c r="E10091" t="s">
        <v>17</v>
      </c>
      <c r="F10091">
        <v>29.71</v>
      </c>
      <c r="G10091">
        <v>29.86</v>
      </c>
      <c r="H10091" t="s">
        <v>17</v>
      </c>
      <c r="I10091" t="str">
        <f>"062274003485"</f>
        <v>062274003485</v>
      </c>
    </row>
    <row r="10092" spans="1:9" x14ac:dyDescent="0.25">
      <c r="A10092" t="s">
        <v>8803</v>
      </c>
      <c r="B10092" t="s">
        <v>13</v>
      </c>
      <c r="C10092">
        <v>13</v>
      </c>
      <c r="D10092">
        <v>13</v>
      </c>
      <c r="E10092" t="s">
        <v>17</v>
      </c>
      <c r="F10092">
        <v>27.85</v>
      </c>
      <c r="G10092">
        <v>26</v>
      </c>
      <c r="H10092" t="s">
        <v>17</v>
      </c>
      <c r="I10092" t="str">
        <f>"062720004101"</f>
        <v>062720004101</v>
      </c>
    </row>
    <row r="10093" spans="1:9" x14ac:dyDescent="0.25">
      <c r="A10093" t="s">
        <v>8804</v>
      </c>
      <c r="B10093" t="s">
        <v>13</v>
      </c>
      <c r="C10093">
        <v>41.37</v>
      </c>
      <c r="D10093">
        <v>42.78</v>
      </c>
      <c r="E10093" t="s">
        <v>17</v>
      </c>
      <c r="F10093">
        <v>21.8</v>
      </c>
      <c r="G10093">
        <v>22.07</v>
      </c>
      <c r="H10093" t="s">
        <v>17</v>
      </c>
      <c r="I10093" t="str">
        <f>"060363000319"</f>
        <v>060363000319</v>
      </c>
    </row>
    <row r="10094" spans="1:9" x14ac:dyDescent="0.25">
      <c r="A10094" t="s">
        <v>8805</v>
      </c>
      <c r="B10094" t="s">
        <v>13</v>
      </c>
      <c r="C10094">
        <v>26</v>
      </c>
      <c r="D10094">
        <v>25.5</v>
      </c>
      <c r="E10094" t="s">
        <v>17</v>
      </c>
      <c r="F10094">
        <v>27.73</v>
      </c>
      <c r="G10094">
        <v>26.86</v>
      </c>
      <c r="H10094" t="s">
        <v>17</v>
      </c>
      <c r="I10094" t="str">
        <f>"061605009551"</f>
        <v>061605009551</v>
      </c>
    </row>
    <row r="10095" spans="1:9" x14ac:dyDescent="0.25">
      <c r="A10095" t="s">
        <v>8806</v>
      </c>
      <c r="B10095" t="s">
        <v>13</v>
      </c>
      <c r="C10095">
        <v>19</v>
      </c>
      <c r="D10095">
        <v>18</v>
      </c>
      <c r="E10095" t="s">
        <v>17</v>
      </c>
      <c r="F10095">
        <v>23.84</v>
      </c>
      <c r="G10095">
        <v>24.67</v>
      </c>
      <c r="H10095" t="s">
        <v>17</v>
      </c>
      <c r="I10095" t="str">
        <f>"060681000616"</f>
        <v>060681000616</v>
      </c>
    </row>
    <row r="10096" spans="1:9" x14ac:dyDescent="0.25">
      <c r="A10096" t="s">
        <v>8807</v>
      </c>
      <c r="B10096" t="s">
        <v>13</v>
      </c>
      <c r="C10096" t="s">
        <v>14</v>
      </c>
      <c r="D10096" t="s">
        <v>14</v>
      </c>
      <c r="E10096" t="s">
        <v>17</v>
      </c>
      <c r="F10096" t="s">
        <v>14</v>
      </c>
      <c r="G10096" t="s">
        <v>14</v>
      </c>
      <c r="H10096" t="s">
        <v>17</v>
      </c>
      <c r="I10096" t="str">
        <f>"061458008472"</f>
        <v>061458008472</v>
      </c>
    </row>
    <row r="10097" spans="1:9" x14ac:dyDescent="0.25">
      <c r="A10097" t="s">
        <v>8807</v>
      </c>
      <c r="B10097" t="s">
        <v>13</v>
      </c>
      <c r="C10097">
        <v>18.100000000000001</v>
      </c>
      <c r="D10097">
        <v>18.600000000000001</v>
      </c>
      <c r="E10097" t="s">
        <v>14</v>
      </c>
      <c r="F10097">
        <v>22.21</v>
      </c>
      <c r="G10097">
        <v>22.69</v>
      </c>
      <c r="H10097" t="s">
        <v>14</v>
      </c>
      <c r="I10097" t="str">
        <f>"060141508472"</f>
        <v>060141508472</v>
      </c>
    </row>
    <row r="10098" spans="1:9" x14ac:dyDescent="0.25">
      <c r="A10098" t="s">
        <v>8808</v>
      </c>
      <c r="B10098" t="s">
        <v>13</v>
      </c>
      <c r="C10098">
        <v>30.6</v>
      </c>
      <c r="D10098">
        <v>31</v>
      </c>
      <c r="E10098" t="s">
        <v>17</v>
      </c>
      <c r="F10098">
        <v>23.4</v>
      </c>
      <c r="G10098">
        <v>24.45</v>
      </c>
      <c r="H10098" t="s">
        <v>17</v>
      </c>
      <c r="I10098" t="str">
        <f>"061389001577"</f>
        <v>061389001577</v>
      </c>
    </row>
    <row r="10099" spans="1:9" x14ac:dyDescent="0.25">
      <c r="A10099" t="s">
        <v>8809</v>
      </c>
      <c r="B10099" t="s">
        <v>13</v>
      </c>
      <c r="C10099">
        <v>20.5</v>
      </c>
      <c r="D10099">
        <v>22</v>
      </c>
      <c r="E10099" t="s">
        <v>17</v>
      </c>
      <c r="F10099">
        <v>31.02</v>
      </c>
      <c r="G10099">
        <v>29.55</v>
      </c>
      <c r="H10099" t="s">
        <v>17</v>
      </c>
      <c r="I10099" t="str">
        <f>"064015006644"</f>
        <v>064015006644</v>
      </c>
    </row>
    <row r="10100" spans="1:9" x14ac:dyDescent="0.25">
      <c r="A10100" t="s">
        <v>8810</v>
      </c>
      <c r="B10100" t="s">
        <v>13</v>
      </c>
      <c r="C10100">
        <v>12</v>
      </c>
      <c r="D10100">
        <v>14</v>
      </c>
      <c r="E10100" t="s">
        <v>17</v>
      </c>
      <c r="F10100">
        <v>22.92</v>
      </c>
      <c r="G10100">
        <v>22.86</v>
      </c>
      <c r="H10100" t="s">
        <v>17</v>
      </c>
      <c r="I10100" t="str">
        <f>"060360000282"</f>
        <v>060360000282</v>
      </c>
    </row>
    <row r="10101" spans="1:9" x14ac:dyDescent="0.25">
      <c r="A10101" t="s">
        <v>8811</v>
      </c>
      <c r="B10101" t="s">
        <v>13</v>
      </c>
      <c r="C10101">
        <v>19.09</v>
      </c>
      <c r="D10101">
        <v>20.09</v>
      </c>
      <c r="E10101" t="s">
        <v>17</v>
      </c>
      <c r="F10101">
        <v>23.21</v>
      </c>
      <c r="G10101">
        <v>21.3</v>
      </c>
      <c r="H10101" t="s">
        <v>17</v>
      </c>
      <c r="I10101" t="str">
        <f>"060000608776"</f>
        <v>060000608776</v>
      </c>
    </row>
    <row r="10102" spans="1:9" x14ac:dyDescent="0.25">
      <c r="A10102" t="s">
        <v>8812</v>
      </c>
      <c r="B10102" t="s">
        <v>13</v>
      </c>
      <c r="C10102">
        <v>34</v>
      </c>
      <c r="D10102">
        <v>32.01</v>
      </c>
      <c r="E10102" t="s">
        <v>17</v>
      </c>
      <c r="F10102">
        <v>22.44</v>
      </c>
      <c r="G10102">
        <v>25.4</v>
      </c>
      <c r="H10102" t="s">
        <v>17</v>
      </c>
      <c r="I10102" t="str">
        <f>"062271003441"</f>
        <v>062271003441</v>
      </c>
    </row>
    <row r="10103" spans="1:9" x14ac:dyDescent="0.25">
      <c r="A10103" t="s">
        <v>8813</v>
      </c>
      <c r="B10103" t="s">
        <v>13</v>
      </c>
      <c r="C10103">
        <v>17.5</v>
      </c>
      <c r="D10103">
        <v>18</v>
      </c>
      <c r="E10103" t="s">
        <v>17</v>
      </c>
      <c r="F10103">
        <v>20.91</v>
      </c>
      <c r="G10103">
        <v>19.11</v>
      </c>
      <c r="H10103" t="s">
        <v>17</v>
      </c>
      <c r="I10103" t="str">
        <f>"062886007077"</f>
        <v>062886007077</v>
      </c>
    </row>
    <row r="10104" spans="1:9" x14ac:dyDescent="0.25">
      <c r="A10104" t="s">
        <v>8814</v>
      </c>
      <c r="B10104" t="s">
        <v>13</v>
      </c>
      <c r="C10104">
        <v>19.04</v>
      </c>
      <c r="D10104">
        <v>19.3</v>
      </c>
      <c r="E10104" t="s">
        <v>17</v>
      </c>
      <c r="F10104">
        <v>25.58</v>
      </c>
      <c r="G10104">
        <v>24.72</v>
      </c>
      <c r="H10104" t="s">
        <v>17</v>
      </c>
      <c r="I10104" t="str">
        <f>"062223009895"</f>
        <v>062223009895</v>
      </c>
    </row>
    <row r="10105" spans="1:9" x14ac:dyDescent="0.25">
      <c r="A10105" t="s">
        <v>8815</v>
      </c>
      <c r="B10105" t="s">
        <v>13</v>
      </c>
      <c r="C10105">
        <v>21.82</v>
      </c>
      <c r="D10105">
        <v>25.63</v>
      </c>
      <c r="E10105" t="s">
        <v>17</v>
      </c>
      <c r="F10105">
        <v>30.02</v>
      </c>
      <c r="G10105">
        <v>27.51</v>
      </c>
      <c r="H10105" t="s">
        <v>17</v>
      </c>
      <c r="I10105" t="str">
        <f>"060744007188"</f>
        <v>060744007188</v>
      </c>
    </row>
    <row r="10106" spans="1:9" x14ac:dyDescent="0.25">
      <c r="A10106" t="s">
        <v>8816</v>
      </c>
      <c r="B10106" t="s">
        <v>13</v>
      </c>
      <c r="C10106">
        <v>38.5</v>
      </c>
      <c r="D10106">
        <v>39</v>
      </c>
      <c r="E10106" t="s">
        <v>17</v>
      </c>
      <c r="F10106">
        <v>18.86</v>
      </c>
      <c r="G10106">
        <v>18.59</v>
      </c>
      <c r="H10106" t="s">
        <v>17</v>
      </c>
      <c r="I10106" t="str">
        <f>"060015811512"</f>
        <v>060015811512</v>
      </c>
    </row>
    <row r="10107" spans="1:9" x14ac:dyDescent="0.25">
      <c r="A10107" t="s">
        <v>8817</v>
      </c>
      <c r="B10107" t="s">
        <v>13</v>
      </c>
      <c r="C10107">
        <v>16.5</v>
      </c>
      <c r="D10107">
        <v>15.5</v>
      </c>
      <c r="E10107" t="s">
        <v>17</v>
      </c>
      <c r="F10107">
        <v>23.7</v>
      </c>
      <c r="G10107">
        <v>25.42</v>
      </c>
      <c r="H10107" t="s">
        <v>17</v>
      </c>
      <c r="I10107" t="str">
        <f>"061488001885"</f>
        <v>061488001885</v>
      </c>
    </row>
    <row r="10108" spans="1:9" x14ac:dyDescent="0.25">
      <c r="A10108" t="s">
        <v>8818</v>
      </c>
      <c r="B10108" t="s">
        <v>13</v>
      </c>
      <c r="C10108">
        <v>7.2</v>
      </c>
      <c r="D10108">
        <v>5</v>
      </c>
      <c r="E10108" t="s">
        <v>14</v>
      </c>
      <c r="F10108">
        <v>20.14</v>
      </c>
      <c r="G10108">
        <v>23.8</v>
      </c>
      <c r="H10108" t="s">
        <v>14</v>
      </c>
      <c r="I10108" t="str">
        <f>"069100812983"</f>
        <v>069100812983</v>
      </c>
    </row>
    <row r="10109" spans="1:9" x14ac:dyDescent="0.25">
      <c r="A10109" t="s">
        <v>8819</v>
      </c>
      <c r="B10109" t="s">
        <v>13</v>
      </c>
      <c r="C10109">
        <v>12</v>
      </c>
      <c r="D10109">
        <v>13</v>
      </c>
      <c r="E10109" t="s">
        <v>17</v>
      </c>
      <c r="F10109">
        <v>24.58</v>
      </c>
      <c r="G10109">
        <v>25.69</v>
      </c>
      <c r="H10109" t="s">
        <v>17</v>
      </c>
      <c r="I10109" t="str">
        <f>"060994001084"</f>
        <v>060994001084</v>
      </c>
    </row>
    <row r="10110" spans="1:9" x14ac:dyDescent="0.25">
      <c r="A10110" t="s">
        <v>8820</v>
      </c>
      <c r="B10110" t="s">
        <v>13</v>
      </c>
      <c r="C10110">
        <v>18.5</v>
      </c>
      <c r="D10110">
        <v>17</v>
      </c>
      <c r="E10110" t="s">
        <v>17</v>
      </c>
      <c r="F10110">
        <v>19.41</v>
      </c>
      <c r="G10110">
        <v>20.12</v>
      </c>
      <c r="H10110" t="s">
        <v>17</v>
      </c>
      <c r="I10110" t="str">
        <f>"062271003442"</f>
        <v>062271003442</v>
      </c>
    </row>
    <row r="10111" spans="1:9" x14ac:dyDescent="0.25">
      <c r="A10111" t="s">
        <v>8821</v>
      </c>
      <c r="B10111" t="s">
        <v>13</v>
      </c>
      <c r="C10111">
        <v>21</v>
      </c>
      <c r="D10111">
        <v>23</v>
      </c>
      <c r="E10111" t="s">
        <v>17</v>
      </c>
      <c r="F10111">
        <v>26.62</v>
      </c>
      <c r="G10111">
        <v>25.3</v>
      </c>
      <c r="H10111" t="s">
        <v>17</v>
      </c>
      <c r="I10111" t="str">
        <f>"063531002346"</f>
        <v>063531002346</v>
      </c>
    </row>
    <row r="10112" spans="1:9" x14ac:dyDescent="0.25">
      <c r="A10112" t="s">
        <v>8821</v>
      </c>
      <c r="B10112" t="s">
        <v>13</v>
      </c>
      <c r="C10112">
        <v>25</v>
      </c>
      <c r="D10112">
        <v>27.6</v>
      </c>
      <c r="E10112" t="s">
        <v>17</v>
      </c>
      <c r="F10112">
        <v>22.76</v>
      </c>
      <c r="G10112">
        <v>20.399999999999999</v>
      </c>
      <c r="H10112" t="s">
        <v>17</v>
      </c>
      <c r="I10112" t="str">
        <f>"063432005565"</f>
        <v>063432005565</v>
      </c>
    </row>
    <row r="10113" spans="1:9" x14ac:dyDescent="0.25">
      <c r="A10113" t="s">
        <v>8822</v>
      </c>
      <c r="B10113" t="s">
        <v>13</v>
      </c>
      <c r="C10113">
        <v>38.590000000000003</v>
      </c>
      <c r="D10113">
        <v>41.02</v>
      </c>
      <c r="E10113" t="s">
        <v>17</v>
      </c>
      <c r="F10113">
        <v>29.52</v>
      </c>
      <c r="G10113">
        <v>26.28</v>
      </c>
      <c r="H10113" t="s">
        <v>17</v>
      </c>
      <c r="I10113" t="str">
        <f>"060263000191"</f>
        <v>060263000191</v>
      </c>
    </row>
    <row r="10114" spans="1:9" x14ac:dyDescent="0.25">
      <c r="A10114" t="s">
        <v>8823</v>
      </c>
      <c r="B10114" t="s">
        <v>13</v>
      </c>
      <c r="C10114" t="s">
        <v>17</v>
      </c>
      <c r="D10114" t="s">
        <v>17</v>
      </c>
      <c r="E10114" t="s">
        <v>17</v>
      </c>
      <c r="F10114" t="s">
        <v>17</v>
      </c>
      <c r="G10114" t="s">
        <v>17</v>
      </c>
      <c r="H10114" t="s">
        <v>17</v>
      </c>
      <c r="I10114" t="str">
        <f>"061187007548"</f>
        <v>061187007548</v>
      </c>
    </row>
    <row r="10115" spans="1:9" x14ac:dyDescent="0.25">
      <c r="A10115" t="s">
        <v>8824</v>
      </c>
      <c r="B10115" t="s">
        <v>13</v>
      </c>
      <c r="C10115">
        <v>25</v>
      </c>
      <c r="D10115">
        <v>30</v>
      </c>
      <c r="E10115" t="s">
        <v>17</v>
      </c>
      <c r="F10115">
        <v>29.84</v>
      </c>
      <c r="G10115">
        <v>24.97</v>
      </c>
      <c r="H10115" t="s">
        <v>17</v>
      </c>
      <c r="I10115" t="str">
        <f>"063531007198"</f>
        <v>063531007198</v>
      </c>
    </row>
    <row r="10116" spans="1:9" x14ac:dyDescent="0.25">
      <c r="A10116" t="s">
        <v>8825</v>
      </c>
      <c r="B10116" t="s">
        <v>13</v>
      </c>
      <c r="C10116">
        <v>16.55</v>
      </c>
      <c r="D10116">
        <v>18.55</v>
      </c>
      <c r="E10116" t="s">
        <v>17</v>
      </c>
      <c r="F10116">
        <v>29.18</v>
      </c>
      <c r="G10116">
        <v>27.06</v>
      </c>
      <c r="H10116" t="s">
        <v>17</v>
      </c>
      <c r="I10116" t="str">
        <f>"064245006944"</f>
        <v>064245006944</v>
      </c>
    </row>
    <row r="10117" spans="1:9" x14ac:dyDescent="0.25">
      <c r="A10117" t="s">
        <v>8826</v>
      </c>
      <c r="B10117" t="s">
        <v>13</v>
      </c>
      <c r="C10117">
        <v>29.84</v>
      </c>
      <c r="D10117">
        <v>30.05</v>
      </c>
      <c r="E10117" t="s">
        <v>17</v>
      </c>
      <c r="F10117">
        <v>21.35</v>
      </c>
      <c r="G10117">
        <v>21.23</v>
      </c>
      <c r="H10117" t="s">
        <v>17</v>
      </c>
      <c r="I10117" t="str">
        <f>"063441007845"</f>
        <v>063441007845</v>
      </c>
    </row>
    <row r="10118" spans="1:9" x14ac:dyDescent="0.25">
      <c r="A10118" t="s">
        <v>8827</v>
      </c>
      <c r="B10118" t="s">
        <v>13</v>
      </c>
      <c r="C10118">
        <v>23</v>
      </c>
      <c r="D10118">
        <v>16.5</v>
      </c>
      <c r="E10118" t="s">
        <v>17</v>
      </c>
      <c r="F10118">
        <v>15.61</v>
      </c>
      <c r="G10118">
        <v>26.55</v>
      </c>
      <c r="H10118" t="s">
        <v>17</v>
      </c>
      <c r="I10118" t="str">
        <f>"062271011365"</f>
        <v>062271011365</v>
      </c>
    </row>
    <row r="10119" spans="1:9" x14ac:dyDescent="0.25">
      <c r="A10119" t="s">
        <v>8828</v>
      </c>
      <c r="B10119" t="s">
        <v>13</v>
      </c>
      <c r="C10119">
        <v>23.38</v>
      </c>
      <c r="D10119">
        <v>21.28</v>
      </c>
      <c r="E10119" t="s">
        <v>17</v>
      </c>
      <c r="F10119">
        <v>25.11</v>
      </c>
      <c r="G10119">
        <v>28.52</v>
      </c>
      <c r="H10119" t="s">
        <v>17</v>
      </c>
      <c r="I10119" t="str">
        <f>"062637003980"</f>
        <v>062637003980</v>
      </c>
    </row>
    <row r="10120" spans="1:9" x14ac:dyDescent="0.25">
      <c r="A10120" t="s">
        <v>8829</v>
      </c>
      <c r="B10120" t="s">
        <v>13</v>
      </c>
      <c r="C10120">
        <v>31.25</v>
      </c>
      <c r="D10120">
        <v>31.59</v>
      </c>
      <c r="E10120" t="s">
        <v>17</v>
      </c>
      <c r="F10120">
        <v>25.63</v>
      </c>
      <c r="G10120">
        <v>24.66</v>
      </c>
      <c r="H10120" t="s">
        <v>17</v>
      </c>
      <c r="I10120" t="str">
        <f>"060846000847"</f>
        <v>060846000847</v>
      </c>
    </row>
    <row r="10121" spans="1:9" x14ac:dyDescent="0.25">
      <c r="A10121" t="s">
        <v>8830</v>
      </c>
      <c r="B10121" t="s">
        <v>13</v>
      </c>
      <c r="C10121">
        <v>20.100000000000001</v>
      </c>
      <c r="D10121">
        <v>19.5</v>
      </c>
      <c r="E10121" t="s">
        <v>17</v>
      </c>
      <c r="F10121">
        <v>25.72</v>
      </c>
      <c r="G10121">
        <v>26.72</v>
      </c>
      <c r="H10121" t="s">
        <v>17</v>
      </c>
      <c r="I10121" t="str">
        <f>"062569007935"</f>
        <v>062569007935</v>
      </c>
    </row>
    <row r="10122" spans="1:9" x14ac:dyDescent="0.25">
      <c r="A10122" t="s">
        <v>8831</v>
      </c>
      <c r="B10122" t="s">
        <v>13</v>
      </c>
      <c r="C10122">
        <v>45.27</v>
      </c>
      <c r="D10122">
        <v>46.03</v>
      </c>
      <c r="E10122" t="s">
        <v>17</v>
      </c>
      <c r="F10122">
        <v>25.89</v>
      </c>
      <c r="G10122">
        <v>25.14</v>
      </c>
      <c r="H10122" t="s">
        <v>17</v>
      </c>
      <c r="I10122" t="str">
        <f>"064125006831"</f>
        <v>064125006831</v>
      </c>
    </row>
    <row r="10123" spans="1:9" x14ac:dyDescent="0.25">
      <c r="A10123" t="s">
        <v>8832</v>
      </c>
      <c r="B10123" t="s">
        <v>13</v>
      </c>
      <c r="C10123">
        <v>16</v>
      </c>
      <c r="D10123">
        <v>16.079999999999998</v>
      </c>
      <c r="E10123" t="s">
        <v>17</v>
      </c>
      <c r="F10123">
        <v>24.63</v>
      </c>
      <c r="G10123">
        <v>21.27</v>
      </c>
      <c r="H10123" t="s">
        <v>17</v>
      </c>
      <c r="I10123" t="str">
        <f>"060964001027"</f>
        <v>060964001027</v>
      </c>
    </row>
    <row r="10124" spans="1:9" x14ac:dyDescent="0.25">
      <c r="A10124" t="s">
        <v>8832</v>
      </c>
      <c r="B10124" t="s">
        <v>13</v>
      </c>
      <c r="C10124">
        <v>19</v>
      </c>
      <c r="D10124">
        <v>20</v>
      </c>
      <c r="E10124" t="s">
        <v>17</v>
      </c>
      <c r="F10124">
        <v>24.26</v>
      </c>
      <c r="G10124">
        <v>20.5</v>
      </c>
      <c r="H10124" t="s">
        <v>17</v>
      </c>
      <c r="I10124" t="str">
        <f>"064128006842"</f>
        <v>064128006842</v>
      </c>
    </row>
    <row r="10125" spans="1:9" x14ac:dyDescent="0.25">
      <c r="A10125" t="s">
        <v>8832</v>
      </c>
      <c r="B10125" t="s">
        <v>13</v>
      </c>
      <c r="C10125">
        <v>19.5</v>
      </c>
      <c r="D10125">
        <v>19.5</v>
      </c>
      <c r="E10125" t="s">
        <v>17</v>
      </c>
      <c r="F10125">
        <v>27.49</v>
      </c>
      <c r="G10125">
        <v>26.41</v>
      </c>
      <c r="H10125" t="s">
        <v>17</v>
      </c>
      <c r="I10125" t="str">
        <f>"062019002419"</f>
        <v>062019002419</v>
      </c>
    </row>
    <row r="10126" spans="1:9" x14ac:dyDescent="0.25">
      <c r="A10126" t="s">
        <v>8832</v>
      </c>
      <c r="B10126" t="s">
        <v>13</v>
      </c>
      <c r="C10126">
        <v>27.5</v>
      </c>
      <c r="D10126">
        <v>30.5</v>
      </c>
      <c r="E10126" t="s">
        <v>17</v>
      </c>
      <c r="F10126">
        <v>23.24</v>
      </c>
      <c r="G10126">
        <v>21.48</v>
      </c>
      <c r="H10126" t="s">
        <v>17</v>
      </c>
      <c r="I10126" t="str">
        <f>"060369000342"</f>
        <v>060369000342</v>
      </c>
    </row>
    <row r="10127" spans="1:9" x14ac:dyDescent="0.25">
      <c r="A10127" t="s">
        <v>8833</v>
      </c>
      <c r="B10127" t="s">
        <v>13</v>
      </c>
      <c r="C10127">
        <v>36</v>
      </c>
      <c r="D10127">
        <v>36</v>
      </c>
      <c r="E10127" t="s">
        <v>17</v>
      </c>
      <c r="F10127">
        <v>24.17</v>
      </c>
      <c r="G10127">
        <v>24.31</v>
      </c>
      <c r="H10127" t="s">
        <v>17</v>
      </c>
      <c r="I10127" t="str">
        <f>"060015812175"</f>
        <v>060015812175</v>
      </c>
    </row>
    <row r="10128" spans="1:9" x14ac:dyDescent="0.25">
      <c r="A10128" t="s">
        <v>8834</v>
      </c>
      <c r="B10128" t="s">
        <v>13</v>
      </c>
      <c r="C10128">
        <v>22.5</v>
      </c>
      <c r="D10128">
        <v>25</v>
      </c>
      <c r="E10128" t="s">
        <v>17</v>
      </c>
      <c r="F10128">
        <v>30.49</v>
      </c>
      <c r="G10128">
        <v>26.08</v>
      </c>
      <c r="H10128" t="s">
        <v>17</v>
      </c>
      <c r="I10128" t="str">
        <f>"063003012186"</f>
        <v>063003012186</v>
      </c>
    </row>
    <row r="10129" spans="1:9" x14ac:dyDescent="0.25">
      <c r="A10129" t="s">
        <v>8834</v>
      </c>
      <c r="B10129" t="s">
        <v>13</v>
      </c>
      <c r="C10129">
        <v>10.130000000000001</v>
      </c>
      <c r="D10129">
        <v>10</v>
      </c>
      <c r="E10129" t="s">
        <v>17</v>
      </c>
      <c r="F10129">
        <v>16.489999999999998</v>
      </c>
      <c r="G10129">
        <v>14.5</v>
      </c>
      <c r="H10129" t="s">
        <v>17</v>
      </c>
      <c r="I10129" t="str">
        <f>"063311005127"</f>
        <v>063311005127</v>
      </c>
    </row>
    <row r="10130" spans="1:9" x14ac:dyDescent="0.25">
      <c r="A10130" t="s">
        <v>8834</v>
      </c>
      <c r="B10130" t="s">
        <v>13</v>
      </c>
      <c r="C10130">
        <v>26.39</v>
      </c>
      <c r="D10130">
        <v>30.76</v>
      </c>
      <c r="E10130" t="s">
        <v>17</v>
      </c>
      <c r="F10130">
        <v>26.45</v>
      </c>
      <c r="G10130">
        <v>22.92</v>
      </c>
      <c r="H10130" t="s">
        <v>17</v>
      </c>
      <c r="I10130" t="str">
        <f>"060002009288"</f>
        <v>060002009288</v>
      </c>
    </row>
    <row r="10131" spans="1:9" x14ac:dyDescent="0.25">
      <c r="A10131" t="s">
        <v>8835</v>
      </c>
      <c r="B10131" t="s">
        <v>13</v>
      </c>
      <c r="C10131">
        <v>19.11</v>
      </c>
      <c r="D10131">
        <v>19.010000000000002</v>
      </c>
      <c r="E10131" t="s">
        <v>17</v>
      </c>
      <c r="F10131">
        <v>24.07</v>
      </c>
      <c r="G10131">
        <v>25.2</v>
      </c>
      <c r="H10131" t="s">
        <v>17</v>
      </c>
      <c r="I10131" t="str">
        <f>"064200012337"</f>
        <v>064200012337</v>
      </c>
    </row>
    <row r="10132" spans="1:9" x14ac:dyDescent="0.25">
      <c r="A10132" t="s">
        <v>8836</v>
      </c>
      <c r="B10132" t="s">
        <v>13</v>
      </c>
      <c r="C10132">
        <v>20.37</v>
      </c>
      <c r="D10132">
        <v>19.899999999999999</v>
      </c>
      <c r="E10132" t="s">
        <v>17</v>
      </c>
      <c r="F10132">
        <v>21.6</v>
      </c>
      <c r="G10132">
        <v>22.01</v>
      </c>
      <c r="H10132" t="s">
        <v>17</v>
      </c>
      <c r="I10132" t="str">
        <f>"064125006832"</f>
        <v>064125006832</v>
      </c>
    </row>
    <row r="10133" spans="1:9" x14ac:dyDescent="0.25">
      <c r="A10133" t="s">
        <v>8837</v>
      </c>
      <c r="B10133" t="s">
        <v>13</v>
      </c>
      <c r="C10133">
        <v>112.9</v>
      </c>
      <c r="D10133">
        <v>113.26</v>
      </c>
      <c r="E10133" t="s">
        <v>17</v>
      </c>
      <c r="F10133">
        <v>25.57</v>
      </c>
      <c r="G10133">
        <v>26.27</v>
      </c>
      <c r="H10133" t="s">
        <v>17</v>
      </c>
      <c r="I10133" t="str">
        <f>"064128006843"</f>
        <v>064128006843</v>
      </c>
    </row>
    <row r="10134" spans="1:9" x14ac:dyDescent="0.25">
      <c r="A10134" t="s">
        <v>8838</v>
      </c>
      <c r="B10134" t="s">
        <v>13</v>
      </c>
      <c r="C10134">
        <v>33</v>
      </c>
      <c r="D10134">
        <v>36</v>
      </c>
      <c r="E10134" t="s">
        <v>17</v>
      </c>
      <c r="F10134">
        <v>25</v>
      </c>
      <c r="G10134">
        <v>25.83</v>
      </c>
      <c r="H10134" t="s">
        <v>17</v>
      </c>
      <c r="I10134" t="str">
        <f>"062271000453"</f>
        <v>062271000453</v>
      </c>
    </row>
    <row r="10135" spans="1:9" x14ac:dyDescent="0.25">
      <c r="A10135" t="s">
        <v>8839</v>
      </c>
      <c r="B10135" t="s">
        <v>13</v>
      </c>
      <c r="C10135">
        <v>15.49</v>
      </c>
      <c r="D10135" t="s">
        <v>14</v>
      </c>
      <c r="E10135" t="s">
        <v>14</v>
      </c>
      <c r="F10135">
        <v>29.05</v>
      </c>
      <c r="G10135" t="s">
        <v>14</v>
      </c>
      <c r="H10135" t="s">
        <v>14</v>
      </c>
      <c r="I10135" t="str">
        <f>"062271013187"</f>
        <v>062271013187</v>
      </c>
    </row>
    <row r="10136" spans="1:9" x14ac:dyDescent="0.25">
      <c r="A10136" t="s">
        <v>8840</v>
      </c>
      <c r="B10136" t="s">
        <v>13</v>
      </c>
      <c r="C10136">
        <v>17.489999999999998</v>
      </c>
      <c r="D10136" t="s">
        <v>14</v>
      </c>
      <c r="E10136" t="s">
        <v>14</v>
      </c>
      <c r="F10136">
        <v>27.33</v>
      </c>
      <c r="G10136" t="s">
        <v>14</v>
      </c>
      <c r="H10136" t="s">
        <v>14</v>
      </c>
      <c r="I10136" t="str">
        <f>"062271013138"</f>
        <v>062271013138</v>
      </c>
    </row>
    <row r="10137" spans="1:9" x14ac:dyDescent="0.25">
      <c r="A10137" t="s">
        <v>8841</v>
      </c>
      <c r="B10137" t="s">
        <v>13</v>
      </c>
      <c r="C10137">
        <v>7.05</v>
      </c>
      <c r="D10137">
        <v>6.7</v>
      </c>
      <c r="E10137" t="s">
        <v>17</v>
      </c>
      <c r="F10137">
        <v>22.98</v>
      </c>
      <c r="G10137">
        <v>24.93</v>
      </c>
      <c r="H10137" t="s">
        <v>17</v>
      </c>
      <c r="I10137" t="str">
        <f>"061389009821"</f>
        <v>061389009821</v>
      </c>
    </row>
    <row r="10138" spans="1:9" x14ac:dyDescent="0.25">
      <c r="A10138" t="s">
        <v>8842</v>
      </c>
      <c r="B10138" t="s">
        <v>13</v>
      </c>
      <c r="C10138">
        <v>20.96</v>
      </c>
      <c r="D10138">
        <v>19.63</v>
      </c>
      <c r="E10138" t="s">
        <v>17</v>
      </c>
      <c r="F10138">
        <v>23.33</v>
      </c>
      <c r="G10138">
        <v>22.57</v>
      </c>
      <c r="H10138" t="s">
        <v>17</v>
      </c>
      <c r="I10138" t="str">
        <f>"063513005961"</f>
        <v>063513005961</v>
      </c>
    </row>
    <row r="10139" spans="1:9" x14ac:dyDescent="0.25">
      <c r="A10139" t="s">
        <v>8842</v>
      </c>
      <c r="B10139" t="s">
        <v>13</v>
      </c>
      <c r="C10139">
        <v>14</v>
      </c>
      <c r="D10139">
        <v>10.67</v>
      </c>
      <c r="E10139" t="s">
        <v>17</v>
      </c>
      <c r="F10139">
        <v>25.36</v>
      </c>
      <c r="G10139">
        <v>31.3</v>
      </c>
      <c r="H10139" t="s">
        <v>17</v>
      </c>
      <c r="I10139" t="str">
        <f>"060645000565"</f>
        <v>060645000565</v>
      </c>
    </row>
    <row r="10140" spans="1:9" x14ac:dyDescent="0.25">
      <c r="A10140" t="s">
        <v>8842</v>
      </c>
      <c r="B10140" t="s">
        <v>13</v>
      </c>
      <c r="C10140">
        <v>26</v>
      </c>
      <c r="D10140">
        <v>27</v>
      </c>
      <c r="E10140" t="s">
        <v>17</v>
      </c>
      <c r="F10140">
        <v>27.54</v>
      </c>
      <c r="G10140">
        <v>26.67</v>
      </c>
      <c r="H10140" t="s">
        <v>17</v>
      </c>
      <c r="I10140" t="str">
        <f>"062343003559"</f>
        <v>062343003559</v>
      </c>
    </row>
    <row r="10141" spans="1:9" x14ac:dyDescent="0.25">
      <c r="A10141" t="s">
        <v>8843</v>
      </c>
      <c r="B10141" t="s">
        <v>13</v>
      </c>
      <c r="C10141">
        <v>2</v>
      </c>
      <c r="D10141">
        <v>2</v>
      </c>
      <c r="E10141" t="s">
        <v>17</v>
      </c>
      <c r="F10141">
        <v>14</v>
      </c>
      <c r="G10141">
        <v>13.5</v>
      </c>
      <c r="H10141" t="s">
        <v>17</v>
      </c>
      <c r="I10141" t="str">
        <f>"063048007083"</f>
        <v>063048007083</v>
      </c>
    </row>
    <row r="10142" spans="1:9" x14ac:dyDescent="0.25">
      <c r="A10142" t="s">
        <v>8844</v>
      </c>
      <c r="B10142" t="s">
        <v>13</v>
      </c>
      <c r="C10142">
        <v>35.659999999999997</v>
      </c>
      <c r="D10142">
        <v>34</v>
      </c>
      <c r="E10142" t="s">
        <v>17</v>
      </c>
      <c r="F10142">
        <v>19.29</v>
      </c>
      <c r="G10142">
        <v>20.53</v>
      </c>
      <c r="H10142" t="s">
        <v>17</v>
      </c>
      <c r="I10142" t="str">
        <f>"062553003818"</f>
        <v>062553003818</v>
      </c>
    </row>
    <row r="10143" spans="1:9" x14ac:dyDescent="0.25">
      <c r="A10143" t="s">
        <v>8845</v>
      </c>
      <c r="B10143" t="s">
        <v>13</v>
      </c>
      <c r="C10143">
        <v>44.7</v>
      </c>
      <c r="D10143">
        <v>47.3</v>
      </c>
      <c r="E10143" t="s">
        <v>17</v>
      </c>
      <c r="F10143">
        <v>21.43</v>
      </c>
      <c r="G10143">
        <v>25.35</v>
      </c>
      <c r="H10143" t="s">
        <v>17</v>
      </c>
      <c r="I10143" t="str">
        <f>"064245006936"</f>
        <v>064245006936</v>
      </c>
    </row>
    <row r="10144" spans="1:9" x14ac:dyDescent="0.25">
      <c r="A10144" t="s">
        <v>8846</v>
      </c>
      <c r="B10144" t="s">
        <v>13</v>
      </c>
      <c r="C10144">
        <v>27.41</v>
      </c>
      <c r="D10144">
        <v>28.41</v>
      </c>
      <c r="E10144" t="s">
        <v>17</v>
      </c>
      <c r="F10144">
        <v>19.739999999999998</v>
      </c>
      <c r="G10144">
        <v>18.87</v>
      </c>
      <c r="H10144" t="s">
        <v>17</v>
      </c>
      <c r="I10144" t="str">
        <f>"062961004588"</f>
        <v>062961004588</v>
      </c>
    </row>
    <row r="10145" spans="1:9" x14ac:dyDescent="0.25">
      <c r="A10145" t="s">
        <v>8847</v>
      </c>
      <c r="B10145" t="s">
        <v>13</v>
      </c>
      <c r="C10145">
        <v>3</v>
      </c>
      <c r="D10145">
        <v>3</v>
      </c>
      <c r="E10145" t="s">
        <v>17</v>
      </c>
      <c r="F10145">
        <v>15.67</v>
      </c>
      <c r="G10145">
        <v>12</v>
      </c>
      <c r="H10145" t="s">
        <v>17</v>
      </c>
      <c r="I10145" t="str">
        <f>"062223012737"</f>
        <v>062223012737</v>
      </c>
    </row>
    <row r="10146" spans="1:9" x14ac:dyDescent="0.25">
      <c r="A10146" t="s">
        <v>8848</v>
      </c>
      <c r="B10146" t="s">
        <v>13</v>
      </c>
      <c r="C10146">
        <v>36.630000000000003</v>
      </c>
      <c r="D10146">
        <v>33.6</v>
      </c>
      <c r="E10146" t="s">
        <v>17</v>
      </c>
      <c r="F10146">
        <v>17.579999999999998</v>
      </c>
      <c r="G10146">
        <v>18.13</v>
      </c>
      <c r="H10146" t="s">
        <v>17</v>
      </c>
      <c r="I10146" t="str">
        <f>"063459005700"</f>
        <v>063459005700</v>
      </c>
    </row>
    <row r="10147" spans="1:9" x14ac:dyDescent="0.25">
      <c r="A10147" t="s">
        <v>8849</v>
      </c>
      <c r="B10147" t="s">
        <v>13</v>
      </c>
      <c r="C10147">
        <v>30.1</v>
      </c>
      <c r="D10147">
        <v>32.1</v>
      </c>
      <c r="E10147" t="s">
        <v>17</v>
      </c>
      <c r="F10147">
        <v>21.86</v>
      </c>
      <c r="G10147">
        <v>22.37</v>
      </c>
      <c r="H10147" t="s">
        <v>17</v>
      </c>
      <c r="I10147" t="str">
        <f>"060015811513"</f>
        <v>060015811513</v>
      </c>
    </row>
    <row r="10148" spans="1:9" x14ac:dyDescent="0.25">
      <c r="A10148" t="s">
        <v>8850</v>
      </c>
      <c r="B10148" t="s">
        <v>13</v>
      </c>
      <c r="C10148">
        <v>61.01</v>
      </c>
      <c r="D10148">
        <v>63.69</v>
      </c>
      <c r="E10148" t="s">
        <v>17</v>
      </c>
      <c r="F10148">
        <v>27.32</v>
      </c>
      <c r="G10148">
        <v>26.08</v>
      </c>
      <c r="H10148" t="s">
        <v>17</v>
      </c>
      <c r="I10148" t="str">
        <f>"062271003299"</f>
        <v>062271003299</v>
      </c>
    </row>
    <row r="10149" spans="1:9" x14ac:dyDescent="0.25">
      <c r="A10149" t="s">
        <v>8851</v>
      </c>
      <c r="B10149" t="s">
        <v>13</v>
      </c>
      <c r="C10149">
        <v>50.11</v>
      </c>
      <c r="D10149">
        <v>49.8</v>
      </c>
      <c r="E10149" t="s">
        <v>17</v>
      </c>
      <c r="F10149">
        <v>26.82</v>
      </c>
      <c r="G10149">
        <v>27.89</v>
      </c>
      <c r="H10149" t="s">
        <v>17</v>
      </c>
      <c r="I10149" t="str">
        <f>"060363002021"</f>
        <v>060363002021</v>
      </c>
    </row>
    <row r="10150" spans="1:9" x14ac:dyDescent="0.25">
      <c r="A10150" t="s">
        <v>8852</v>
      </c>
      <c r="B10150" t="s">
        <v>13</v>
      </c>
      <c r="C10150">
        <v>32</v>
      </c>
      <c r="D10150">
        <v>32</v>
      </c>
      <c r="E10150" t="s">
        <v>17</v>
      </c>
      <c r="F10150">
        <v>21.03</v>
      </c>
      <c r="G10150">
        <v>21</v>
      </c>
      <c r="H10150" t="s">
        <v>17</v>
      </c>
      <c r="I10150" t="str">
        <f>"060813000788"</f>
        <v>060813000788</v>
      </c>
    </row>
    <row r="10151" spans="1:9" x14ac:dyDescent="0.25">
      <c r="A10151" t="s">
        <v>8853</v>
      </c>
      <c r="B10151" t="s">
        <v>13</v>
      </c>
      <c r="C10151">
        <v>37.799999999999997</v>
      </c>
      <c r="D10151">
        <v>37.799999999999997</v>
      </c>
      <c r="E10151" t="s">
        <v>17</v>
      </c>
      <c r="F10151">
        <v>26.19</v>
      </c>
      <c r="G10151">
        <v>26.43</v>
      </c>
      <c r="H10151" t="s">
        <v>17</v>
      </c>
      <c r="I10151" t="str">
        <f>"062361011419"</f>
        <v>062361011419</v>
      </c>
    </row>
    <row r="10152" spans="1:9" x14ac:dyDescent="0.25">
      <c r="A10152" t="s">
        <v>8854</v>
      </c>
      <c r="B10152" t="s">
        <v>13</v>
      </c>
      <c r="C10152">
        <v>33</v>
      </c>
      <c r="D10152">
        <v>33</v>
      </c>
      <c r="E10152" t="s">
        <v>17</v>
      </c>
      <c r="F10152">
        <v>22.52</v>
      </c>
      <c r="G10152">
        <v>23.21</v>
      </c>
      <c r="H10152" t="s">
        <v>17</v>
      </c>
      <c r="I10152" t="str">
        <f>"060939000959"</f>
        <v>060939000959</v>
      </c>
    </row>
    <row r="10153" spans="1:9" x14ac:dyDescent="0.25">
      <c r="A10153" t="s">
        <v>8855</v>
      </c>
      <c r="B10153" t="s">
        <v>13</v>
      </c>
      <c r="C10153">
        <v>24.33</v>
      </c>
      <c r="D10153">
        <v>23.92</v>
      </c>
      <c r="E10153" t="s">
        <v>17</v>
      </c>
      <c r="F10153">
        <v>25.98</v>
      </c>
      <c r="G10153">
        <v>27.09</v>
      </c>
      <c r="H10153" t="s">
        <v>17</v>
      </c>
      <c r="I10153" t="str">
        <f>"063942006579"</f>
        <v>063942006579</v>
      </c>
    </row>
    <row r="10154" spans="1:9" x14ac:dyDescent="0.25">
      <c r="A10154" t="s">
        <v>8856</v>
      </c>
      <c r="B10154" t="s">
        <v>13</v>
      </c>
      <c r="C10154">
        <v>8.5</v>
      </c>
      <c r="D10154">
        <v>15</v>
      </c>
      <c r="E10154" t="s">
        <v>17</v>
      </c>
      <c r="F10154">
        <v>11.29</v>
      </c>
      <c r="G10154">
        <v>5.93</v>
      </c>
      <c r="H10154" t="s">
        <v>17</v>
      </c>
      <c r="I10154" t="str">
        <f>"063801007882"</f>
        <v>063801007882</v>
      </c>
    </row>
    <row r="10155" spans="1:9" x14ac:dyDescent="0.25">
      <c r="A10155" t="s">
        <v>8857</v>
      </c>
      <c r="B10155" t="s">
        <v>13</v>
      </c>
      <c r="C10155">
        <v>27</v>
      </c>
      <c r="D10155">
        <v>30</v>
      </c>
      <c r="E10155" t="s">
        <v>17</v>
      </c>
      <c r="F10155">
        <v>19.89</v>
      </c>
      <c r="G10155">
        <v>18.53</v>
      </c>
      <c r="H10155" t="s">
        <v>17</v>
      </c>
      <c r="I10155" t="str">
        <f>"060962001000"</f>
        <v>060962001000</v>
      </c>
    </row>
    <row r="10156" spans="1:9" x14ac:dyDescent="0.25">
      <c r="A10156" t="s">
        <v>8858</v>
      </c>
      <c r="B10156" t="s">
        <v>13</v>
      </c>
      <c r="C10156">
        <v>21.99</v>
      </c>
      <c r="D10156">
        <v>20.99</v>
      </c>
      <c r="E10156" t="s">
        <v>17</v>
      </c>
      <c r="F10156">
        <v>27.47</v>
      </c>
      <c r="G10156">
        <v>29.11</v>
      </c>
      <c r="H10156" t="s">
        <v>17</v>
      </c>
      <c r="I10156" t="str">
        <f>"060004707401"</f>
        <v>060004707401</v>
      </c>
    </row>
    <row r="10157" spans="1:9" x14ac:dyDescent="0.25">
      <c r="A10157" t="s">
        <v>8859</v>
      </c>
      <c r="B10157" t="s">
        <v>13</v>
      </c>
      <c r="C10157">
        <v>41.72</v>
      </c>
      <c r="D10157">
        <v>45.75</v>
      </c>
      <c r="E10157" t="s">
        <v>17</v>
      </c>
      <c r="F10157">
        <v>22.58</v>
      </c>
      <c r="G10157">
        <v>21.9</v>
      </c>
      <c r="H10157" t="s">
        <v>17</v>
      </c>
      <c r="I10157" t="str">
        <f>"063432005566"</f>
        <v>063432005566</v>
      </c>
    </row>
    <row r="10158" spans="1:9" x14ac:dyDescent="0.25">
      <c r="A10158" t="s">
        <v>8860</v>
      </c>
      <c r="B10158" t="s">
        <v>13</v>
      </c>
      <c r="C10158">
        <v>17</v>
      </c>
      <c r="D10158">
        <v>18.5</v>
      </c>
      <c r="E10158" t="s">
        <v>17</v>
      </c>
      <c r="F10158">
        <v>26.65</v>
      </c>
      <c r="G10158">
        <v>25.3</v>
      </c>
      <c r="H10158" t="s">
        <v>17</v>
      </c>
      <c r="I10158" t="str">
        <f>"061146001277"</f>
        <v>061146001277</v>
      </c>
    </row>
    <row r="10159" spans="1:9" x14ac:dyDescent="0.25">
      <c r="A10159" t="s">
        <v>8861</v>
      </c>
      <c r="B10159" t="s">
        <v>13</v>
      </c>
      <c r="C10159">
        <v>37.700000000000003</v>
      </c>
      <c r="D10159">
        <v>36.700000000000003</v>
      </c>
      <c r="E10159" t="s">
        <v>17</v>
      </c>
      <c r="F10159">
        <v>19.73</v>
      </c>
      <c r="G10159">
        <v>25.01</v>
      </c>
      <c r="H10159" t="s">
        <v>17</v>
      </c>
      <c r="I10159" t="str">
        <f>"061440001690"</f>
        <v>061440001690</v>
      </c>
    </row>
    <row r="10160" spans="1:9" x14ac:dyDescent="0.25">
      <c r="A10160" t="s">
        <v>8861</v>
      </c>
      <c r="B10160" t="s">
        <v>13</v>
      </c>
      <c r="C10160">
        <v>31</v>
      </c>
      <c r="D10160">
        <v>31</v>
      </c>
      <c r="E10160" t="s">
        <v>17</v>
      </c>
      <c r="F10160">
        <v>20.52</v>
      </c>
      <c r="G10160">
        <v>19.899999999999999</v>
      </c>
      <c r="H10160" t="s">
        <v>17</v>
      </c>
      <c r="I10160" t="str">
        <f>"063417005391"</f>
        <v>063417005391</v>
      </c>
    </row>
    <row r="10161" spans="1:9" x14ac:dyDescent="0.25">
      <c r="A10161" t="s">
        <v>8862</v>
      </c>
      <c r="B10161" t="s">
        <v>13</v>
      </c>
      <c r="C10161">
        <v>32.42</v>
      </c>
      <c r="D10161">
        <v>36.08</v>
      </c>
      <c r="E10161" t="s">
        <v>17</v>
      </c>
      <c r="F10161">
        <v>29.55</v>
      </c>
      <c r="G10161">
        <v>27.08</v>
      </c>
      <c r="H10161" t="s">
        <v>17</v>
      </c>
      <c r="I10161" t="str">
        <f>"060002910590"</f>
        <v>060002910590</v>
      </c>
    </row>
    <row r="10162" spans="1:9" x14ac:dyDescent="0.25">
      <c r="A10162" t="s">
        <v>8863</v>
      </c>
      <c r="B10162" t="s">
        <v>13</v>
      </c>
      <c r="C10162">
        <v>29</v>
      </c>
      <c r="D10162">
        <v>29</v>
      </c>
      <c r="E10162" t="s">
        <v>17</v>
      </c>
      <c r="F10162">
        <v>22.31</v>
      </c>
      <c r="G10162">
        <v>23.41</v>
      </c>
      <c r="H10162" t="s">
        <v>17</v>
      </c>
      <c r="I10162" t="str">
        <f>"062271003443"</f>
        <v>062271003443</v>
      </c>
    </row>
    <row r="10163" spans="1:9" x14ac:dyDescent="0.25">
      <c r="A10163" t="s">
        <v>8864</v>
      </c>
      <c r="B10163" t="s">
        <v>13</v>
      </c>
      <c r="C10163">
        <v>4</v>
      </c>
      <c r="D10163" t="s">
        <v>17</v>
      </c>
      <c r="E10163" t="s">
        <v>17</v>
      </c>
      <c r="F10163">
        <v>27.25</v>
      </c>
      <c r="G10163" t="s">
        <v>17</v>
      </c>
      <c r="H10163" t="s">
        <v>17</v>
      </c>
      <c r="I10163" t="str">
        <f>"060004206844"</f>
        <v>060004206844</v>
      </c>
    </row>
    <row r="10164" spans="1:9" x14ac:dyDescent="0.25">
      <c r="A10164" t="s">
        <v>8865</v>
      </c>
      <c r="B10164" t="s">
        <v>13</v>
      </c>
      <c r="C10164" t="str">
        <f>"0.50"</f>
        <v>0.50</v>
      </c>
      <c r="D10164" t="str">
        <f>"0.50"</f>
        <v>0.50</v>
      </c>
      <c r="E10164" t="s">
        <v>17</v>
      </c>
      <c r="F10164">
        <v>16</v>
      </c>
      <c r="G10164">
        <v>22</v>
      </c>
      <c r="H10164" t="s">
        <v>17</v>
      </c>
      <c r="I10164" t="str">
        <f>"062519003768"</f>
        <v>062519003768</v>
      </c>
    </row>
    <row r="10165" spans="1:9" x14ac:dyDescent="0.25">
      <c r="A10165" t="s">
        <v>8866</v>
      </c>
      <c r="B10165" t="s">
        <v>13</v>
      </c>
      <c r="C10165" t="s">
        <v>14</v>
      </c>
      <c r="D10165" t="s">
        <v>14</v>
      </c>
      <c r="E10165" t="s">
        <v>14</v>
      </c>
      <c r="F10165" t="s">
        <v>17</v>
      </c>
      <c r="G10165" t="s">
        <v>14</v>
      </c>
      <c r="H10165" t="s">
        <v>14</v>
      </c>
      <c r="I10165" t="str">
        <f>"060004212740"</f>
        <v>060004212740</v>
      </c>
    </row>
    <row r="10166" spans="1:9" x14ac:dyDescent="0.25">
      <c r="A10166" t="s">
        <v>8867</v>
      </c>
      <c r="B10166" t="s">
        <v>13</v>
      </c>
      <c r="C10166">
        <v>8.4</v>
      </c>
      <c r="D10166" t="s">
        <v>17</v>
      </c>
      <c r="E10166" t="s">
        <v>17</v>
      </c>
      <c r="F10166">
        <v>8.93</v>
      </c>
      <c r="G10166" t="s">
        <v>17</v>
      </c>
      <c r="H10166" t="s">
        <v>17</v>
      </c>
      <c r="I10166" t="str">
        <f>"060004205341"</f>
        <v>060004205341</v>
      </c>
    </row>
    <row r="10167" spans="1:9" x14ac:dyDescent="0.25">
      <c r="A10167" t="s">
        <v>8868</v>
      </c>
      <c r="B10167" t="s">
        <v>13</v>
      </c>
      <c r="C10167">
        <v>41.01</v>
      </c>
      <c r="D10167">
        <v>40</v>
      </c>
      <c r="E10167" t="s">
        <v>17</v>
      </c>
      <c r="F10167">
        <v>24.46</v>
      </c>
      <c r="G10167">
        <v>24.15</v>
      </c>
      <c r="H10167" t="s">
        <v>17</v>
      </c>
      <c r="I10167" t="str">
        <f>"064215006916"</f>
        <v>064215006916</v>
      </c>
    </row>
    <row r="10168" spans="1:9" x14ac:dyDescent="0.25">
      <c r="A10168" t="s">
        <v>8869</v>
      </c>
      <c r="B10168" t="s">
        <v>13</v>
      </c>
      <c r="C10168">
        <v>19</v>
      </c>
      <c r="D10168">
        <v>20</v>
      </c>
      <c r="E10168" t="s">
        <v>17</v>
      </c>
      <c r="F10168">
        <v>24.16</v>
      </c>
      <c r="G10168">
        <v>24.2</v>
      </c>
      <c r="H10168" t="s">
        <v>17</v>
      </c>
      <c r="I10168" t="str">
        <f>"060133205094"</f>
        <v>060133205094</v>
      </c>
    </row>
    <row r="10169" spans="1:9" x14ac:dyDescent="0.25">
      <c r="A10169" t="s">
        <v>8870</v>
      </c>
      <c r="B10169" t="s">
        <v>13</v>
      </c>
      <c r="C10169">
        <v>44.6</v>
      </c>
      <c r="D10169">
        <v>45.09</v>
      </c>
      <c r="E10169" t="s">
        <v>17</v>
      </c>
      <c r="F10169">
        <v>22.49</v>
      </c>
      <c r="G10169">
        <v>22.29</v>
      </c>
      <c r="H10169" t="s">
        <v>17</v>
      </c>
      <c r="I10169" t="str">
        <f>"061029001136"</f>
        <v>061029001136</v>
      </c>
    </row>
    <row r="10170" spans="1:9" x14ac:dyDescent="0.25">
      <c r="A10170" t="s">
        <v>8871</v>
      </c>
      <c r="B10170" t="s">
        <v>13</v>
      </c>
      <c r="C10170">
        <v>139.62</v>
      </c>
      <c r="D10170">
        <v>140.83000000000001</v>
      </c>
      <c r="E10170" t="s">
        <v>17</v>
      </c>
      <c r="F10170">
        <v>26.84</v>
      </c>
      <c r="G10170">
        <v>26.46</v>
      </c>
      <c r="H10170" t="s">
        <v>17</v>
      </c>
      <c r="I10170" t="str">
        <f>"061146001278"</f>
        <v>061146001278</v>
      </c>
    </row>
    <row r="10171" spans="1:9" x14ac:dyDescent="0.25">
      <c r="A10171" t="s">
        <v>8872</v>
      </c>
      <c r="B10171" t="s">
        <v>13</v>
      </c>
      <c r="C10171">
        <v>21.93</v>
      </c>
      <c r="D10171">
        <v>22.97</v>
      </c>
      <c r="E10171" t="s">
        <v>17</v>
      </c>
      <c r="F10171">
        <v>23.48</v>
      </c>
      <c r="G10171">
        <v>22.94</v>
      </c>
      <c r="H10171" t="s">
        <v>17</v>
      </c>
      <c r="I10171" t="str">
        <f>"063360005185"</f>
        <v>063360005185</v>
      </c>
    </row>
    <row r="10172" spans="1:9" x14ac:dyDescent="0.25">
      <c r="A10172" t="s">
        <v>8873</v>
      </c>
      <c r="B10172" t="s">
        <v>13</v>
      </c>
      <c r="C10172">
        <v>36</v>
      </c>
      <c r="D10172">
        <v>38</v>
      </c>
      <c r="E10172" t="s">
        <v>17</v>
      </c>
      <c r="F10172">
        <v>23.64</v>
      </c>
      <c r="G10172">
        <v>22.74</v>
      </c>
      <c r="H10172" t="s">
        <v>17</v>
      </c>
      <c r="I10172" t="str">
        <f>"061440001691"</f>
        <v>061440001691</v>
      </c>
    </row>
    <row r="10173" spans="1:9" x14ac:dyDescent="0.25">
      <c r="A10173" t="s">
        <v>8874</v>
      </c>
      <c r="B10173" t="s">
        <v>13</v>
      </c>
      <c r="C10173">
        <v>68.5</v>
      </c>
      <c r="D10173">
        <v>66.3</v>
      </c>
      <c r="E10173" t="s">
        <v>17</v>
      </c>
      <c r="F10173">
        <v>23.5</v>
      </c>
      <c r="G10173">
        <v>24.8</v>
      </c>
      <c r="H10173" t="s">
        <v>17</v>
      </c>
      <c r="I10173" t="str">
        <f>"064143006849"</f>
        <v>064143006849</v>
      </c>
    </row>
    <row r="10174" spans="1:9" x14ac:dyDescent="0.25">
      <c r="A10174" t="s">
        <v>8875</v>
      </c>
      <c r="B10174" t="s">
        <v>13</v>
      </c>
      <c r="C10174">
        <v>6.7</v>
      </c>
      <c r="D10174">
        <v>6.7</v>
      </c>
      <c r="E10174" t="s">
        <v>17</v>
      </c>
      <c r="F10174">
        <v>22.39</v>
      </c>
      <c r="G10174">
        <v>19.25</v>
      </c>
      <c r="H10174" t="s">
        <v>17</v>
      </c>
      <c r="I10174" t="str">
        <f>"064143010225"</f>
        <v>064143010225</v>
      </c>
    </row>
    <row r="10175" spans="1:9" x14ac:dyDescent="0.25">
      <c r="A10175" t="s">
        <v>8876</v>
      </c>
      <c r="B10175" t="s">
        <v>13</v>
      </c>
      <c r="C10175">
        <v>25.5</v>
      </c>
      <c r="D10175">
        <v>30.5</v>
      </c>
      <c r="E10175" t="s">
        <v>17</v>
      </c>
      <c r="F10175">
        <v>28.82</v>
      </c>
      <c r="G10175">
        <v>23.67</v>
      </c>
      <c r="H10175" t="s">
        <v>17</v>
      </c>
      <c r="I10175" t="str">
        <f>"061668002097"</f>
        <v>061668002097</v>
      </c>
    </row>
    <row r="10176" spans="1:9" x14ac:dyDescent="0.25">
      <c r="A10176" t="s">
        <v>8876</v>
      </c>
      <c r="B10176" t="s">
        <v>13</v>
      </c>
      <c r="C10176">
        <v>18</v>
      </c>
      <c r="D10176">
        <v>18.149999999999999</v>
      </c>
      <c r="E10176" t="s">
        <v>17</v>
      </c>
      <c r="F10176">
        <v>23</v>
      </c>
      <c r="G10176">
        <v>23.91</v>
      </c>
      <c r="H10176" t="s">
        <v>17</v>
      </c>
      <c r="I10176" t="str">
        <f>"060897000902"</f>
        <v>060897000902</v>
      </c>
    </row>
    <row r="10177" spans="1:9" x14ac:dyDescent="0.25">
      <c r="A10177" t="s">
        <v>8877</v>
      </c>
      <c r="B10177" t="s">
        <v>13</v>
      </c>
      <c r="C10177">
        <v>98.68</v>
      </c>
      <c r="D10177">
        <v>105.3</v>
      </c>
      <c r="E10177" t="s">
        <v>17</v>
      </c>
      <c r="F10177">
        <v>19.72</v>
      </c>
      <c r="G10177">
        <v>20.22</v>
      </c>
      <c r="H10177" t="s">
        <v>17</v>
      </c>
      <c r="I10177" t="str">
        <f>"063441005617"</f>
        <v>063441005617</v>
      </c>
    </row>
    <row r="10178" spans="1:9" x14ac:dyDescent="0.25">
      <c r="A10178" t="s">
        <v>8878</v>
      </c>
      <c r="B10178" t="s">
        <v>13</v>
      </c>
      <c r="C10178">
        <v>67.8</v>
      </c>
      <c r="D10178">
        <v>67.2</v>
      </c>
      <c r="E10178" t="s">
        <v>17</v>
      </c>
      <c r="F10178">
        <v>23.35</v>
      </c>
      <c r="G10178">
        <v>23.78</v>
      </c>
      <c r="H10178" t="s">
        <v>17</v>
      </c>
      <c r="I10178" t="str">
        <f>"063525005979"</f>
        <v>063525005979</v>
      </c>
    </row>
    <row r="10179" spans="1:9" x14ac:dyDescent="0.25">
      <c r="A10179" t="s">
        <v>8879</v>
      </c>
      <c r="B10179" t="s">
        <v>13</v>
      </c>
      <c r="C10179">
        <v>23.7</v>
      </c>
      <c r="D10179">
        <v>34</v>
      </c>
      <c r="E10179" t="s">
        <v>17</v>
      </c>
      <c r="F10179">
        <v>27.59</v>
      </c>
      <c r="G10179">
        <v>21.44</v>
      </c>
      <c r="H10179" t="s">
        <v>17</v>
      </c>
      <c r="I10179" t="str">
        <f>"062994008729"</f>
        <v>062994008729</v>
      </c>
    </row>
    <row r="10180" spans="1:9" x14ac:dyDescent="0.25">
      <c r="A10180" t="s">
        <v>8880</v>
      </c>
      <c r="B10180" t="s">
        <v>13</v>
      </c>
      <c r="C10180">
        <v>22.5</v>
      </c>
      <c r="D10180">
        <v>22</v>
      </c>
      <c r="E10180" t="s">
        <v>17</v>
      </c>
      <c r="F10180">
        <v>18.84</v>
      </c>
      <c r="G10180">
        <v>19.45</v>
      </c>
      <c r="H10180" t="s">
        <v>17</v>
      </c>
      <c r="I10180" t="str">
        <f>"064146006850"</f>
        <v>064146006850</v>
      </c>
    </row>
    <row r="10181" spans="1:9" x14ac:dyDescent="0.25">
      <c r="A10181" t="s">
        <v>8881</v>
      </c>
      <c r="B10181" t="s">
        <v>13</v>
      </c>
      <c r="C10181">
        <v>13.1</v>
      </c>
      <c r="D10181">
        <v>12.1</v>
      </c>
      <c r="E10181" t="s">
        <v>17</v>
      </c>
      <c r="F10181">
        <v>22.9</v>
      </c>
      <c r="G10181">
        <v>21.98</v>
      </c>
      <c r="H10181" t="s">
        <v>17</v>
      </c>
      <c r="I10181" t="str">
        <f>"061980002382"</f>
        <v>061980002382</v>
      </c>
    </row>
    <row r="10182" spans="1:9" x14ac:dyDescent="0.25">
      <c r="A10182" t="s">
        <v>8881</v>
      </c>
      <c r="B10182" t="s">
        <v>13</v>
      </c>
      <c r="C10182">
        <v>15</v>
      </c>
      <c r="D10182">
        <v>15</v>
      </c>
      <c r="E10182" t="s">
        <v>17</v>
      </c>
      <c r="F10182">
        <v>28</v>
      </c>
      <c r="G10182">
        <v>26.2</v>
      </c>
      <c r="H10182" t="s">
        <v>17</v>
      </c>
      <c r="I10182" t="str">
        <f>"061970002377"</f>
        <v>061970002377</v>
      </c>
    </row>
    <row r="10183" spans="1:9" x14ac:dyDescent="0.25">
      <c r="A10183" t="s">
        <v>8881</v>
      </c>
      <c r="B10183" t="s">
        <v>13</v>
      </c>
      <c r="C10183">
        <v>23</v>
      </c>
      <c r="D10183">
        <v>22</v>
      </c>
      <c r="E10183" t="s">
        <v>17</v>
      </c>
      <c r="F10183">
        <v>27.74</v>
      </c>
      <c r="G10183">
        <v>25.95</v>
      </c>
      <c r="H10183" t="s">
        <v>17</v>
      </c>
      <c r="I10183" t="str">
        <f>"060003204961"</f>
        <v>060003204961</v>
      </c>
    </row>
    <row r="10184" spans="1:9" x14ac:dyDescent="0.25">
      <c r="A10184" t="s">
        <v>8881</v>
      </c>
      <c r="B10184" t="s">
        <v>13</v>
      </c>
      <c r="C10184">
        <v>25.5</v>
      </c>
      <c r="D10184">
        <v>25</v>
      </c>
      <c r="E10184" t="s">
        <v>17</v>
      </c>
      <c r="F10184">
        <v>16.82</v>
      </c>
      <c r="G10184">
        <v>18.079999999999998</v>
      </c>
      <c r="H10184" t="s">
        <v>17</v>
      </c>
      <c r="I10184" t="str">
        <f>"060962001001"</f>
        <v>060962001001</v>
      </c>
    </row>
    <row r="10185" spans="1:9" x14ac:dyDescent="0.25">
      <c r="A10185" t="s">
        <v>8881</v>
      </c>
      <c r="B10185" t="s">
        <v>13</v>
      </c>
      <c r="C10185">
        <v>17</v>
      </c>
      <c r="D10185">
        <v>18</v>
      </c>
      <c r="E10185" t="s">
        <v>17</v>
      </c>
      <c r="F10185">
        <v>26.35</v>
      </c>
      <c r="G10185">
        <v>25.28</v>
      </c>
      <c r="H10185" t="s">
        <v>17</v>
      </c>
      <c r="I10185" t="str">
        <f>"060819000806"</f>
        <v>060819000806</v>
      </c>
    </row>
    <row r="10186" spans="1:9" x14ac:dyDescent="0.25">
      <c r="A10186" t="s">
        <v>8881</v>
      </c>
      <c r="B10186" t="s">
        <v>13</v>
      </c>
      <c r="C10186">
        <v>30</v>
      </c>
      <c r="D10186">
        <v>30</v>
      </c>
      <c r="E10186" t="s">
        <v>17</v>
      </c>
      <c r="F10186">
        <v>28.53</v>
      </c>
      <c r="G10186">
        <v>28.57</v>
      </c>
      <c r="H10186" t="s">
        <v>17</v>
      </c>
      <c r="I10186" t="str">
        <f>"060444000410"</f>
        <v>060444000410</v>
      </c>
    </row>
    <row r="10187" spans="1:9" x14ac:dyDescent="0.25">
      <c r="A10187" t="s">
        <v>8881</v>
      </c>
      <c r="B10187" t="s">
        <v>13</v>
      </c>
      <c r="C10187">
        <v>37</v>
      </c>
      <c r="D10187">
        <v>35</v>
      </c>
      <c r="E10187" t="s">
        <v>17</v>
      </c>
      <c r="F10187">
        <v>24.3</v>
      </c>
      <c r="G10187">
        <v>24.66</v>
      </c>
      <c r="H10187" t="s">
        <v>17</v>
      </c>
      <c r="I10187" t="str">
        <f>"060002209294"</f>
        <v>060002209294</v>
      </c>
    </row>
    <row r="10188" spans="1:9" x14ac:dyDescent="0.25">
      <c r="A10188" t="s">
        <v>8881</v>
      </c>
      <c r="B10188" t="s">
        <v>13</v>
      </c>
      <c r="C10188">
        <v>22</v>
      </c>
      <c r="D10188">
        <v>22</v>
      </c>
      <c r="E10188" t="s">
        <v>17</v>
      </c>
      <c r="F10188">
        <v>24.45</v>
      </c>
      <c r="G10188">
        <v>24.41</v>
      </c>
      <c r="H10188" t="s">
        <v>17</v>
      </c>
      <c r="I10188" t="str">
        <f>"060005201484"</f>
        <v>060005201484</v>
      </c>
    </row>
    <row r="10189" spans="1:9" x14ac:dyDescent="0.25">
      <c r="A10189" t="s">
        <v>8881</v>
      </c>
      <c r="B10189" t="s">
        <v>13</v>
      </c>
      <c r="C10189">
        <v>16</v>
      </c>
      <c r="D10189">
        <v>17</v>
      </c>
      <c r="E10189" t="s">
        <v>17</v>
      </c>
      <c r="F10189">
        <v>26.63</v>
      </c>
      <c r="G10189">
        <v>28.18</v>
      </c>
      <c r="H10189" t="s">
        <v>17</v>
      </c>
      <c r="I10189" t="str">
        <f>"061203001339"</f>
        <v>061203001339</v>
      </c>
    </row>
    <row r="10190" spans="1:9" x14ac:dyDescent="0.25">
      <c r="A10190" t="s">
        <v>8881</v>
      </c>
      <c r="B10190" t="s">
        <v>13</v>
      </c>
      <c r="C10190">
        <v>26</v>
      </c>
      <c r="D10190">
        <v>26</v>
      </c>
      <c r="E10190" t="s">
        <v>17</v>
      </c>
      <c r="F10190">
        <v>27.35</v>
      </c>
      <c r="G10190">
        <v>25.85</v>
      </c>
      <c r="H10190" t="s">
        <v>17</v>
      </c>
      <c r="I10190" t="str">
        <f>"063132004862"</f>
        <v>063132004862</v>
      </c>
    </row>
    <row r="10191" spans="1:9" x14ac:dyDescent="0.25">
      <c r="A10191" t="s">
        <v>8881</v>
      </c>
      <c r="B10191" t="s">
        <v>13</v>
      </c>
      <c r="C10191">
        <v>16</v>
      </c>
      <c r="D10191">
        <v>16.399999999999999</v>
      </c>
      <c r="E10191" t="s">
        <v>17</v>
      </c>
      <c r="F10191">
        <v>31.31</v>
      </c>
      <c r="G10191">
        <v>29.82</v>
      </c>
      <c r="H10191" t="s">
        <v>17</v>
      </c>
      <c r="I10191" t="str">
        <f>"063442500585"</f>
        <v>063442500585</v>
      </c>
    </row>
    <row r="10192" spans="1:9" x14ac:dyDescent="0.25">
      <c r="A10192" t="s">
        <v>8881</v>
      </c>
      <c r="B10192" t="s">
        <v>13</v>
      </c>
      <c r="C10192">
        <v>29</v>
      </c>
      <c r="D10192">
        <v>31</v>
      </c>
      <c r="E10192" t="s">
        <v>17</v>
      </c>
      <c r="F10192">
        <v>28.41</v>
      </c>
      <c r="G10192">
        <v>28.71</v>
      </c>
      <c r="H10192" t="s">
        <v>17</v>
      </c>
      <c r="I10192" t="str">
        <f>"062316003541"</f>
        <v>062316003541</v>
      </c>
    </row>
    <row r="10193" spans="1:9" x14ac:dyDescent="0.25">
      <c r="A10193" t="s">
        <v>8881</v>
      </c>
      <c r="B10193" t="s">
        <v>13</v>
      </c>
      <c r="C10193">
        <v>32</v>
      </c>
      <c r="D10193">
        <v>35.83</v>
      </c>
      <c r="E10193" t="s">
        <v>17</v>
      </c>
      <c r="F10193">
        <v>31.66</v>
      </c>
      <c r="G10193">
        <v>29.17</v>
      </c>
      <c r="H10193" t="s">
        <v>17</v>
      </c>
      <c r="I10193" t="str">
        <f>"062547003812"</f>
        <v>062547003812</v>
      </c>
    </row>
    <row r="10194" spans="1:9" x14ac:dyDescent="0.25">
      <c r="A10194" t="s">
        <v>8881</v>
      </c>
      <c r="B10194" t="s">
        <v>13</v>
      </c>
      <c r="C10194">
        <v>34.6</v>
      </c>
      <c r="D10194">
        <v>36.1</v>
      </c>
      <c r="E10194" t="s">
        <v>17</v>
      </c>
      <c r="F10194">
        <v>27.86</v>
      </c>
      <c r="G10194">
        <v>26.76</v>
      </c>
      <c r="H10194" t="s">
        <v>17</v>
      </c>
      <c r="I10194" t="str">
        <f>"063531006012"</f>
        <v>063531006012</v>
      </c>
    </row>
    <row r="10195" spans="1:9" x14ac:dyDescent="0.25">
      <c r="A10195" t="s">
        <v>8881</v>
      </c>
      <c r="B10195" t="s">
        <v>13</v>
      </c>
      <c r="C10195">
        <v>4.7</v>
      </c>
      <c r="D10195">
        <v>4</v>
      </c>
      <c r="E10195" t="s">
        <v>17</v>
      </c>
      <c r="F10195">
        <v>21.91</v>
      </c>
      <c r="G10195">
        <v>23.25</v>
      </c>
      <c r="H10195" t="s">
        <v>17</v>
      </c>
      <c r="I10195" t="str">
        <f>"062463003698"</f>
        <v>062463003698</v>
      </c>
    </row>
    <row r="10196" spans="1:9" x14ac:dyDescent="0.25">
      <c r="A10196" t="s">
        <v>8881</v>
      </c>
      <c r="B10196" t="s">
        <v>13</v>
      </c>
      <c r="C10196">
        <v>18.5</v>
      </c>
      <c r="D10196">
        <v>19</v>
      </c>
      <c r="E10196" t="s">
        <v>17</v>
      </c>
      <c r="F10196">
        <v>25.35</v>
      </c>
      <c r="G10196">
        <v>23</v>
      </c>
      <c r="H10196" t="s">
        <v>17</v>
      </c>
      <c r="I10196" t="str">
        <f>"063255005067"</f>
        <v>063255005067</v>
      </c>
    </row>
    <row r="10197" spans="1:9" x14ac:dyDescent="0.25">
      <c r="A10197" t="s">
        <v>8881</v>
      </c>
      <c r="B10197" t="s">
        <v>13</v>
      </c>
      <c r="C10197">
        <v>18.07</v>
      </c>
      <c r="D10197">
        <v>15.89</v>
      </c>
      <c r="E10197" t="s">
        <v>17</v>
      </c>
      <c r="F10197">
        <v>18.98</v>
      </c>
      <c r="G10197">
        <v>17.37</v>
      </c>
      <c r="H10197" t="s">
        <v>17</v>
      </c>
      <c r="I10197" t="str">
        <f>"060648000586"</f>
        <v>060648000586</v>
      </c>
    </row>
    <row r="10198" spans="1:9" x14ac:dyDescent="0.25">
      <c r="A10198" t="s">
        <v>8881</v>
      </c>
      <c r="B10198" t="s">
        <v>13</v>
      </c>
      <c r="C10198" t="s">
        <v>14</v>
      </c>
      <c r="D10198" t="s">
        <v>14</v>
      </c>
      <c r="E10198" t="s">
        <v>17</v>
      </c>
      <c r="F10198" t="s">
        <v>14</v>
      </c>
      <c r="G10198" t="s">
        <v>14</v>
      </c>
      <c r="H10198" t="s">
        <v>17</v>
      </c>
      <c r="I10198" t="str">
        <f>"063536006032"</f>
        <v>063536006032</v>
      </c>
    </row>
    <row r="10199" spans="1:9" x14ac:dyDescent="0.25">
      <c r="A10199" t="s">
        <v>8881</v>
      </c>
      <c r="B10199" t="s">
        <v>13</v>
      </c>
      <c r="C10199">
        <v>29.35</v>
      </c>
      <c r="D10199">
        <v>31.1</v>
      </c>
      <c r="E10199" t="s">
        <v>17</v>
      </c>
      <c r="F10199">
        <v>17.27</v>
      </c>
      <c r="G10199">
        <v>18.68</v>
      </c>
      <c r="H10199" t="s">
        <v>17</v>
      </c>
      <c r="I10199" t="str">
        <f>"063459005743"</f>
        <v>063459005743</v>
      </c>
    </row>
    <row r="10200" spans="1:9" x14ac:dyDescent="0.25">
      <c r="A10200" t="s">
        <v>8881</v>
      </c>
      <c r="B10200" t="s">
        <v>13</v>
      </c>
      <c r="C10200">
        <v>12.5</v>
      </c>
      <c r="D10200">
        <v>12.25</v>
      </c>
      <c r="E10200" t="s">
        <v>17</v>
      </c>
      <c r="F10200">
        <v>28.56</v>
      </c>
      <c r="G10200">
        <v>28.57</v>
      </c>
      <c r="H10200" t="s">
        <v>17</v>
      </c>
      <c r="I10200" t="str">
        <f>"063543006650"</f>
        <v>063543006650</v>
      </c>
    </row>
    <row r="10201" spans="1:9" x14ac:dyDescent="0.25">
      <c r="A10201" t="s">
        <v>8881</v>
      </c>
      <c r="B10201" t="s">
        <v>13</v>
      </c>
      <c r="C10201">
        <v>12</v>
      </c>
      <c r="D10201">
        <v>13</v>
      </c>
      <c r="E10201" t="s">
        <v>17</v>
      </c>
      <c r="F10201">
        <v>29.42</v>
      </c>
      <c r="G10201">
        <v>25.31</v>
      </c>
      <c r="H10201" t="s">
        <v>17</v>
      </c>
      <c r="I10201" t="str">
        <f>"064116006810"</f>
        <v>064116006810</v>
      </c>
    </row>
    <row r="10202" spans="1:9" x14ac:dyDescent="0.25">
      <c r="A10202" t="s">
        <v>8881</v>
      </c>
      <c r="B10202" t="s">
        <v>13</v>
      </c>
      <c r="C10202">
        <v>26</v>
      </c>
      <c r="D10202">
        <v>28</v>
      </c>
      <c r="E10202" t="s">
        <v>17</v>
      </c>
      <c r="F10202">
        <v>25.31</v>
      </c>
      <c r="G10202">
        <v>23.29</v>
      </c>
      <c r="H10202" t="s">
        <v>17</v>
      </c>
      <c r="I10202" t="str">
        <f>"062187002596"</f>
        <v>062187002596</v>
      </c>
    </row>
    <row r="10203" spans="1:9" x14ac:dyDescent="0.25">
      <c r="A10203" t="s">
        <v>8881</v>
      </c>
      <c r="B10203" t="s">
        <v>13</v>
      </c>
      <c r="C10203">
        <v>1</v>
      </c>
      <c r="D10203">
        <v>1</v>
      </c>
      <c r="E10203" t="s">
        <v>17</v>
      </c>
      <c r="F10203">
        <v>11</v>
      </c>
      <c r="G10203">
        <v>10</v>
      </c>
      <c r="H10203" t="s">
        <v>17</v>
      </c>
      <c r="I10203" t="str">
        <f>"060001206852"</f>
        <v>060001206852</v>
      </c>
    </row>
    <row r="10204" spans="1:9" x14ac:dyDescent="0.25">
      <c r="A10204" t="s">
        <v>8881</v>
      </c>
      <c r="B10204" t="s">
        <v>13</v>
      </c>
      <c r="C10204">
        <v>22.6</v>
      </c>
      <c r="D10204">
        <v>20.9</v>
      </c>
      <c r="E10204" t="s">
        <v>17</v>
      </c>
      <c r="F10204">
        <v>19.78</v>
      </c>
      <c r="G10204">
        <v>20.329999999999998</v>
      </c>
      <c r="H10204" t="s">
        <v>17</v>
      </c>
      <c r="I10204" t="str">
        <f>"060474000452"</f>
        <v>060474000452</v>
      </c>
    </row>
    <row r="10205" spans="1:9" x14ac:dyDescent="0.25">
      <c r="A10205" t="s">
        <v>8881</v>
      </c>
      <c r="B10205" t="s">
        <v>13</v>
      </c>
      <c r="C10205">
        <v>19.46</v>
      </c>
      <c r="D10205">
        <v>18.260000000000002</v>
      </c>
      <c r="E10205" t="s">
        <v>17</v>
      </c>
      <c r="F10205">
        <v>22.05</v>
      </c>
      <c r="G10205">
        <v>22.73</v>
      </c>
      <c r="H10205" t="s">
        <v>17</v>
      </c>
      <c r="I10205" t="str">
        <f>"063468005843"</f>
        <v>063468005843</v>
      </c>
    </row>
    <row r="10206" spans="1:9" x14ac:dyDescent="0.25">
      <c r="A10206" t="s">
        <v>8881</v>
      </c>
      <c r="B10206" t="s">
        <v>13</v>
      </c>
      <c r="C10206">
        <v>16</v>
      </c>
      <c r="D10206">
        <v>15.5</v>
      </c>
      <c r="E10206" t="s">
        <v>17</v>
      </c>
      <c r="F10206">
        <v>20.63</v>
      </c>
      <c r="G10206">
        <v>21.42</v>
      </c>
      <c r="H10206" t="s">
        <v>17</v>
      </c>
      <c r="I10206" t="str">
        <f>"063432005567"</f>
        <v>063432005567</v>
      </c>
    </row>
    <row r="10207" spans="1:9" x14ac:dyDescent="0.25">
      <c r="A10207" t="s">
        <v>8881</v>
      </c>
      <c r="B10207" t="s">
        <v>13</v>
      </c>
      <c r="C10207" t="s">
        <v>14</v>
      </c>
      <c r="D10207">
        <v>15.65</v>
      </c>
      <c r="E10207" t="s">
        <v>17</v>
      </c>
      <c r="F10207" t="s">
        <v>17</v>
      </c>
      <c r="G10207">
        <v>16.87</v>
      </c>
      <c r="H10207" t="s">
        <v>17</v>
      </c>
      <c r="I10207" t="str">
        <f>"060177000056"</f>
        <v>060177000056</v>
      </c>
    </row>
    <row r="10208" spans="1:9" x14ac:dyDescent="0.25">
      <c r="A10208" t="s">
        <v>8881</v>
      </c>
      <c r="B10208" t="s">
        <v>13</v>
      </c>
      <c r="C10208">
        <v>7.6</v>
      </c>
      <c r="D10208">
        <v>8.6</v>
      </c>
      <c r="E10208" t="s">
        <v>17</v>
      </c>
      <c r="F10208">
        <v>28.29</v>
      </c>
      <c r="G10208">
        <v>25.58</v>
      </c>
      <c r="H10208" t="s">
        <v>17</v>
      </c>
      <c r="I10208" t="str">
        <f>"064161006863"</f>
        <v>064161006863</v>
      </c>
    </row>
    <row r="10209" spans="1:9" x14ac:dyDescent="0.25">
      <c r="A10209" t="s">
        <v>8881</v>
      </c>
      <c r="B10209" t="s">
        <v>13</v>
      </c>
      <c r="C10209">
        <v>8</v>
      </c>
      <c r="D10209">
        <v>7.5</v>
      </c>
      <c r="E10209" t="s">
        <v>17</v>
      </c>
      <c r="F10209">
        <v>27.38</v>
      </c>
      <c r="G10209">
        <v>29.73</v>
      </c>
      <c r="H10209" t="s">
        <v>17</v>
      </c>
      <c r="I10209" t="str">
        <f>"063384005288"</f>
        <v>063384005288</v>
      </c>
    </row>
    <row r="10210" spans="1:9" x14ac:dyDescent="0.25">
      <c r="A10210" t="s">
        <v>8881</v>
      </c>
      <c r="B10210" t="s">
        <v>13</v>
      </c>
      <c r="C10210">
        <v>31.3</v>
      </c>
      <c r="D10210">
        <v>32.46</v>
      </c>
      <c r="E10210" t="s">
        <v>17</v>
      </c>
      <c r="F10210">
        <v>25.85</v>
      </c>
      <c r="G10210">
        <v>25.51</v>
      </c>
      <c r="H10210" t="s">
        <v>17</v>
      </c>
      <c r="I10210" t="str">
        <f>"063315005162"</f>
        <v>063315005162</v>
      </c>
    </row>
    <row r="10211" spans="1:9" x14ac:dyDescent="0.25">
      <c r="A10211" t="s">
        <v>8881</v>
      </c>
      <c r="B10211" t="s">
        <v>13</v>
      </c>
      <c r="C10211">
        <v>24</v>
      </c>
      <c r="D10211">
        <v>25</v>
      </c>
      <c r="E10211" t="s">
        <v>14</v>
      </c>
      <c r="F10211">
        <v>26.21</v>
      </c>
      <c r="G10211">
        <v>25.2</v>
      </c>
      <c r="H10211" t="s">
        <v>14</v>
      </c>
      <c r="I10211" t="str">
        <f>"060141406032"</f>
        <v>060141406032</v>
      </c>
    </row>
    <row r="10212" spans="1:9" x14ac:dyDescent="0.25">
      <c r="A10212" t="s">
        <v>8882</v>
      </c>
      <c r="B10212" t="s">
        <v>13</v>
      </c>
      <c r="C10212">
        <v>49.75</v>
      </c>
      <c r="D10212">
        <v>50.95</v>
      </c>
      <c r="E10212" t="s">
        <v>14</v>
      </c>
      <c r="F10212">
        <v>20.2</v>
      </c>
      <c r="G10212">
        <v>19.96</v>
      </c>
      <c r="H10212" t="s">
        <v>14</v>
      </c>
      <c r="I10212" t="str">
        <f>"060141506864"</f>
        <v>060141506864</v>
      </c>
    </row>
    <row r="10213" spans="1:9" x14ac:dyDescent="0.25">
      <c r="A10213" t="s">
        <v>8882</v>
      </c>
      <c r="B10213" t="s">
        <v>13</v>
      </c>
      <c r="C10213">
        <v>15.8</v>
      </c>
      <c r="D10213">
        <v>15</v>
      </c>
      <c r="E10213" t="s">
        <v>17</v>
      </c>
      <c r="F10213">
        <v>10.51</v>
      </c>
      <c r="G10213">
        <v>13.2</v>
      </c>
      <c r="H10213" t="s">
        <v>17</v>
      </c>
      <c r="I10213" t="str">
        <f>"060939008126"</f>
        <v>060939008126</v>
      </c>
    </row>
    <row r="10214" spans="1:9" x14ac:dyDescent="0.25">
      <c r="A10214" t="s">
        <v>8882</v>
      </c>
      <c r="B10214" t="s">
        <v>13</v>
      </c>
      <c r="C10214">
        <v>76.72</v>
      </c>
      <c r="D10214">
        <v>79.290000000000006</v>
      </c>
      <c r="E10214" t="s">
        <v>17</v>
      </c>
      <c r="F10214">
        <v>24.82</v>
      </c>
      <c r="G10214">
        <v>24.37</v>
      </c>
      <c r="H10214" t="s">
        <v>17</v>
      </c>
      <c r="I10214" t="str">
        <f>"061440001692"</f>
        <v>061440001692</v>
      </c>
    </row>
    <row r="10215" spans="1:9" x14ac:dyDescent="0.25">
      <c r="A10215" t="s">
        <v>8882</v>
      </c>
      <c r="B10215" t="s">
        <v>13</v>
      </c>
      <c r="C10215" t="s">
        <v>14</v>
      </c>
      <c r="D10215" t="s">
        <v>14</v>
      </c>
      <c r="E10215" t="s">
        <v>17</v>
      </c>
      <c r="F10215" t="s">
        <v>14</v>
      </c>
      <c r="G10215" t="s">
        <v>14</v>
      </c>
      <c r="H10215" t="s">
        <v>17</v>
      </c>
      <c r="I10215" t="str">
        <f>"064164006864"</f>
        <v>064164006864</v>
      </c>
    </row>
    <row r="10216" spans="1:9" x14ac:dyDescent="0.25">
      <c r="A10216" t="s">
        <v>8883</v>
      </c>
      <c r="B10216" t="s">
        <v>13</v>
      </c>
      <c r="C10216">
        <v>45.86</v>
      </c>
      <c r="D10216">
        <v>54.05</v>
      </c>
      <c r="E10216" t="s">
        <v>17</v>
      </c>
      <c r="F10216">
        <v>18.690000000000001</v>
      </c>
      <c r="G10216">
        <v>16.52</v>
      </c>
      <c r="H10216" t="s">
        <v>17</v>
      </c>
      <c r="I10216" t="str">
        <f>"060006501240"</f>
        <v>060006501240</v>
      </c>
    </row>
    <row r="10217" spans="1:9" x14ac:dyDescent="0.25">
      <c r="A10217" t="s">
        <v>8884</v>
      </c>
      <c r="B10217" t="s">
        <v>13</v>
      </c>
      <c r="C10217">
        <v>26.34</v>
      </c>
      <c r="D10217">
        <v>33.020000000000003</v>
      </c>
      <c r="E10217" t="s">
        <v>17</v>
      </c>
      <c r="F10217">
        <v>23.23</v>
      </c>
      <c r="G10217">
        <v>19.96</v>
      </c>
      <c r="H10217" t="s">
        <v>17</v>
      </c>
      <c r="I10217" t="str">
        <f>"062271003102"</f>
        <v>062271003102</v>
      </c>
    </row>
    <row r="10218" spans="1:9" x14ac:dyDescent="0.25">
      <c r="A10218" t="s">
        <v>8885</v>
      </c>
      <c r="B10218" t="s">
        <v>13</v>
      </c>
      <c r="C10218">
        <v>34.78</v>
      </c>
      <c r="D10218">
        <v>36.130000000000003</v>
      </c>
      <c r="E10218" t="s">
        <v>17</v>
      </c>
      <c r="F10218">
        <v>24.18</v>
      </c>
      <c r="G10218">
        <v>23.78</v>
      </c>
      <c r="H10218" t="s">
        <v>17</v>
      </c>
      <c r="I10218" t="str">
        <f>"063471008973"</f>
        <v>063471008973</v>
      </c>
    </row>
    <row r="10219" spans="1:9" x14ac:dyDescent="0.25">
      <c r="A10219" t="s">
        <v>8886</v>
      </c>
      <c r="B10219" t="s">
        <v>13</v>
      </c>
      <c r="C10219">
        <v>33.33</v>
      </c>
      <c r="D10219">
        <v>32.33</v>
      </c>
      <c r="E10219" t="s">
        <v>17</v>
      </c>
      <c r="F10219">
        <v>19.02</v>
      </c>
      <c r="G10219">
        <v>20.69</v>
      </c>
      <c r="H10219" t="s">
        <v>17</v>
      </c>
      <c r="I10219" t="str">
        <f>"064119006825"</f>
        <v>064119006825</v>
      </c>
    </row>
    <row r="10220" spans="1:9" x14ac:dyDescent="0.25">
      <c r="A10220" t="s">
        <v>8886</v>
      </c>
      <c r="B10220" t="s">
        <v>13</v>
      </c>
      <c r="C10220">
        <v>42.87</v>
      </c>
      <c r="D10220">
        <v>44.5</v>
      </c>
      <c r="E10220" t="s">
        <v>17</v>
      </c>
      <c r="F10220">
        <v>23.79</v>
      </c>
      <c r="G10220">
        <v>22.45</v>
      </c>
      <c r="H10220" t="s">
        <v>17</v>
      </c>
      <c r="I10220" t="str">
        <f>"063398005337"</f>
        <v>063398005337</v>
      </c>
    </row>
    <row r="10221" spans="1:9" x14ac:dyDescent="0.25">
      <c r="A10221" t="s">
        <v>8886</v>
      </c>
      <c r="B10221" t="s">
        <v>13</v>
      </c>
      <c r="C10221">
        <v>27.3</v>
      </c>
      <c r="D10221">
        <v>40.4</v>
      </c>
      <c r="E10221" t="s">
        <v>17</v>
      </c>
      <c r="F10221">
        <v>18.28</v>
      </c>
      <c r="G10221">
        <v>14.13</v>
      </c>
      <c r="H10221" t="s">
        <v>17</v>
      </c>
      <c r="I10221" t="str">
        <f>"062994004689"</f>
        <v>062994004689</v>
      </c>
    </row>
    <row r="10222" spans="1:9" x14ac:dyDescent="0.25">
      <c r="A10222" t="s">
        <v>8886</v>
      </c>
      <c r="B10222" t="s">
        <v>13</v>
      </c>
      <c r="C10222">
        <v>29.5</v>
      </c>
      <c r="D10222">
        <v>29.75</v>
      </c>
      <c r="E10222" t="s">
        <v>17</v>
      </c>
      <c r="F10222">
        <v>29.83</v>
      </c>
      <c r="G10222">
        <v>29.88</v>
      </c>
      <c r="H10222" t="s">
        <v>17</v>
      </c>
      <c r="I10222" t="str">
        <f>"062019002420"</f>
        <v>062019002420</v>
      </c>
    </row>
    <row r="10223" spans="1:9" x14ac:dyDescent="0.25">
      <c r="A10223" t="s">
        <v>8886</v>
      </c>
      <c r="B10223" t="s">
        <v>13</v>
      </c>
      <c r="C10223">
        <v>37.32</v>
      </c>
      <c r="D10223">
        <v>35.979999999999997</v>
      </c>
      <c r="E10223" t="s">
        <v>17</v>
      </c>
      <c r="F10223">
        <v>30.31</v>
      </c>
      <c r="G10223">
        <v>29.32</v>
      </c>
      <c r="H10223" t="s">
        <v>17</v>
      </c>
      <c r="I10223" t="str">
        <f>"062250002765"</f>
        <v>062250002765</v>
      </c>
    </row>
    <row r="10224" spans="1:9" x14ac:dyDescent="0.25">
      <c r="A10224" t="s">
        <v>8886</v>
      </c>
      <c r="B10224" t="s">
        <v>13</v>
      </c>
      <c r="C10224">
        <v>22.78</v>
      </c>
      <c r="D10224">
        <v>23.28</v>
      </c>
      <c r="E10224" t="s">
        <v>17</v>
      </c>
      <c r="F10224">
        <v>27.57</v>
      </c>
      <c r="G10224">
        <v>26.12</v>
      </c>
      <c r="H10224" t="s">
        <v>17</v>
      </c>
      <c r="I10224" t="str">
        <f>"060363000320"</f>
        <v>060363000320</v>
      </c>
    </row>
    <row r="10225" spans="1:9" x14ac:dyDescent="0.25">
      <c r="A10225" t="s">
        <v>8887</v>
      </c>
      <c r="B10225" t="s">
        <v>13</v>
      </c>
      <c r="C10225">
        <v>9</v>
      </c>
      <c r="D10225">
        <v>10</v>
      </c>
      <c r="E10225" t="s">
        <v>17</v>
      </c>
      <c r="F10225">
        <v>21.67</v>
      </c>
      <c r="G10225">
        <v>22</v>
      </c>
      <c r="H10225" t="s">
        <v>17</v>
      </c>
      <c r="I10225" t="str">
        <f>"062271010878"</f>
        <v>062271010878</v>
      </c>
    </row>
    <row r="10226" spans="1:9" x14ac:dyDescent="0.25">
      <c r="A10226" t="s">
        <v>8888</v>
      </c>
      <c r="B10226" t="s">
        <v>13</v>
      </c>
      <c r="C10226">
        <v>13</v>
      </c>
      <c r="D10226">
        <v>13.5</v>
      </c>
      <c r="E10226" t="s">
        <v>17</v>
      </c>
      <c r="F10226">
        <v>21.77</v>
      </c>
      <c r="G10226">
        <v>23.93</v>
      </c>
      <c r="H10226" t="s">
        <v>17</v>
      </c>
      <c r="I10226" t="str">
        <f>"060408010250"</f>
        <v>060408010250</v>
      </c>
    </row>
    <row r="10227" spans="1:9" x14ac:dyDescent="0.25">
      <c r="A10227" t="s">
        <v>8889</v>
      </c>
      <c r="B10227" t="s">
        <v>13</v>
      </c>
      <c r="C10227" t="s">
        <v>14</v>
      </c>
      <c r="D10227">
        <v>1</v>
      </c>
      <c r="E10227" t="s">
        <v>14</v>
      </c>
      <c r="F10227" t="s">
        <v>17</v>
      </c>
      <c r="G10227">
        <v>6</v>
      </c>
      <c r="H10227" t="s">
        <v>14</v>
      </c>
      <c r="I10227" t="str">
        <f>"060006313009"</f>
        <v>060006313009</v>
      </c>
    </row>
    <row r="10228" spans="1:9" x14ac:dyDescent="0.25">
      <c r="A10228" t="s">
        <v>8890</v>
      </c>
      <c r="B10228" t="s">
        <v>13</v>
      </c>
      <c r="C10228">
        <v>28.4</v>
      </c>
      <c r="D10228">
        <v>26.14</v>
      </c>
      <c r="E10228" t="s">
        <v>17</v>
      </c>
      <c r="F10228">
        <v>21.3</v>
      </c>
      <c r="G10228">
        <v>23.45</v>
      </c>
      <c r="H10228" t="s">
        <v>17</v>
      </c>
      <c r="I10228" t="str">
        <f>"060006308657"</f>
        <v>060006308657</v>
      </c>
    </row>
    <row r="10229" spans="1:9" x14ac:dyDescent="0.25">
      <c r="A10229" t="s">
        <v>8891</v>
      </c>
      <c r="B10229" t="s">
        <v>13</v>
      </c>
      <c r="C10229">
        <v>10.25</v>
      </c>
      <c r="D10229">
        <v>16.329999999999998</v>
      </c>
      <c r="E10229" t="s">
        <v>17</v>
      </c>
      <c r="F10229">
        <v>22.24</v>
      </c>
      <c r="G10229">
        <v>22.17</v>
      </c>
      <c r="H10229" t="s">
        <v>17</v>
      </c>
      <c r="I10229" t="str">
        <f>"060006306868"</f>
        <v>060006306868</v>
      </c>
    </row>
    <row r="10230" spans="1:9" x14ac:dyDescent="0.25">
      <c r="A10230" t="s">
        <v>8892</v>
      </c>
      <c r="B10230" t="s">
        <v>13</v>
      </c>
      <c r="C10230">
        <v>14.67</v>
      </c>
      <c r="D10230">
        <v>15.66</v>
      </c>
      <c r="E10230" t="s">
        <v>17</v>
      </c>
      <c r="F10230">
        <v>25.36</v>
      </c>
      <c r="G10230">
        <v>24.71</v>
      </c>
      <c r="H10230" t="s">
        <v>17</v>
      </c>
      <c r="I10230" t="str">
        <f>"062181002590"</f>
        <v>062181002590</v>
      </c>
    </row>
    <row r="10231" spans="1:9" x14ac:dyDescent="0.25">
      <c r="A10231" t="s">
        <v>8893</v>
      </c>
      <c r="B10231" t="s">
        <v>13</v>
      </c>
      <c r="C10231">
        <v>12</v>
      </c>
      <c r="D10231">
        <v>11</v>
      </c>
      <c r="E10231" t="s">
        <v>17</v>
      </c>
      <c r="F10231">
        <v>21.75</v>
      </c>
      <c r="G10231">
        <v>24</v>
      </c>
      <c r="H10231" t="s">
        <v>17</v>
      </c>
      <c r="I10231" t="str">
        <f>"062949010413"</f>
        <v>062949010413</v>
      </c>
    </row>
    <row r="10232" spans="1:9" x14ac:dyDescent="0.25">
      <c r="A10232" t="s">
        <v>8894</v>
      </c>
      <c r="B10232" t="s">
        <v>13</v>
      </c>
      <c r="C10232">
        <v>79</v>
      </c>
      <c r="D10232">
        <v>79</v>
      </c>
      <c r="E10232" t="s">
        <v>17</v>
      </c>
      <c r="F10232">
        <v>25.28</v>
      </c>
      <c r="G10232">
        <v>25.35</v>
      </c>
      <c r="H10232" t="s">
        <v>17</v>
      </c>
      <c r="I10232" t="str">
        <f>"062949004555"</f>
        <v>062949004555</v>
      </c>
    </row>
    <row r="10233" spans="1:9" x14ac:dyDescent="0.25">
      <c r="A10233" t="s">
        <v>8895</v>
      </c>
      <c r="B10233" t="s">
        <v>13</v>
      </c>
      <c r="C10233">
        <v>15</v>
      </c>
      <c r="D10233">
        <v>13.5</v>
      </c>
      <c r="E10233" t="s">
        <v>17</v>
      </c>
      <c r="F10233">
        <v>24</v>
      </c>
      <c r="G10233">
        <v>26.07</v>
      </c>
      <c r="H10233" t="s">
        <v>17</v>
      </c>
      <c r="I10233" t="str">
        <f>"062271007522"</f>
        <v>062271007522</v>
      </c>
    </row>
    <row r="10234" spans="1:9" x14ac:dyDescent="0.25">
      <c r="A10234" t="s">
        <v>8896</v>
      </c>
      <c r="B10234" t="s">
        <v>13</v>
      </c>
      <c r="C10234">
        <v>11</v>
      </c>
      <c r="D10234">
        <v>6</v>
      </c>
      <c r="E10234" t="s">
        <v>17</v>
      </c>
      <c r="F10234">
        <v>30.82</v>
      </c>
      <c r="G10234">
        <v>24.67</v>
      </c>
      <c r="H10234" t="s">
        <v>17</v>
      </c>
      <c r="I10234" t="str">
        <f>"062271012491"</f>
        <v>062271012491</v>
      </c>
    </row>
    <row r="10235" spans="1:9" x14ac:dyDescent="0.25">
      <c r="A10235" t="s">
        <v>8897</v>
      </c>
      <c r="B10235" t="s">
        <v>13</v>
      </c>
      <c r="C10235">
        <v>12</v>
      </c>
      <c r="D10235">
        <v>12</v>
      </c>
      <c r="E10235" t="s">
        <v>17</v>
      </c>
      <c r="F10235">
        <v>23.42</v>
      </c>
      <c r="G10235">
        <v>23</v>
      </c>
      <c r="H10235" t="s">
        <v>17</v>
      </c>
      <c r="I10235" t="str">
        <f>"064182006870"</f>
        <v>064182006870</v>
      </c>
    </row>
    <row r="10236" spans="1:9" x14ac:dyDescent="0.25">
      <c r="A10236" t="s">
        <v>8898</v>
      </c>
      <c r="B10236" t="s">
        <v>13</v>
      </c>
      <c r="C10236">
        <v>13.66</v>
      </c>
      <c r="D10236">
        <v>13.66</v>
      </c>
      <c r="E10236" t="s">
        <v>17</v>
      </c>
      <c r="F10236">
        <v>24.89</v>
      </c>
      <c r="G10236">
        <v>23.5</v>
      </c>
      <c r="H10236" t="s">
        <v>17</v>
      </c>
      <c r="I10236" t="str">
        <f>"062181002591"</f>
        <v>062181002591</v>
      </c>
    </row>
    <row r="10237" spans="1:9" x14ac:dyDescent="0.25">
      <c r="A10237" t="s">
        <v>8899</v>
      </c>
      <c r="B10237" t="s">
        <v>13</v>
      </c>
      <c r="C10237">
        <v>34.81</v>
      </c>
      <c r="D10237">
        <v>38.6</v>
      </c>
      <c r="E10237" t="s">
        <v>17</v>
      </c>
      <c r="F10237">
        <v>21.49</v>
      </c>
      <c r="G10237">
        <v>25.7</v>
      </c>
      <c r="H10237" t="s">
        <v>17</v>
      </c>
      <c r="I10237" t="str">
        <f>"061455001777"</f>
        <v>061455001777</v>
      </c>
    </row>
    <row r="10238" spans="1:9" x14ac:dyDescent="0.25">
      <c r="A10238" t="s">
        <v>8900</v>
      </c>
      <c r="B10238" t="s">
        <v>13</v>
      </c>
      <c r="C10238">
        <v>49.77</v>
      </c>
      <c r="D10238">
        <v>52</v>
      </c>
      <c r="E10238" t="s">
        <v>17</v>
      </c>
      <c r="F10238">
        <v>24.19</v>
      </c>
      <c r="G10238">
        <v>23.94</v>
      </c>
      <c r="H10238" t="s">
        <v>17</v>
      </c>
      <c r="I10238" t="str">
        <f>"061392011096"</f>
        <v>061392011096</v>
      </c>
    </row>
    <row r="10239" spans="1:9" x14ac:dyDescent="0.25">
      <c r="A10239" t="s">
        <v>8901</v>
      </c>
      <c r="B10239" t="s">
        <v>13</v>
      </c>
      <c r="C10239">
        <v>21.75</v>
      </c>
      <c r="D10239">
        <v>20.04</v>
      </c>
      <c r="E10239" t="s">
        <v>17</v>
      </c>
      <c r="F10239">
        <v>25.66</v>
      </c>
      <c r="G10239">
        <v>26.75</v>
      </c>
      <c r="H10239" t="s">
        <v>17</v>
      </c>
      <c r="I10239" t="str">
        <f>"060639009331"</f>
        <v>060639009331</v>
      </c>
    </row>
    <row r="10240" spans="1:9" x14ac:dyDescent="0.25">
      <c r="A10240" t="s">
        <v>8902</v>
      </c>
      <c r="B10240" t="s">
        <v>13</v>
      </c>
      <c r="C10240">
        <v>36.200000000000003</v>
      </c>
      <c r="D10240">
        <v>37.1</v>
      </c>
      <c r="E10240" t="s">
        <v>17</v>
      </c>
      <c r="F10240">
        <v>20.69</v>
      </c>
      <c r="G10240">
        <v>20.54</v>
      </c>
      <c r="H10240" t="s">
        <v>17</v>
      </c>
      <c r="I10240" t="str">
        <f>"060363000321"</f>
        <v>060363000321</v>
      </c>
    </row>
    <row r="10241" spans="1:9" x14ac:dyDescent="0.25">
      <c r="A10241" t="s">
        <v>8903</v>
      </c>
      <c r="B10241" t="s">
        <v>13</v>
      </c>
      <c r="C10241">
        <v>1</v>
      </c>
      <c r="D10241">
        <v>2</v>
      </c>
      <c r="E10241" t="s">
        <v>17</v>
      </c>
      <c r="F10241">
        <v>19</v>
      </c>
      <c r="G10241">
        <v>12.5</v>
      </c>
      <c r="H10241" t="s">
        <v>17</v>
      </c>
      <c r="I10241" t="str">
        <f>"063255012353"</f>
        <v>063255012353</v>
      </c>
    </row>
    <row r="10242" spans="1:9" x14ac:dyDescent="0.25">
      <c r="A10242" t="s">
        <v>8904</v>
      </c>
      <c r="B10242" t="s">
        <v>13</v>
      </c>
      <c r="C10242">
        <v>19</v>
      </c>
      <c r="D10242">
        <v>19.059999999999999</v>
      </c>
      <c r="E10242" t="s">
        <v>17</v>
      </c>
      <c r="F10242">
        <v>21.89</v>
      </c>
      <c r="G10242">
        <v>22.98</v>
      </c>
      <c r="H10242" t="s">
        <v>17</v>
      </c>
      <c r="I10242" t="str">
        <f>"060964001029"</f>
        <v>060964001029</v>
      </c>
    </row>
    <row r="10243" spans="1:9" x14ac:dyDescent="0.25">
      <c r="A10243" t="s">
        <v>8905</v>
      </c>
      <c r="B10243" t="s">
        <v>13</v>
      </c>
      <c r="C10243">
        <v>34.01</v>
      </c>
      <c r="D10243">
        <v>33</v>
      </c>
      <c r="E10243" t="s">
        <v>17</v>
      </c>
      <c r="F10243">
        <v>24.11</v>
      </c>
      <c r="G10243">
        <v>23.24</v>
      </c>
      <c r="H10243" t="s">
        <v>17</v>
      </c>
      <c r="I10243" t="str">
        <f>"064188006871"</f>
        <v>064188006871</v>
      </c>
    </row>
    <row r="10244" spans="1:9" x14ac:dyDescent="0.25">
      <c r="A10244" t="s">
        <v>8906</v>
      </c>
      <c r="B10244" t="s">
        <v>13</v>
      </c>
      <c r="C10244" t="s">
        <v>17</v>
      </c>
      <c r="D10244" t="s">
        <v>14</v>
      </c>
      <c r="E10244" t="s">
        <v>14</v>
      </c>
      <c r="F10244" t="s">
        <v>17</v>
      </c>
      <c r="G10244" t="s">
        <v>14</v>
      </c>
      <c r="H10244" t="s">
        <v>14</v>
      </c>
      <c r="I10244" t="str">
        <f>"064188013305"</f>
        <v>064188013305</v>
      </c>
    </row>
    <row r="10245" spans="1:9" x14ac:dyDescent="0.25">
      <c r="A10245" t="s">
        <v>8907</v>
      </c>
      <c r="B10245" t="s">
        <v>13</v>
      </c>
      <c r="C10245">
        <v>18.03</v>
      </c>
      <c r="D10245">
        <v>17.809999999999999</v>
      </c>
      <c r="E10245" t="s">
        <v>17</v>
      </c>
      <c r="F10245">
        <v>18.579999999999998</v>
      </c>
      <c r="G10245">
        <v>20.55</v>
      </c>
      <c r="H10245" t="s">
        <v>17</v>
      </c>
      <c r="I10245" t="str">
        <f>"060133106872"</f>
        <v>060133106872</v>
      </c>
    </row>
    <row r="10246" spans="1:9" x14ac:dyDescent="0.25">
      <c r="A10246" t="s">
        <v>8908</v>
      </c>
      <c r="B10246" t="s">
        <v>13</v>
      </c>
      <c r="C10246">
        <v>15</v>
      </c>
      <c r="D10246">
        <v>17</v>
      </c>
      <c r="E10246" t="s">
        <v>17</v>
      </c>
      <c r="F10246">
        <v>26.47</v>
      </c>
      <c r="G10246">
        <v>24.41</v>
      </c>
      <c r="H10246" t="s">
        <v>17</v>
      </c>
      <c r="I10246" t="str">
        <f>"064215006917"</f>
        <v>064215006917</v>
      </c>
    </row>
    <row r="10247" spans="1:9" x14ac:dyDescent="0.25">
      <c r="A10247" t="s">
        <v>8909</v>
      </c>
      <c r="B10247" t="s">
        <v>13</v>
      </c>
      <c r="C10247">
        <v>21.34</v>
      </c>
      <c r="D10247">
        <v>21.63</v>
      </c>
      <c r="E10247" t="s">
        <v>17</v>
      </c>
      <c r="F10247">
        <v>18.7</v>
      </c>
      <c r="G10247">
        <v>18.350000000000001</v>
      </c>
      <c r="H10247" t="s">
        <v>17</v>
      </c>
      <c r="I10247" t="str">
        <f>"063801008619"</f>
        <v>063801008619</v>
      </c>
    </row>
    <row r="10248" spans="1:9" x14ac:dyDescent="0.25">
      <c r="A10248" t="s">
        <v>8910</v>
      </c>
      <c r="B10248" t="s">
        <v>13</v>
      </c>
      <c r="C10248">
        <v>15</v>
      </c>
      <c r="D10248">
        <v>13</v>
      </c>
      <c r="E10248" t="s">
        <v>17</v>
      </c>
      <c r="F10248">
        <v>17.47</v>
      </c>
      <c r="G10248">
        <v>18.77</v>
      </c>
      <c r="H10248" t="s">
        <v>17</v>
      </c>
      <c r="I10248" t="str">
        <f>"063441005600"</f>
        <v>063441005600</v>
      </c>
    </row>
    <row r="10249" spans="1:9" x14ac:dyDescent="0.25">
      <c r="A10249" t="s">
        <v>8911</v>
      </c>
      <c r="B10249" t="s">
        <v>13</v>
      </c>
      <c r="C10249">
        <v>18</v>
      </c>
      <c r="D10249">
        <v>19</v>
      </c>
      <c r="E10249" t="s">
        <v>17</v>
      </c>
      <c r="F10249">
        <v>19.22</v>
      </c>
      <c r="G10249">
        <v>18.420000000000002</v>
      </c>
      <c r="H10249" t="s">
        <v>17</v>
      </c>
      <c r="I10249" t="str">
        <f>"063432005568"</f>
        <v>063432005568</v>
      </c>
    </row>
    <row r="10250" spans="1:9" x14ac:dyDescent="0.25">
      <c r="A10250" t="s">
        <v>8911</v>
      </c>
      <c r="B10250" t="s">
        <v>13</v>
      </c>
      <c r="C10250">
        <v>25.93</v>
      </c>
      <c r="D10250">
        <v>26.5</v>
      </c>
      <c r="E10250" t="s">
        <v>17</v>
      </c>
      <c r="F10250">
        <v>23.68</v>
      </c>
      <c r="G10250">
        <v>23.62</v>
      </c>
      <c r="H10250" t="s">
        <v>17</v>
      </c>
      <c r="I10250" t="str">
        <f>"060006807312"</f>
        <v>060006807312</v>
      </c>
    </row>
    <row r="10251" spans="1:9" x14ac:dyDescent="0.25">
      <c r="A10251" t="s">
        <v>8911</v>
      </c>
      <c r="B10251" t="s">
        <v>13</v>
      </c>
      <c r="C10251">
        <v>15</v>
      </c>
      <c r="D10251">
        <v>14</v>
      </c>
      <c r="E10251" t="s">
        <v>17</v>
      </c>
      <c r="F10251">
        <v>23.67</v>
      </c>
      <c r="G10251">
        <v>24.29</v>
      </c>
      <c r="H10251" t="s">
        <v>17</v>
      </c>
      <c r="I10251" t="str">
        <f>"063570006104"</f>
        <v>063570006104</v>
      </c>
    </row>
    <row r="10252" spans="1:9" x14ac:dyDescent="0.25">
      <c r="A10252" t="s">
        <v>8911</v>
      </c>
      <c r="B10252" t="s">
        <v>13</v>
      </c>
      <c r="C10252">
        <v>19</v>
      </c>
      <c r="D10252">
        <v>19</v>
      </c>
      <c r="E10252" t="s">
        <v>17</v>
      </c>
      <c r="F10252">
        <v>21.63</v>
      </c>
      <c r="G10252">
        <v>23.32</v>
      </c>
      <c r="H10252" t="s">
        <v>17</v>
      </c>
      <c r="I10252" t="str">
        <f>"061455001778"</f>
        <v>061455001778</v>
      </c>
    </row>
    <row r="10253" spans="1:9" x14ac:dyDescent="0.25">
      <c r="A10253" t="s">
        <v>8911</v>
      </c>
      <c r="B10253" t="s">
        <v>13</v>
      </c>
      <c r="C10253">
        <v>36</v>
      </c>
      <c r="D10253">
        <v>35</v>
      </c>
      <c r="E10253" t="s">
        <v>17</v>
      </c>
      <c r="F10253">
        <v>16.97</v>
      </c>
      <c r="G10253">
        <v>16.8</v>
      </c>
      <c r="H10253" t="s">
        <v>17</v>
      </c>
      <c r="I10253" t="str">
        <f>"062250002766"</f>
        <v>062250002766</v>
      </c>
    </row>
    <row r="10254" spans="1:9" x14ac:dyDescent="0.25">
      <c r="A10254" t="s">
        <v>8912</v>
      </c>
      <c r="B10254" t="s">
        <v>13</v>
      </c>
      <c r="C10254">
        <v>17</v>
      </c>
      <c r="D10254">
        <v>16</v>
      </c>
      <c r="E10254" t="s">
        <v>17</v>
      </c>
      <c r="F10254">
        <v>22</v>
      </c>
      <c r="G10254">
        <v>21.56</v>
      </c>
      <c r="H10254" t="s">
        <v>17</v>
      </c>
      <c r="I10254" t="str">
        <f>"061632502070"</f>
        <v>061632502070</v>
      </c>
    </row>
    <row r="10255" spans="1:9" x14ac:dyDescent="0.25">
      <c r="A10255" t="s">
        <v>8913</v>
      </c>
      <c r="B10255" t="s">
        <v>13</v>
      </c>
      <c r="C10255">
        <v>12</v>
      </c>
      <c r="D10255">
        <v>14.5</v>
      </c>
      <c r="E10255" t="s">
        <v>17</v>
      </c>
      <c r="F10255">
        <v>20.329999999999998</v>
      </c>
      <c r="G10255">
        <v>18.899999999999999</v>
      </c>
      <c r="H10255" t="s">
        <v>17</v>
      </c>
      <c r="I10255" t="str">
        <f>"064198006873"</f>
        <v>064198006873</v>
      </c>
    </row>
    <row r="10256" spans="1:9" x14ac:dyDescent="0.25">
      <c r="A10256" t="s">
        <v>8914</v>
      </c>
      <c r="B10256" t="s">
        <v>13</v>
      </c>
      <c r="C10256">
        <v>11.25</v>
      </c>
      <c r="D10256">
        <v>12.94</v>
      </c>
      <c r="E10256" t="s">
        <v>17</v>
      </c>
      <c r="F10256">
        <v>16.71</v>
      </c>
      <c r="G10256">
        <v>14.3</v>
      </c>
      <c r="H10256" t="s">
        <v>17</v>
      </c>
      <c r="I10256" t="str">
        <f>"063694006280"</f>
        <v>063694006280</v>
      </c>
    </row>
    <row r="10257" spans="1:9" x14ac:dyDescent="0.25">
      <c r="A10257" t="s">
        <v>8915</v>
      </c>
      <c r="B10257" t="s">
        <v>13</v>
      </c>
      <c r="C10257">
        <v>13</v>
      </c>
      <c r="D10257">
        <v>12.7</v>
      </c>
      <c r="E10257" t="s">
        <v>17</v>
      </c>
      <c r="F10257">
        <v>18.309999999999999</v>
      </c>
      <c r="G10257">
        <v>19.059999999999999</v>
      </c>
      <c r="H10257" t="s">
        <v>17</v>
      </c>
      <c r="I10257" t="str">
        <f>"063432005569"</f>
        <v>063432005569</v>
      </c>
    </row>
    <row r="10258" spans="1:9" x14ac:dyDescent="0.25">
      <c r="A10258" t="s">
        <v>8916</v>
      </c>
      <c r="B10258" t="s">
        <v>13</v>
      </c>
      <c r="C10258">
        <v>17.5</v>
      </c>
      <c r="D10258">
        <v>21</v>
      </c>
      <c r="E10258" t="s">
        <v>17</v>
      </c>
      <c r="F10258">
        <v>23.26</v>
      </c>
      <c r="G10258">
        <v>19.809999999999999</v>
      </c>
      <c r="H10258" t="s">
        <v>17</v>
      </c>
      <c r="I10258" t="str">
        <f>"062271003447"</f>
        <v>062271003447</v>
      </c>
    </row>
    <row r="10259" spans="1:9" x14ac:dyDescent="0.25">
      <c r="A10259" t="s">
        <v>8917</v>
      </c>
      <c r="B10259" t="s">
        <v>13</v>
      </c>
      <c r="C10259" t="s">
        <v>17</v>
      </c>
      <c r="D10259" t="s">
        <v>14</v>
      </c>
      <c r="E10259" t="s">
        <v>14</v>
      </c>
      <c r="F10259" t="s">
        <v>17</v>
      </c>
      <c r="G10259" t="s">
        <v>14</v>
      </c>
      <c r="H10259" t="s">
        <v>14</v>
      </c>
      <c r="I10259" t="str">
        <f>"063441013244"</f>
        <v>063441013244</v>
      </c>
    </row>
    <row r="10260" spans="1:9" x14ac:dyDescent="0.25">
      <c r="A10260" t="s">
        <v>8918</v>
      </c>
      <c r="B10260" t="s">
        <v>13</v>
      </c>
      <c r="C10260">
        <v>9</v>
      </c>
      <c r="D10260">
        <v>8.5</v>
      </c>
      <c r="E10260" t="s">
        <v>17</v>
      </c>
      <c r="F10260">
        <v>21.44</v>
      </c>
      <c r="G10260">
        <v>24.35</v>
      </c>
      <c r="H10260" t="s">
        <v>17</v>
      </c>
      <c r="I10260" t="str">
        <f>"063072004779"</f>
        <v>063072004779</v>
      </c>
    </row>
    <row r="10261" spans="1:9" x14ac:dyDescent="0.25">
      <c r="A10261" t="s">
        <v>8919</v>
      </c>
      <c r="B10261" t="s">
        <v>13</v>
      </c>
      <c r="C10261">
        <v>16.2</v>
      </c>
      <c r="D10261">
        <v>15</v>
      </c>
      <c r="E10261" t="s">
        <v>17</v>
      </c>
      <c r="F10261">
        <v>18.399999999999999</v>
      </c>
      <c r="G10261">
        <v>22.8</v>
      </c>
      <c r="H10261" t="s">
        <v>17</v>
      </c>
      <c r="I10261" t="str">
        <f>"063072012722"</f>
        <v>063072012722</v>
      </c>
    </row>
    <row r="10262" spans="1:9" x14ac:dyDescent="0.25">
      <c r="A10262" t="s">
        <v>8920</v>
      </c>
      <c r="B10262" t="s">
        <v>13</v>
      </c>
      <c r="C10262">
        <v>22.6</v>
      </c>
      <c r="D10262">
        <v>19</v>
      </c>
      <c r="E10262" t="s">
        <v>17</v>
      </c>
      <c r="F10262">
        <v>27.74</v>
      </c>
      <c r="G10262">
        <v>27</v>
      </c>
      <c r="H10262" t="s">
        <v>17</v>
      </c>
      <c r="I10262" t="str">
        <f>"061336011891"</f>
        <v>061336011891</v>
      </c>
    </row>
    <row r="10263" spans="1:9" x14ac:dyDescent="0.25">
      <c r="A10263" t="s">
        <v>8921</v>
      </c>
      <c r="B10263" t="s">
        <v>13</v>
      </c>
      <c r="C10263">
        <v>1</v>
      </c>
      <c r="D10263">
        <v>1</v>
      </c>
      <c r="E10263" t="s">
        <v>17</v>
      </c>
      <c r="F10263">
        <v>17</v>
      </c>
      <c r="G10263">
        <v>22</v>
      </c>
      <c r="H10263" t="s">
        <v>17</v>
      </c>
      <c r="I10263" t="str">
        <f>"061995002394"</f>
        <v>061995002394</v>
      </c>
    </row>
    <row r="10264" spans="1:9" x14ac:dyDescent="0.25">
      <c r="A10264" t="s">
        <v>8922</v>
      </c>
      <c r="B10264" t="s">
        <v>13</v>
      </c>
      <c r="C10264">
        <v>30</v>
      </c>
      <c r="D10264">
        <v>29</v>
      </c>
      <c r="E10264" t="s">
        <v>17</v>
      </c>
      <c r="F10264">
        <v>27.03</v>
      </c>
      <c r="G10264">
        <v>26.76</v>
      </c>
      <c r="H10264" t="s">
        <v>17</v>
      </c>
      <c r="I10264" t="str">
        <f>"062271003448"</f>
        <v>062271003448</v>
      </c>
    </row>
    <row r="10265" spans="1:9" x14ac:dyDescent="0.25">
      <c r="A10265" t="s">
        <v>8923</v>
      </c>
      <c r="B10265" t="s">
        <v>13</v>
      </c>
      <c r="C10265">
        <v>20</v>
      </c>
      <c r="D10265">
        <v>22</v>
      </c>
      <c r="E10265" t="s">
        <v>17</v>
      </c>
      <c r="F10265">
        <v>30.6</v>
      </c>
      <c r="G10265">
        <v>27.91</v>
      </c>
      <c r="H10265" t="s">
        <v>17</v>
      </c>
      <c r="I10265" t="str">
        <f>"060903000919"</f>
        <v>060903000919</v>
      </c>
    </row>
    <row r="10266" spans="1:9" x14ac:dyDescent="0.25">
      <c r="A10266" t="s">
        <v>8924</v>
      </c>
      <c r="B10266" t="s">
        <v>13</v>
      </c>
      <c r="C10266">
        <v>7</v>
      </c>
      <c r="D10266">
        <v>5.5</v>
      </c>
      <c r="E10266" t="s">
        <v>17</v>
      </c>
      <c r="F10266">
        <v>11.86</v>
      </c>
      <c r="G10266">
        <v>13.45</v>
      </c>
      <c r="H10266" t="s">
        <v>17</v>
      </c>
      <c r="I10266" t="str">
        <f>"069102109234"</f>
        <v>069102109234</v>
      </c>
    </row>
    <row r="10267" spans="1:9" x14ac:dyDescent="0.25">
      <c r="A10267" t="s">
        <v>8925</v>
      </c>
      <c r="B10267" t="s">
        <v>13</v>
      </c>
      <c r="C10267">
        <v>14.44</v>
      </c>
      <c r="D10267">
        <v>14.05</v>
      </c>
      <c r="E10267" t="s">
        <v>17</v>
      </c>
      <c r="F10267">
        <v>14.34</v>
      </c>
      <c r="G10267">
        <v>17.579999999999998</v>
      </c>
      <c r="H10267" t="s">
        <v>17</v>
      </c>
      <c r="I10267" t="str">
        <f>"063441005653"</f>
        <v>063441005653</v>
      </c>
    </row>
    <row r="10268" spans="1:9" x14ac:dyDescent="0.25">
      <c r="A10268" t="s">
        <v>8926</v>
      </c>
      <c r="B10268" t="s">
        <v>13</v>
      </c>
      <c r="C10268">
        <v>33.01</v>
      </c>
      <c r="D10268">
        <v>31.51</v>
      </c>
      <c r="E10268" t="s">
        <v>17</v>
      </c>
      <c r="F10268">
        <v>21.87</v>
      </c>
      <c r="G10268">
        <v>21.99</v>
      </c>
      <c r="H10268" t="s">
        <v>17</v>
      </c>
      <c r="I10268" t="str">
        <f>"060001909278"</f>
        <v>060001909278</v>
      </c>
    </row>
    <row r="10269" spans="1:9" x14ac:dyDescent="0.25">
      <c r="A10269" t="s">
        <v>8926</v>
      </c>
      <c r="B10269" t="s">
        <v>13</v>
      </c>
      <c r="C10269">
        <v>39.4</v>
      </c>
      <c r="D10269">
        <v>39</v>
      </c>
      <c r="E10269" t="s">
        <v>17</v>
      </c>
      <c r="F10269">
        <v>26.09</v>
      </c>
      <c r="G10269">
        <v>25.77</v>
      </c>
      <c r="H10269" t="s">
        <v>17</v>
      </c>
      <c r="I10269" t="str">
        <f>"060243000141"</f>
        <v>060243000141</v>
      </c>
    </row>
    <row r="10270" spans="1:9" x14ac:dyDescent="0.25">
      <c r="A10270" t="s">
        <v>8927</v>
      </c>
      <c r="B10270" t="s">
        <v>13</v>
      </c>
      <c r="C10270">
        <v>20.5</v>
      </c>
      <c r="D10270">
        <v>20.5</v>
      </c>
      <c r="E10270" t="s">
        <v>17</v>
      </c>
      <c r="F10270">
        <v>18.149999999999999</v>
      </c>
      <c r="G10270">
        <v>17.559999999999999</v>
      </c>
      <c r="H10270" t="s">
        <v>17</v>
      </c>
      <c r="I10270" t="str">
        <f>"064200006885"</f>
        <v>064200006885</v>
      </c>
    </row>
    <row r="10271" spans="1:9" x14ac:dyDescent="0.25">
      <c r="A10271" t="s">
        <v>8928</v>
      </c>
      <c r="B10271" t="s">
        <v>13</v>
      </c>
      <c r="C10271">
        <v>15.5</v>
      </c>
      <c r="D10271">
        <v>16</v>
      </c>
      <c r="E10271" t="s">
        <v>17</v>
      </c>
      <c r="F10271">
        <v>29.87</v>
      </c>
      <c r="G10271">
        <v>28.06</v>
      </c>
      <c r="H10271" t="s">
        <v>17</v>
      </c>
      <c r="I10271" t="str">
        <f>"062985004646"</f>
        <v>062985004646</v>
      </c>
    </row>
    <row r="10272" spans="1:9" x14ac:dyDescent="0.25">
      <c r="A10272" t="s">
        <v>8929</v>
      </c>
      <c r="B10272" t="s">
        <v>13</v>
      </c>
      <c r="C10272">
        <v>60.75</v>
      </c>
      <c r="D10272">
        <v>63.57</v>
      </c>
      <c r="E10272" t="s">
        <v>17</v>
      </c>
      <c r="F10272">
        <v>21.63</v>
      </c>
      <c r="G10272">
        <v>18.670000000000002</v>
      </c>
      <c r="H10272" t="s">
        <v>17</v>
      </c>
      <c r="I10272" t="str">
        <f>"062271003455"</f>
        <v>062271003455</v>
      </c>
    </row>
    <row r="10273" spans="1:9" x14ac:dyDescent="0.25">
      <c r="A10273" t="s">
        <v>8930</v>
      </c>
      <c r="B10273" t="s">
        <v>13</v>
      </c>
      <c r="C10273">
        <v>100</v>
      </c>
      <c r="D10273">
        <v>109.01</v>
      </c>
      <c r="E10273" t="s">
        <v>17</v>
      </c>
      <c r="F10273">
        <v>20.68</v>
      </c>
      <c r="G10273">
        <v>21.57</v>
      </c>
      <c r="H10273" t="s">
        <v>17</v>
      </c>
      <c r="I10273" t="str">
        <f>"062271012114"</f>
        <v>062271012114</v>
      </c>
    </row>
    <row r="10274" spans="1:9" x14ac:dyDescent="0.25">
      <c r="A10274" t="s">
        <v>8931</v>
      </c>
      <c r="B10274" t="s">
        <v>13</v>
      </c>
      <c r="C10274">
        <v>30.5</v>
      </c>
      <c r="D10274">
        <v>32.92</v>
      </c>
      <c r="E10274" t="s">
        <v>17</v>
      </c>
      <c r="F10274">
        <v>24.56</v>
      </c>
      <c r="G10274">
        <v>23.85</v>
      </c>
      <c r="H10274" t="s">
        <v>17</v>
      </c>
      <c r="I10274" t="str">
        <f>"062271003449"</f>
        <v>062271003449</v>
      </c>
    </row>
    <row r="10275" spans="1:9" x14ac:dyDescent="0.25">
      <c r="A10275" t="s">
        <v>8932</v>
      </c>
      <c r="B10275" t="s">
        <v>13</v>
      </c>
      <c r="C10275">
        <v>13</v>
      </c>
      <c r="D10275">
        <v>15.25</v>
      </c>
      <c r="E10275" t="s">
        <v>17</v>
      </c>
      <c r="F10275">
        <v>22</v>
      </c>
      <c r="G10275">
        <v>20.07</v>
      </c>
      <c r="H10275" t="s">
        <v>17</v>
      </c>
      <c r="I10275" t="str">
        <f>"062649004001"</f>
        <v>062649004001</v>
      </c>
    </row>
    <row r="10276" spans="1:9" x14ac:dyDescent="0.25">
      <c r="A10276" t="s">
        <v>8933</v>
      </c>
      <c r="B10276" t="s">
        <v>13</v>
      </c>
      <c r="C10276">
        <v>29.47</v>
      </c>
      <c r="D10276">
        <v>24.9</v>
      </c>
      <c r="E10276" t="s">
        <v>17</v>
      </c>
      <c r="F10276">
        <v>29.32</v>
      </c>
      <c r="G10276">
        <v>34.299999999999997</v>
      </c>
      <c r="H10276" t="s">
        <v>17</v>
      </c>
      <c r="I10276" t="str">
        <f>"063384010600"</f>
        <v>063384010600</v>
      </c>
    </row>
    <row r="10277" spans="1:9" x14ac:dyDescent="0.25">
      <c r="A10277" t="s">
        <v>8934</v>
      </c>
      <c r="B10277" t="s">
        <v>13</v>
      </c>
      <c r="C10277">
        <v>15</v>
      </c>
      <c r="D10277">
        <v>13.75</v>
      </c>
      <c r="E10277" t="s">
        <v>17</v>
      </c>
      <c r="F10277">
        <v>27.53</v>
      </c>
      <c r="G10277">
        <v>21.75</v>
      </c>
      <c r="H10277" t="s">
        <v>17</v>
      </c>
      <c r="I10277" t="str">
        <f>"060999001086"</f>
        <v>060999001086</v>
      </c>
    </row>
    <row r="10278" spans="1:9" x14ac:dyDescent="0.25">
      <c r="A10278" t="s">
        <v>8935</v>
      </c>
      <c r="B10278" t="s">
        <v>13</v>
      </c>
      <c r="C10278" t="s">
        <v>14</v>
      </c>
      <c r="D10278">
        <v>7</v>
      </c>
      <c r="E10278" t="s">
        <v>17</v>
      </c>
      <c r="F10278" t="s">
        <v>17</v>
      </c>
      <c r="G10278">
        <v>18.71</v>
      </c>
      <c r="H10278" t="s">
        <v>17</v>
      </c>
      <c r="I10278" t="str">
        <f>"063255012067"</f>
        <v>063255012067</v>
      </c>
    </row>
    <row r="10279" spans="1:9" x14ac:dyDescent="0.25">
      <c r="A10279" t="s">
        <v>8936</v>
      </c>
      <c r="B10279" t="s">
        <v>13</v>
      </c>
      <c r="C10279">
        <v>104.51</v>
      </c>
      <c r="D10279">
        <v>106.61</v>
      </c>
      <c r="E10279" t="s">
        <v>17</v>
      </c>
      <c r="F10279">
        <v>24.94</v>
      </c>
      <c r="G10279">
        <v>25.38</v>
      </c>
      <c r="H10279" t="s">
        <v>17</v>
      </c>
      <c r="I10279" t="str">
        <f>"064200006886"</f>
        <v>064200006886</v>
      </c>
    </row>
    <row r="10280" spans="1:9" x14ac:dyDescent="0.25">
      <c r="A10280" t="s">
        <v>8937</v>
      </c>
      <c r="B10280" t="s">
        <v>13</v>
      </c>
      <c r="C10280">
        <v>24.5</v>
      </c>
      <c r="D10280">
        <v>27.5</v>
      </c>
      <c r="E10280" t="s">
        <v>17</v>
      </c>
      <c r="F10280">
        <v>29.02</v>
      </c>
      <c r="G10280">
        <v>24.07</v>
      </c>
      <c r="H10280" t="s">
        <v>17</v>
      </c>
      <c r="I10280" t="str">
        <f>"063597012401"</f>
        <v>063597012401</v>
      </c>
    </row>
    <row r="10281" spans="1:9" x14ac:dyDescent="0.25">
      <c r="A10281" t="s">
        <v>8938</v>
      </c>
      <c r="B10281" t="s">
        <v>13</v>
      </c>
      <c r="C10281">
        <v>18</v>
      </c>
      <c r="D10281">
        <v>16</v>
      </c>
      <c r="E10281" t="s">
        <v>17</v>
      </c>
      <c r="F10281">
        <v>30.11</v>
      </c>
      <c r="G10281">
        <v>29.13</v>
      </c>
      <c r="H10281" t="s">
        <v>17</v>
      </c>
      <c r="I10281" t="str">
        <f>"060171011736"</f>
        <v>060171011736</v>
      </c>
    </row>
    <row r="10282" spans="1:9" x14ac:dyDescent="0.25">
      <c r="A10282" t="s">
        <v>8939</v>
      </c>
      <c r="B10282" t="s">
        <v>13</v>
      </c>
      <c r="C10282">
        <v>9</v>
      </c>
      <c r="D10282">
        <v>13.86</v>
      </c>
      <c r="E10282" t="s">
        <v>17</v>
      </c>
      <c r="F10282">
        <v>16.11</v>
      </c>
      <c r="G10282">
        <v>11.98</v>
      </c>
      <c r="H10282" t="s">
        <v>17</v>
      </c>
      <c r="I10282" t="str">
        <f>"069102908287"</f>
        <v>069102908287</v>
      </c>
    </row>
    <row r="10283" spans="1:9" x14ac:dyDescent="0.25">
      <c r="A10283" t="s">
        <v>8940</v>
      </c>
      <c r="B10283" t="s">
        <v>13</v>
      </c>
      <c r="C10283" t="s">
        <v>14</v>
      </c>
      <c r="D10283" t="s">
        <v>14</v>
      </c>
      <c r="E10283" t="s">
        <v>17</v>
      </c>
      <c r="F10283" t="s">
        <v>14</v>
      </c>
      <c r="G10283" t="s">
        <v>14</v>
      </c>
      <c r="H10283" t="s">
        <v>17</v>
      </c>
      <c r="I10283" t="str">
        <f>"061458001785"</f>
        <v>061458001785</v>
      </c>
    </row>
    <row r="10284" spans="1:9" x14ac:dyDescent="0.25">
      <c r="A10284" t="s">
        <v>8940</v>
      </c>
      <c r="B10284" t="s">
        <v>13</v>
      </c>
      <c r="C10284">
        <v>34</v>
      </c>
      <c r="D10284">
        <v>37</v>
      </c>
      <c r="E10284" t="s">
        <v>14</v>
      </c>
      <c r="F10284">
        <v>22.71</v>
      </c>
      <c r="G10284">
        <v>19.89</v>
      </c>
      <c r="H10284" t="s">
        <v>14</v>
      </c>
      <c r="I10284" t="str">
        <f>"060141501785"</f>
        <v>060141501785</v>
      </c>
    </row>
    <row r="10285" spans="1:9" x14ac:dyDescent="0.25">
      <c r="A10285" t="s">
        <v>8941</v>
      </c>
      <c r="B10285" t="s">
        <v>13</v>
      </c>
      <c r="C10285">
        <v>13.6</v>
      </c>
      <c r="D10285">
        <v>14</v>
      </c>
      <c r="E10285" t="s">
        <v>14</v>
      </c>
      <c r="F10285">
        <v>21.69</v>
      </c>
      <c r="G10285">
        <v>20.93</v>
      </c>
      <c r="H10285" t="s">
        <v>14</v>
      </c>
      <c r="I10285" t="str">
        <f>"060141501784"</f>
        <v>060141501784</v>
      </c>
    </row>
    <row r="10286" spans="1:9" x14ac:dyDescent="0.25">
      <c r="A10286" t="s">
        <v>8941</v>
      </c>
      <c r="B10286" t="s">
        <v>13</v>
      </c>
      <c r="C10286" t="s">
        <v>14</v>
      </c>
      <c r="D10286" t="s">
        <v>14</v>
      </c>
      <c r="E10286" t="s">
        <v>17</v>
      </c>
      <c r="F10286" t="s">
        <v>14</v>
      </c>
      <c r="G10286" t="s">
        <v>14</v>
      </c>
      <c r="H10286" t="s">
        <v>17</v>
      </c>
      <c r="I10286" t="str">
        <f>"061458001784"</f>
        <v>061458001784</v>
      </c>
    </row>
    <row r="10287" spans="1:9" x14ac:dyDescent="0.25">
      <c r="A10287" t="s">
        <v>8942</v>
      </c>
      <c r="B10287" t="s">
        <v>13</v>
      </c>
      <c r="C10287">
        <v>21</v>
      </c>
      <c r="D10287">
        <v>22</v>
      </c>
      <c r="E10287" t="s">
        <v>17</v>
      </c>
      <c r="F10287">
        <v>26.1</v>
      </c>
      <c r="G10287">
        <v>24.59</v>
      </c>
      <c r="H10287" t="s">
        <v>17</v>
      </c>
      <c r="I10287" t="str">
        <f>"061296009540"</f>
        <v>061296009540</v>
      </c>
    </row>
    <row r="10288" spans="1:9" x14ac:dyDescent="0.25">
      <c r="A10288" t="s">
        <v>8943</v>
      </c>
      <c r="B10288" t="s">
        <v>13</v>
      </c>
      <c r="C10288">
        <v>89.03</v>
      </c>
      <c r="D10288">
        <v>83.33</v>
      </c>
      <c r="E10288" t="s">
        <v>17</v>
      </c>
      <c r="F10288">
        <v>23.6</v>
      </c>
      <c r="G10288">
        <v>25.32</v>
      </c>
      <c r="H10288" t="s">
        <v>17</v>
      </c>
      <c r="I10288" t="str">
        <f>"061954002356"</f>
        <v>061954002356</v>
      </c>
    </row>
    <row r="10289" spans="1:9" x14ac:dyDescent="0.25">
      <c r="A10289" t="s">
        <v>8943</v>
      </c>
      <c r="B10289" t="s">
        <v>13</v>
      </c>
      <c r="C10289">
        <v>85.61</v>
      </c>
      <c r="D10289">
        <v>75.23</v>
      </c>
      <c r="E10289" t="s">
        <v>17</v>
      </c>
      <c r="F10289">
        <v>25.84</v>
      </c>
      <c r="G10289">
        <v>28.86</v>
      </c>
      <c r="H10289" t="s">
        <v>17</v>
      </c>
      <c r="I10289" t="str">
        <f>"063942006580"</f>
        <v>063942006580</v>
      </c>
    </row>
    <row r="10290" spans="1:9" x14ac:dyDescent="0.25">
      <c r="A10290" t="s">
        <v>8944</v>
      </c>
      <c r="B10290" t="s">
        <v>13</v>
      </c>
      <c r="C10290">
        <v>73.25</v>
      </c>
      <c r="D10290">
        <v>76.790000000000006</v>
      </c>
      <c r="E10290" t="s">
        <v>17</v>
      </c>
      <c r="F10290">
        <v>27.41</v>
      </c>
      <c r="G10290">
        <v>25.47</v>
      </c>
      <c r="H10290" t="s">
        <v>17</v>
      </c>
      <c r="I10290" t="str">
        <f>"061623009141"</f>
        <v>061623009141</v>
      </c>
    </row>
    <row r="10291" spans="1:9" x14ac:dyDescent="0.25">
      <c r="A10291" t="s">
        <v>8945</v>
      </c>
      <c r="B10291" t="s">
        <v>13</v>
      </c>
      <c r="C10291">
        <v>2</v>
      </c>
      <c r="D10291">
        <v>2</v>
      </c>
      <c r="E10291" t="s">
        <v>17</v>
      </c>
      <c r="F10291">
        <v>7</v>
      </c>
      <c r="G10291">
        <v>8</v>
      </c>
      <c r="H10291" t="s">
        <v>17</v>
      </c>
      <c r="I10291" t="str">
        <f>"069101909023"</f>
        <v>069101909023</v>
      </c>
    </row>
    <row r="10292" spans="1:9" x14ac:dyDescent="0.25">
      <c r="A10292" t="s">
        <v>8946</v>
      </c>
      <c r="B10292" t="s">
        <v>13</v>
      </c>
      <c r="C10292">
        <v>23.2</v>
      </c>
      <c r="D10292">
        <v>25.28</v>
      </c>
      <c r="E10292" t="s">
        <v>17</v>
      </c>
      <c r="F10292">
        <v>15.91</v>
      </c>
      <c r="G10292">
        <v>14.36</v>
      </c>
      <c r="H10292" t="s">
        <v>17</v>
      </c>
      <c r="I10292" t="str">
        <f>"061719002175"</f>
        <v>061719002175</v>
      </c>
    </row>
    <row r="10293" spans="1:9" x14ac:dyDescent="0.25">
      <c r="A10293" t="s">
        <v>8947</v>
      </c>
      <c r="B10293" t="s">
        <v>13</v>
      </c>
      <c r="C10293">
        <v>16</v>
      </c>
      <c r="D10293">
        <v>15.01</v>
      </c>
      <c r="E10293" t="s">
        <v>17</v>
      </c>
      <c r="F10293">
        <v>25.13</v>
      </c>
      <c r="G10293">
        <v>24.18</v>
      </c>
      <c r="H10293" t="s">
        <v>17</v>
      </c>
      <c r="I10293" t="str">
        <f>"062271003451"</f>
        <v>062271003451</v>
      </c>
    </row>
    <row r="10294" spans="1:9" x14ac:dyDescent="0.25">
      <c r="A10294" t="s">
        <v>8948</v>
      </c>
      <c r="B10294" t="s">
        <v>13</v>
      </c>
      <c r="C10294">
        <v>5</v>
      </c>
      <c r="D10294">
        <v>5.0199999999999996</v>
      </c>
      <c r="E10294" t="s">
        <v>17</v>
      </c>
      <c r="F10294">
        <v>21.6</v>
      </c>
      <c r="G10294">
        <v>18.53</v>
      </c>
      <c r="H10294" t="s">
        <v>17</v>
      </c>
      <c r="I10294" t="str">
        <f>"062271003452"</f>
        <v>062271003452</v>
      </c>
    </row>
    <row r="10295" spans="1:9" x14ac:dyDescent="0.25">
      <c r="A10295" t="s">
        <v>8949</v>
      </c>
      <c r="B10295" t="s">
        <v>13</v>
      </c>
      <c r="C10295">
        <v>3.45</v>
      </c>
      <c r="D10295">
        <v>3.2</v>
      </c>
      <c r="E10295" t="s">
        <v>17</v>
      </c>
      <c r="F10295">
        <v>19.420000000000002</v>
      </c>
      <c r="G10295">
        <v>15.31</v>
      </c>
      <c r="H10295" t="s">
        <v>17</v>
      </c>
      <c r="I10295" t="str">
        <f>"060330010317"</f>
        <v>060330010317</v>
      </c>
    </row>
    <row r="10296" spans="1:9" x14ac:dyDescent="0.25">
      <c r="A10296" t="s">
        <v>8950</v>
      </c>
      <c r="B10296" t="s">
        <v>13</v>
      </c>
      <c r="C10296">
        <v>9.66</v>
      </c>
      <c r="D10296">
        <v>9.8699999999999992</v>
      </c>
      <c r="E10296" t="s">
        <v>17</v>
      </c>
      <c r="F10296">
        <v>12.73</v>
      </c>
      <c r="G10296">
        <v>12.97</v>
      </c>
      <c r="H10296" t="s">
        <v>17</v>
      </c>
      <c r="I10296" t="str">
        <f>"063667006218"</f>
        <v>063667006218</v>
      </c>
    </row>
    <row r="10297" spans="1:9" x14ac:dyDescent="0.25">
      <c r="A10297" t="s">
        <v>8951</v>
      </c>
      <c r="B10297" t="s">
        <v>13</v>
      </c>
      <c r="C10297">
        <v>54.07</v>
      </c>
      <c r="D10297">
        <v>54.1</v>
      </c>
      <c r="E10297" t="s">
        <v>17</v>
      </c>
      <c r="F10297">
        <v>26.91</v>
      </c>
      <c r="G10297">
        <v>27.39</v>
      </c>
      <c r="H10297" t="s">
        <v>17</v>
      </c>
      <c r="I10297" t="str">
        <f>"061146001279"</f>
        <v>061146001279</v>
      </c>
    </row>
    <row r="10298" spans="1:9" x14ac:dyDescent="0.25">
      <c r="A10298" t="s">
        <v>8952</v>
      </c>
      <c r="B10298" t="s">
        <v>13</v>
      </c>
      <c r="C10298">
        <v>7.01</v>
      </c>
      <c r="D10298">
        <v>7</v>
      </c>
      <c r="E10298" t="s">
        <v>17</v>
      </c>
      <c r="F10298">
        <v>25.53</v>
      </c>
      <c r="G10298">
        <v>21.57</v>
      </c>
      <c r="H10298" t="s">
        <v>17</v>
      </c>
      <c r="I10298" t="str">
        <f>"062805012048"</f>
        <v>062805012048</v>
      </c>
    </row>
    <row r="10299" spans="1:9" x14ac:dyDescent="0.25">
      <c r="A10299" t="s">
        <v>8953</v>
      </c>
      <c r="B10299" t="s">
        <v>13</v>
      </c>
      <c r="C10299">
        <v>16.5</v>
      </c>
      <c r="D10299">
        <v>17</v>
      </c>
      <c r="E10299" t="s">
        <v>17</v>
      </c>
      <c r="F10299">
        <v>30.67</v>
      </c>
      <c r="G10299">
        <v>28.71</v>
      </c>
      <c r="H10299" t="s">
        <v>17</v>
      </c>
      <c r="I10299" t="str">
        <f>"062865004458"</f>
        <v>062865004458</v>
      </c>
    </row>
    <row r="10300" spans="1:9" x14ac:dyDescent="0.25">
      <c r="A10300" t="s">
        <v>8954</v>
      </c>
      <c r="B10300" t="s">
        <v>13</v>
      </c>
      <c r="C10300">
        <v>24.16</v>
      </c>
      <c r="D10300">
        <v>23.32</v>
      </c>
      <c r="E10300" t="s">
        <v>17</v>
      </c>
      <c r="F10300">
        <v>30.84</v>
      </c>
      <c r="G10300">
        <v>30.83</v>
      </c>
      <c r="H10300" t="s">
        <v>17</v>
      </c>
      <c r="I10300" t="str">
        <f>"064104011914"</f>
        <v>064104011914</v>
      </c>
    </row>
    <row r="10301" spans="1:9" x14ac:dyDescent="0.25">
      <c r="A10301" t="s">
        <v>8955</v>
      </c>
      <c r="B10301" t="s">
        <v>13</v>
      </c>
      <c r="C10301">
        <v>16.05</v>
      </c>
      <c r="D10301">
        <v>16.149999999999999</v>
      </c>
      <c r="E10301" t="s">
        <v>17</v>
      </c>
      <c r="F10301">
        <v>21</v>
      </c>
      <c r="G10301">
        <v>23.84</v>
      </c>
      <c r="H10301" t="s">
        <v>17</v>
      </c>
      <c r="I10301" t="str">
        <f>"064206003032"</f>
        <v>064206003032</v>
      </c>
    </row>
    <row r="10302" spans="1:9" x14ac:dyDescent="0.25">
      <c r="A10302" t="s">
        <v>8956</v>
      </c>
      <c r="B10302" t="s">
        <v>13</v>
      </c>
      <c r="C10302">
        <v>15.62</v>
      </c>
      <c r="D10302">
        <v>17.95</v>
      </c>
      <c r="E10302" t="s">
        <v>17</v>
      </c>
      <c r="F10302">
        <v>21.45</v>
      </c>
      <c r="G10302">
        <v>19.940000000000001</v>
      </c>
      <c r="H10302" t="s">
        <v>17</v>
      </c>
      <c r="I10302" t="str">
        <f>"064206006888"</f>
        <v>064206006888</v>
      </c>
    </row>
    <row r="10303" spans="1:9" x14ac:dyDescent="0.25">
      <c r="A10303" t="s">
        <v>8956</v>
      </c>
      <c r="B10303" t="s">
        <v>13</v>
      </c>
      <c r="C10303">
        <v>12</v>
      </c>
      <c r="D10303">
        <v>12</v>
      </c>
      <c r="E10303" t="s">
        <v>17</v>
      </c>
      <c r="F10303">
        <v>27.17</v>
      </c>
      <c r="G10303">
        <v>27.33</v>
      </c>
      <c r="H10303" t="s">
        <v>17</v>
      </c>
      <c r="I10303" t="str">
        <f>"062664004038"</f>
        <v>062664004038</v>
      </c>
    </row>
    <row r="10304" spans="1:9" x14ac:dyDescent="0.25">
      <c r="A10304" t="s">
        <v>8957</v>
      </c>
      <c r="B10304" t="s">
        <v>13</v>
      </c>
      <c r="C10304" t="s">
        <v>17</v>
      </c>
      <c r="D10304" t="s">
        <v>17</v>
      </c>
      <c r="E10304" t="s">
        <v>17</v>
      </c>
      <c r="F10304" t="s">
        <v>17</v>
      </c>
      <c r="G10304" t="s">
        <v>17</v>
      </c>
      <c r="H10304" t="s">
        <v>17</v>
      </c>
      <c r="I10304" t="str">
        <f>"060687009521"</f>
        <v>060687009521</v>
      </c>
    </row>
    <row r="10305" spans="1:9" x14ac:dyDescent="0.25">
      <c r="A10305" t="s">
        <v>8958</v>
      </c>
      <c r="B10305" t="s">
        <v>13</v>
      </c>
      <c r="C10305">
        <v>4.13</v>
      </c>
      <c r="D10305">
        <v>4.84</v>
      </c>
      <c r="E10305" t="s">
        <v>17</v>
      </c>
      <c r="F10305">
        <v>20.82</v>
      </c>
      <c r="G10305">
        <v>19.829999999999998</v>
      </c>
      <c r="H10305" t="s">
        <v>17</v>
      </c>
      <c r="I10305" t="str">
        <f>"060687000632"</f>
        <v>060687000632</v>
      </c>
    </row>
    <row r="10306" spans="1:9" x14ac:dyDescent="0.25">
      <c r="A10306" t="s">
        <v>8959</v>
      </c>
      <c r="B10306" t="s">
        <v>13</v>
      </c>
      <c r="C10306">
        <v>25.86</v>
      </c>
      <c r="D10306">
        <v>25.8</v>
      </c>
      <c r="E10306" t="s">
        <v>17</v>
      </c>
      <c r="F10306">
        <v>22.31</v>
      </c>
      <c r="G10306">
        <v>22.4</v>
      </c>
      <c r="H10306" t="s">
        <v>17</v>
      </c>
      <c r="I10306" t="str">
        <f>"063441005679"</f>
        <v>063441005679</v>
      </c>
    </row>
    <row r="10307" spans="1:9" x14ac:dyDescent="0.25">
      <c r="A10307" t="s">
        <v>8960</v>
      </c>
      <c r="B10307" t="s">
        <v>13</v>
      </c>
      <c r="C10307">
        <v>20</v>
      </c>
      <c r="D10307">
        <v>21</v>
      </c>
      <c r="E10307" t="s">
        <v>17</v>
      </c>
      <c r="F10307">
        <v>28.3</v>
      </c>
      <c r="G10307">
        <v>26.1</v>
      </c>
      <c r="H10307" t="s">
        <v>17</v>
      </c>
      <c r="I10307" t="str">
        <f>"060006404876"</f>
        <v>060006404876</v>
      </c>
    </row>
    <row r="10308" spans="1:9" x14ac:dyDescent="0.25">
      <c r="A10308" t="s">
        <v>8961</v>
      </c>
      <c r="B10308" t="s">
        <v>13</v>
      </c>
      <c r="C10308">
        <v>95.8</v>
      </c>
      <c r="D10308">
        <v>97.7</v>
      </c>
      <c r="E10308" t="s">
        <v>17</v>
      </c>
      <c r="F10308">
        <v>27.9</v>
      </c>
      <c r="G10308">
        <v>28.95</v>
      </c>
      <c r="H10308" t="s">
        <v>17</v>
      </c>
      <c r="I10308" t="str">
        <f>"064251010914"</f>
        <v>064251010914</v>
      </c>
    </row>
    <row r="10309" spans="1:9" x14ac:dyDescent="0.25">
      <c r="A10309" t="s">
        <v>8962</v>
      </c>
      <c r="B10309" t="s">
        <v>13</v>
      </c>
      <c r="C10309">
        <v>20.58</v>
      </c>
      <c r="D10309">
        <v>22.5</v>
      </c>
      <c r="E10309" t="s">
        <v>17</v>
      </c>
      <c r="F10309">
        <v>26.14</v>
      </c>
      <c r="G10309">
        <v>25.6</v>
      </c>
      <c r="H10309" t="s">
        <v>17</v>
      </c>
      <c r="I10309" t="str">
        <f>"061392001604"</f>
        <v>061392001604</v>
      </c>
    </row>
    <row r="10310" spans="1:9" x14ac:dyDescent="0.25">
      <c r="A10310" t="s">
        <v>8963</v>
      </c>
      <c r="B10310" t="s">
        <v>13</v>
      </c>
      <c r="C10310">
        <v>29</v>
      </c>
      <c r="D10310">
        <v>30.5</v>
      </c>
      <c r="E10310" t="s">
        <v>17</v>
      </c>
      <c r="F10310">
        <v>25.66</v>
      </c>
      <c r="G10310">
        <v>23.97</v>
      </c>
      <c r="H10310" t="s">
        <v>17</v>
      </c>
      <c r="I10310" t="str">
        <f>"061926002322"</f>
        <v>061926002322</v>
      </c>
    </row>
    <row r="10311" spans="1:9" x14ac:dyDescent="0.25">
      <c r="A10311" t="s">
        <v>8964</v>
      </c>
      <c r="B10311" t="s">
        <v>13</v>
      </c>
      <c r="C10311">
        <v>5</v>
      </c>
      <c r="D10311">
        <v>6</v>
      </c>
      <c r="E10311" t="s">
        <v>17</v>
      </c>
      <c r="F10311">
        <v>39</v>
      </c>
      <c r="G10311">
        <v>28.5</v>
      </c>
      <c r="H10311" t="s">
        <v>17</v>
      </c>
      <c r="I10311" t="str">
        <f>"064158012111"</f>
        <v>064158012111</v>
      </c>
    </row>
    <row r="10312" spans="1:9" x14ac:dyDescent="0.25">
      <c r="A10312" t="s">
        <v>8965</v>
      </c>
      <c r="B10312" t="s">
        <v>13</v>
      </c>
      <c r="C10312">
        <v>3</v>
      </c>
      <c r="D10312">
        <v>3</v>
      </c>
      <c r="E10312" t="s">
        <v>17</v>
      </c>
      <c r="F10312">
        <v>9.33</v>
      </c>
      <c r="G10312">
        <v>14</v>
      </c>
      <c r="H10312" t="s">
        <v>17</v>
      </c>
      <c r="I10312" t="str">
        <f>"064158010139"</f>
        <v>064158010139</v>
      </c>
    </row>
    <row r="10313" spans="1:9" x14ac:dyDescent="0.25">
      <c r="A10313" t="s">
        <v>8966</v>
      </c>
      <c r="B10313" t="s">
        <v>13</v>
      </c>
      <c r="C10313">
        <v>25.62</v>
      </c>
      <c r="D10313">
        <v>25.35</v>
      </c>
      <c r="E10313" t="s">
        <v>17</v>
      </c>
      <c r="F10313">
        <v>14.56</v>
      </c>
      <c r="G10313">
        <v>15.07</v>
      </c>
      <c r="H10313" t="s">
        <v>17</v>
      </c>
      <c r="I10313" t="str">
        <f>"060907007685"</f>
        <v>060907007685</v>
      </c>
    </row>
    <row r="10314" spans="1:9" x14ac:dyDescent="0.25">
      <c r="A10314" t="s">
        <v>8967</v>
      </c>
      <c r="B10314" t="s">
        <v>13</v>
      </c>
      <c r="C10314" t="s">
        <v>14</v>
      </c>
      <c r="D10314" t="s">
        <v>14</v>
      </c>
      <c r="E10314" t="s">
        <v>17</v>
      </c>
      <c r="F10314" t="s">
        <v>14</v>
      </c>
      <c r="G10314" t="s">
        <v>14</v>
      </c>
      <c r="H10314" t="s">
        <v>17</v>
      </c>
      <c r="I10314" t="str">
        <f>"060003312718"</f>
        <v>060003312718</v>
      </c>
    </row>
    <row r="10315" spans="1:9" x14ac:dyDescent="0.25">
      <c r="A10315" t="s">
        <v>8968</v>
      </c>
      <c r="B10315" t="s">
        <v>13</v>
      </c>
      <c r="C10315">
        <v>7.6</v>
      </c>
      <c r="D10315">
        <v>7.6</v>
      </c>
      <c r="E10315" t="s">
        <v>17</v>
      </c>
      <c r="F10315">
        <v>23.55</v>
      </c>
      <c r="G10315">
        <v>24.08</v>
      </c>
      <c r="H10315" t="s">
        <v>17</v>
      </c>
      <c r="I10315" t="str">
        <f>"064227006921"</f>
        <v>064227006921</v>
      </c>
    </row>
    <row r="10316" spans="1:9" x14ac:dyDescent="0.25">
      <c r="A10316" t="s">
        <v>8969</v>
      </c>
      <c r="B10316" t="s">
        <v>13</v>
      </c>
      <c r="C10316" t="s">
        <v>17</v>
      </c>
      <c r="D10316" t="s">
        <v>17</v>
      </c>
      <c r="E10316" t="s">
        <v>17</v>
      </c>
      <c r="F10316" t="s">
        <v>17</v>
      </c>
      <c r="G10316" t="s">
        <v>17</v>
      </c>
      <c r="H10316" t="s">
        <v>17</v>
      </c>
      <c r="I10316" t="str">
        <f>"060007310811"</f>
        <v>060007310811</v>
      </c>
    </row>
    <row r="10317" spans="1:9" x14ac:dyDescent="0.25">
      <c r="A10317" t="s">
        <v>8970</v>
      </c>
      <c r="B10317" t="s">
        <v>13</v>
      </c>
      <c r="C10317">
        <v>2</v>
      </c>
      <c r="D10317" t="str">
        <f>"0.50"</f>
        <v>0.50</v>
      </c>
      <c r="E10317" t="s">
        <v>17</v>
      </c>
      <c r="F10317">
        <v>13</v>
      </c>
      <c r="G10317">
        <v>64</v>
      </c>
      <c r="H10317" t="s">
        <v>17</v>
      </c>
      <c r="I10317" t="str">
        <f>"062720007798"</f>
        <v>062720007798</v>
      </c>
    </row>
    <row r="10318" spans="1:9" x14ac:dyDescent="0.25">
      <c r="A10318" t="s">
        <v>8971</v>
      </c>
      <c r="B10318" t="s">
        <v>13</v>
      </c>
      <c r="C10318">
        <v>4.9000000000000004</v>
      </c>
      <c r="D10318">
        <v>3</v>
      </c>
      <c r="E10318" t="s">
        <v>17</v>
      </c>
      <c r="F10318">
        <v>7.55</v>
      </c>
      <c r="G10318">
        <v>8.33</v>
      </c>
      <c r="H10318" t="s">
        <v>17</v>
      </c>
      <c r="I10318" t="str">
        <f>"060267012473"</f>
        <v>060267012473</v>
      </c>
    </row>
    <row r="10319" spans="1:9" x14ac:dyDescent="0.25">
      <c r="A10319" t="s">
        <v>8972</v>
      </c>
      <c r="B10319" t="s">
        <v>13</v>
      </c>
      <c r="C10319">
        <v>13.2</v>
      </c>
      <c r="D10319">
        <v>12.3</v>
      </c>
      <c r="E10319" t="s">
        <v>17</v>
      </c>
      <c r="F10319">
        <v>21.06</v>
      </c>
      <c r="G10319">
        <v>21.54</v>
      </c>
      <c r="H10319" t="s">
        <v>17</v>
      </c>
      <c r="I10319" t="str">
        <f>"060978001042"</f>
        <v>060978001042</v>
      </c>
    </row>
    <row r="10320" spans="1:9" x14ac:dyDescent="0.25">
      <c r="A10320" t="s">
        <v>8973</v>
      </c>
      <c r="B10320" t="s">
        <v>13</v>
      </c>
      <c r="C10320">
        <v>26.49</v>
      </c>
      <c r="D10320">
        <v>26.15</v>
      </c>
      <c r="E10320" t="s">
        <v>17</v>
      </c>
      <c r="F10320">
        <v>23.9</v>
      </c>
      <c r="G10320">
        <v>24.7</v>
      </c>
      <c r="H10320" t="s">
        <v>17</v>
      </c>
      <c r="I10320" t="str">
        <f>"061029001154"</f>
        <v>061029001154</v>
      </c>
    </row>
    <row r="10321" spans="1:9" x14ac:dyDescent="0.25">
      <c r="A10321" t="s">
        <v>8974</v>
      </c>
      <c r="B10321" t="s">
        <v>13</v>
      </c>
      <c r="C10321">
        <v>71.400000000000006</v>
      </c>
      <c r="D10321">
        <v>71.349999999999994</v>
      </c>
      <c r="E10321" t="s">
        <v>17</v>
      </c>
      <c r="F10321">
        <v>25.8</v>
      </c>
      <c r="G10321">
        <v>24.71</v>
      </c>
      <c r="H10321" t="s">
        <v>17</v>
      </c>
      <c r="I10321" t="str">
        <f>"061692009852"</f>
        <v>061692009852</v>
      </c>
    </row>
    <row r="10322" spans="1:9" x14ac:dyDescent="0.25">
      <c r="A10322" t="s">
        <v>8974</v>
      </c>
      <c r="B10322" t="s">
        <v>13</v>
      </c>
      <c r="C10322">
        <v>36</v>
      </c>
      <c r="D10322">
        <v>36.700000000000003</v>
      </c>
      <c r="E10322" t="s">
        <v>17</v>
      </c>
      <c r="F10322">
        <v>26.86</v>
      </c>
      <c r="G10322">
        <v>26.29</v>
      </c>
      <c r="H10322" t="s">
        <v>17</v>
      </c>
      <c r="I10322" t="str">
        <f>"060270007642"</f>
        <v>060270007642</v>
      </c>
    </row>
    <row r="10323" spans="1:9" x14ac:dyDescent="0.25">
      <c r="A10323" t="s">
        <v>8975</v>
      </c>
      <c r="B10323" t="s">
        <v>13</v>
      </c>
      <c r="C10323">
        <v>37</v>
      </c>
      <c r="D10323">
        <v>47.17</v>
      </c>
      <c r="E10323" t="s">
        <v>17</v>
      </c>
      <c r="F10323">
        <v>19.59</v>
      </c>
      <c r="G10323">
        <v>20.22</v>
      </c>
      <c r="H10323" t="s">
        <v>17</v>
      </c>
      <c r="I10323" t="str">
        <f>"062271003454"</f>
        <v>062271003454</v>
      </c>
    </row>
    <row r="10324" spans="1:9" x14ac:dyDescent="0.25">
      <c r="A10324" t="s">
        <v>8976</v>
      </c>
      <c r="B10324" t="s">
        <v>13</v>
      </c>
      <c r="C10324" t="s">
        <v>17</v>
      </c>
      <c r="D10324">
        <v>7</v>
      </c>
      <c r="E10324" t="s">
        <v>17</v>
      </c>
      <c r="F10324" t="s">
        <v>17</v>
      </c>
      <c r="G10324">
        <v>20.86</v>
      </c>
      <c r="H10324" t="s">
        <v>17</v>
      </c>
      <c r="I10324" t="str">
        <f>"063738006326"</f>
        <v>063738006326</v>
      </c>
    </row>
    <row r="10325" spans="1:9" x14ac:dyDescent="0.25">
      <c r="A10325" t="s">
        <v>8977</v>
      </c>
      <c r="B10325" t="s">
        <v>13</v>
      </c>
      <c r="C10325">
        <v>14.5</v>
      </c>
      <c r="D10325">
        <v>14.4</v>
      </c>
      <c r="E10325" t="s">
        <v>17</v>
      </c>
      <c r="F10325">
        <v>28.76</v>
      </c>
      <c r="G10325">
        <v>28.68</v>
      </c>
      <c r="H10325" t="s">
        <v>17</v>
      </c>
      <c r="I10325" t="str">
        <f>"064245006949"</f>
        <v>064245006949</v>
      </c>
    </row>
    <row r="10326" spans="1:9" x14ac:dyDescent="0.25">
      <c r="A10326" t="s">
        <v>8978</v>
      </c>
      <c r="B10326" t="s">
        <v>13</v>
      </c>
      <c r="C10326">
        <v>26</v>
      </c>
      <c r="D10326">
        <v>25</v>
      </c>
      <c r="E10326" t="s">
        <v>17</v>
      </c>
      <c r="F10326">
        <v>34.08</v>
      </c>
      <c r="G10326">
        <v>31.12</v>
      </c>
      <c r="H10326" t="s">
        <v>17</v>
      </c>
      <c r="I10326" t="str">
        <f>"062088009884"</f>
        <v>062088009884</v>
      </c>
    </row>
    <row r="10327" spans="1:9" x14ac:dyDescent="0.25">
      <c r="A10327" t="s">
        <v>8979</v>
      </c>
      <c r="B10327" t="s">
        <v>13</v>
      </c>
      <c r="C10327">
        <v>30</v>
      </c>
      <c r="D10327">
        <v>28.4</v>
      </c>
      <c r="E10327" t="s">
        <v>17</v>
      </c>
      <c r="F10327">
        <v>22.77</v>
      </c>
      <c r="G10327">
        <v>24.75</v>
      </c>
      <c r="H10327" t="s">
        <v>17</v>
      </c>
      <c r="I10327" t="str">
        <f>"063753006356"</f>
        <v>063753006356</v>
      </c>
    </row>
    <row r="10328" spans="1:9" x14ac:dyDescent="0.25">
      <c r="A10328" t="s">
        <v>8980</v>
      </c>
      <c r="B10328" t="s">
        <v>13</v>
      </c>
      <c r="C10328" t="s">
        <v>17</v>
      </c>
      <c r="D10328" t="s">
        <v>14</v>
      </c>
      <c r="E10328" t="s">
        <v>14</v>
      </c>
      <c r="F10328" t="s">
        <v>17</v>
      </c>
      <c r="G10328" t="s">
        <v>14</v>
      </c>
      <c r="H10328" t="s">
        <v>14</v>
      </c>
      <c r="I10328" t="str">
        <f>"069107813159"</f>
        <v>069107813159</v>
      </c>
    </row>
    <row r="10329" spans="1:9" x14ac:dyDescent="0.25">
      <c r="A10329" t="s">
        <v>8981</v>
      </c>
      <c r="B10329" t="s">
        <v>13</v>
      </c>
      <c r="C10329">
        <v>27</v>
      </c>
      <c r="D10329">
        <v>31.5</v>
      </c>
      <c r="E10329" t="s">
        <v>17</v>
      </c>
      <c r="F10329">
        <v>19.96</v>
      </c>
      <c r="G10329">
        <v>18.95</v>
      </c>
      <c r="H10329" t="s">
        <v>17</v>
      </c>
      <c r="I10329" t="str">
        <f>"062271003456"</f>
        <v>062271003456</v>
      </c>
    </row>
    <row r="10330" spans="1:9" x14ac:dyDescent="0.25">
      <c r="A10330" t="s">
        <v>8982</v>
      </c>
      <c r="B10330" t="s">
        <v>13</v>
      </c>
      <c r="C10330">
        <v>12.6</v>
      </c>
      <c r="D10330">
        <v>10.5</v>
      </c>
      <c r="E10330" t="s">
        <v>17</v>
      </c>
      <c r="F10330">
        <v>29.68</v>
      </c>
      <c r="G10330">
        <v>30.38</v>
      </c>
      <c r="H10330" t="s">
        <v>17</v>
      </c>
      <c r="I10330" t="str">
        <f>"061692012464"</f>
        <v>061692012464</v>
      </c>
    </row>
    <row r="10331" spans="1:9" x14ac:dyDescent="0.25">
      <c r="A10331" t="s">
        <v>8983</v>
      </c>
      <c r="B10331" t="s">
        <v>13</v>
      </c>
      <c r="C10331">
        <v>79.010000000000005</v>
      </c>
      <c r="D10331">
        <v>80.67</v>
      </c>
      <c r="E10331" t="s">
        <v>17</v>
      </c>
      <c r="F10331">
        <v>27.78</v>
      </c>
      <c r="G10331">
        <v>28.52</v>
      </c>
      <c r="H10331" t="s">
        <v>17</v>
      </c>
      <c r="I10331" t="str">
        <f>"060263000192"</f>
        <v>060263000192</v>
      </c>
    </row>
    <row r="10332" spans="1:9" x14ac:dyDescent="0.25">
      <c r="A10332" t="s">
        <v>8984</v>
      </c>
      <c r="B10332" t="s">
        <v>13</v>
      </c>
      <c r="C10332">
        <v>23.19</v>
      </c>
      <c r="D10332">
        <v>15.32</v>
      </c>
      <c r="E10332" t="s">
        <v>17</v>
      </c>
      <c r="F10332">
        <v>23.33</v>
      </c>
      <c r="G10332">
        <v>21.41</v>
      </c>
      <c r="H10332" t="s">
        <v>17</v>
      </c>
      <c r="I10332" t="str">
        <f>"060133712390"</f>
        <v>060133712390</v>
      </c>
    </row>
    <row r="10333" spans="1:9" x14ac:dyDescent="0.25">
      <c r="A10333" t="s">
        <v>8985</v>
      </c>
      <c r="B10333" t="s">
        <v>13</v>
      </c>
      <c r="C10333">
        <v>21</v>
      </c>
      <c r="D10333">
        <v>24</v>
      </c>
      <c r="E10333" t="s">
        <v>17</v>
      </c>
      <c r="F10333">
        <v>30.29</v>
      </c>
      <c r="G10333">
        <v>26.5</v>
      </c>
      <c r="H10333" t="s">
        <v>17</v>
      </c>
      <c r="I10333" t="str">
        <f>"060006404877"</f>
        <v>060006404877</v>
      </c>
    </row>
    <row r="10334" spans="1:9" x14ac:dyDescent="0.25">
      <c r="A10334" t="s">
        <v>8986</v>
      </c>
      <c r="B10334" t="s">
        <v>13</v>
      </c>
      <c r="C10334">
        <v>22</v>
      </c>
      <c r="D10334">
        <v>19.2</v>
      </c>
      <c r="E10334" t="s">
        <v>17</v>
      </c>
      <c r="F10334">
        <v>21</v>
      </c>
      <c r="G10334">
        <v>19.22</v>
      </c>
      <c r="H10334" t="s">
        <v>17</v>
      </c>
      <c r="I10334" t="str">
        <f>"064158006858"</f>
        <v>064158006858</v>
      </c>
    </row>
    <row r="10335" spans="1:9" x14ac:dyDescent="0.25">
      <c r="A10335" t="s">
        <v>8987</v>
      </c>
      <c r="B10335" t="s">
        <v>13</v>
      </c>
      <c r="C10335">
        <v>26.76</v>
      </c>
      <c r="D10335">
        <v>26.5</v>
      </c>
      <c r="E10335" t="s">
        <v>17</v>
      </c>
      <c r="F10335">
        <v>21.11</v>
      </c>
      <c r="G10335">
        <v>17.32</v>
      </c>
      <c r="H10335" t="s">
        <v>17</v>
      </c>
      <c r="I10335" t="str">
        <f>"060003611087"</f>
        <v>060003611087</v>
      </c>
    </row>
    <row r="10336" spans="1:9" x14ac:dyDescent="0.25">
      <c r="A10336" t="s">
        <v>8988</v>
      </c>
      <c r="B10336" t="s">
        <v>13</v>
      </c>
      <c r="C10336">
        <v>5.51</v>
      </c>
      <c r="D10336">
        <v>3</v>
      </c>
      <c r="E10336" t="s">
        <v>14</v>
      </c>
      <c r="F10336">
        <v>19.600000000000001</v>
      </c>
      <c r="G10336">
        <v>18.670000000000002</v>
      </c>
      <c r="H10336" t="s">
        <v>14</v>
      </c>
      <c r="I10336" t="str">
        <f>"060003612980"</f>
        <v>060003612980</v>
      </c>
    </row>
    <row r="10337" spans="1:9" x14ac:dyDescent="0.25">
      <c r="A10337" t="s">
        <v>8989</v>
      </c>
      <c r="B10337" t="s">
        <v>13</v>
      </c>
      <c r="C10337">
        <v>19.25</v>
      </c>
      <c r="D10337">
        <v>17.75</v>
      </c>
      <c r="E10337" t="s">
        <v>17</v>
      </c>
      <c r="F10337">
        <v>19.22</v>
      </c>
      <c r="G10337">
        <v>21.46</v>
      </c>
      <c r="H10337" t="s">
        <v>17</v>
      </c>
      <c r="I10337" t="str">
        <f>"061887002291"</f>
        <v>061887002291</v>
      </c>
    </row>
    <row r="10338" spans="1:9" x14ac:dyDescent="0.25">
      <c r="A10338" t="s">
        <v>8989</v>
      </c>
      <c r="B10338" t="s">
        <v>13</v>
      </c>
      <c r="C10338">
        <v>26.43</v>
      </c>
      <c r="D10338">
        <v>24.9</v>
      </c>
      <c r="E10338" t="s">
        <v>17</v>
      </c>
      <c r="F10338">
        <v>24.63</v>
      </c>
      <c r="G10338">
        <v>25.06</v>
      </c>
      <c r="H10338" t="s">
        <v>17</v>
      </c>
      <c r="I10338" t="str">
        <f>"063559006069"</f>
        <v>063559006069</v>
      </c>
    </row>
    <row r="10339" spans="1:9" x14ac:dyDescent="0.25">
      <c r="A10339" t="s">
        <v>8989</v>
      </c>
      <c r="B10339" t="s">
        <v>13</v>
      </c>
      <c r="C10339">
        <v>23.5</v>
      </c>
      <c r="D10339">
        <v>24.06</v>
      </c>
      <c r="E10339" t="s">
        <v>17</v>
      </c>
      <c r="F10339">
        <v>22.77</v>
      </c>
      <c r="G10339">
        <v>22.57</v>
      </c>
      <c r="H10339" t="s">
        <v>17</v>
      </c>
      <c r="I10339" t="str">
        <f>"060964001030"</f>
        <v>060964001030</v>
      </c>
    </row>
    <row r="10340" spans="1:9" x14ac:dyDescent="0.25">
      <c r="A10340" t="s">
        <v>8990</v>
      </c>
      <c r="B10340" t="s">
        <v>13</v>
      </c>
      <c r="C10340">
        <v>89.43</v>
      </c>
      <c r="D10340">
        <v>89.58</v>
      </c>
      <c r="E10340" t="s">
        <v>17</v>
      </c>
      <c r="F10340">
        <v>26.88</v>
      </c>
      <c r="G10340">
        <v>26.57</v>
      </c>
      <c r="H10340" t="s">
        <v>17</v>
      </c>
      <c r="I10340" t="str">
        <f>"060964001031"</f>
        <v>060964001031</v>
      </c>
    </row>
    <row r="10341" spans="1:9" x14ac:dyDescent="0.25">
      <c r="A10341" t="s">
        <v>8991</v>
      </c>
      <c r="B10341" t="s">
        <v>13</v>
      </c>
      <c r="C10341">
        <v>23.5</v>
      </c>
      <c r="D10341">
        <v>28.06</v>
      </c>
      <c r="E10341" t="s">
        <v>17</v>
      </c>
      <c r="F10341">
        <v>23.4</v>
      </c>
      <c r="G10341">
        <v>20.99</v>
      </c>
      <c r="H10341" t="s">
        <v>17</v>
      </c>
      <c r="I10341" t="str">
        <f>"060964001032"</f>
        <v>060964001032</v>
      </c>
    </row>
    <row r="10342" spans="1:9" x14ac:dyDescent="0.25">
      <c r="A10342" t="s">
        <v>8992</v>
      </c>
      <c r="B10342" t="s">
        <v>13</v>
      </c>
      <c r="C10342">
        <v>32</v>
      </c>
      <c r="D10342">
        <v>31.07</v>
      </c>
      <c r="E10342" t="s">
        <v>17</v>
      </c>
      <c r="F10342">
        <v>18.47</v>
      </c>
      <c r="G10342">
        <v>19.95</v>
      </c>
      <c r="H10342" t="s">
        <v>17</v>
      </c>
      <c r="I10342" t="str">
        <f>"062805004323"</f>
        <v>062805004323</v>
      </c>
    </row>
    <row r="10343" spans="1:9" x14ac:dyDescent="0.25">
      <c r="A10343" t="s">
        <v>8993</v>
      </c>
      <c r="B10343" t="s">
        <v>13</v>
      </c>
      <c r="C10343">
        <v>15.5</v>
      </c>
      <c r="D10343">
        <v>16.170000000000002</v>
      </c>
      <c r="E10343" t="s">
        <v>17</v>
      </c>
      <c r="F10343">
        <v>20.32</v>
      </c>
      <c r="G10343">
        <v>21.65</v>
      </c>
      <c r="H10343" t="s">
        <v>17</v>
      </c>
      <c r="I10343" t="str">
        <f>"062271003457"</f>
        <v>062271003457</v>
      </c>
    </row>
    <row r="10344" spans="1:9" x14ac:dyDescent="0.25">
      <c r="A10344" t="s">
        <v>8994</v>
      </c>
      <c r="B10344" t="s">
        <v>13</v>
      </c>
      <c r="C10344">
        <v>103.87</v>
      </c>
      <c r="D10344">
        <v>102.97</v>
      </c>
      <c r="E10344" t="s">
        <v>17</v>
      </c>
      <c r="F10344">
        <v>25.19</v>
      </c>
      <c r="G10344">
        <v>26.03</v>
      </c>
      <c r="H10344" t="s">
        <v>17</v>
      </c>
      <c r="I10344" t="str">
        <f>"061806002234"</f>
        <v>061806002234</v>
      </c>
    </row>
    <row r="10345" spans="1:9" x14ac:dyDescent="0.25">
      <c r="A10345" t="s">
        <v>8995</v>
      </c>
      <c r="B10345" t="s">
        <v>13</v>
      </c>
      <c r="C10345">
        <v>35.880000000000003</v>
      </c>
      <c r="D10345">
        <v>32.14</v>
      </c>
      <c r="E10345" t="s">
        <v>17</v>
      </c>
      <c r="F10345">
        <v>25.64</v>
      </c>
      <c r="G10345">
        <v>24.83</v>
      </c>
      <c r="H10345" t="s">
        <v>17</v>
      </c>
      <c r="I10345" t="str">
        <f>"060261008240"</f>
        <v>060261008240</v>
      </c>
    </row>
    <row r="10346" spans="1:9" x14ac:dyDescent="0.25">
      <c r="A10346" t="s">
        <v>8995</v>
      </c>
      <c r="B10346" t="s">
        <v>13</v>
      </c>
      <c r="C10346">
        <v>15.17</v>
      </c>
      <c r="D10346">
        <v>21.5</v>
      </c>
      <c r="E10346" t="s">
        <v>17</v>
      </c>
      <c r="F10346">
        <v>29.27</v>
      </c>
      <c r="G10346">
        <v>24</v>
      </c>
      <c r="H10346" t="s">
        <v>17</v>
      </c>
      <c r="I10346" t="str">
        <f>"063132004863"</f>
        <v>063132004863</v>
      </c>
    </row>
    <row r="10347" spans="1:9" x14ac:dyDescent="0.25">
      <c r="A10347" t="s">
        <v>8995</v>
      </c>
      <c r="B10347" t="s">
        <v>13</v>
      </c>
      <c r="C10347">
        <v>15.78</v>
      </c>
      <c r="D10347">
        <v>17.5</v>
      </c>
      <c r="E10347" t="s">
        <v>17</v>
      </c>
      <c r="F10347">
        <v>21.36</v>
      </c>
      <c r="G10347">
        <v>20.86</v>
      </c>
      <c r="H10347" t="s">
        <v>17</v>
      </c>
      <c r="I10347" t="str">
        <f>"062814004351"</f>
        <v>062814004351</v>
      </c>
    </row>
    <row r="10348" spans="1:9" x14ac:dyDescent="0.25">
      <c r="A10348" t="s">
        <v>8996</v>
      </c>
      <c r="B10348" t="s">
        <v>13</v>
      </c>
      <c r="C10348">
        <v>63.32</v>
      </c>
      <c r="D10348">
        <v>63.77</v>
      </c>
      <c r="E10348" t="s">
        <v>17</v>
      </c>
      <c r="F10348">
        <v>25.03</v>
      </c>
      <c r="G10348">
        <v>25.47</v>
      </c>
      <c r="H10348" t="s">
        <v>17</v>
      </c>
      <c r="I10348" t="str">
        <f>"060723000676"</f>
        <v>060723000676</v>
      </c>
    </row>
    <row r="10349" spans="1:9" x14ac:dyDescent="0.25">
      <c r="A10349" t="s">
        <v>8997</v>
      </c>
      <c r="B10349" t="s">
        <v>13</v>
      </c>
      <c r="C10349">
        <v>66.400000000000006</v>
      </c>
      <c r="D10349">
        <v>66.900000000000006</v>
      </c>
      <c r="E10349" t="s">
        <v>17</v>
      </c>
      <c r="F10349">
        <v>25.81</v>
      </c>
      <c r="G10349">
        <v>25.75</v>
      </c>
      <c r="H10349" t="s">
        <v>17</v>
      </c>
      <c r="I10349" t="str">
        <f>"061893002298"</f>
        <v>061893002298</v>
      </c>
    </row>
    <row r="10350" spans="1:9" x14ac:dyDescent="0.25">
      <c r="A10350" t="s">
        <v>8998</v>
      </c>
      <c r="B10350" t="s">
        <v>13</v>
      </c>
      <c r="C10350">
        <v>37.97</v>
      </c>
      <c r="D10350">
        <v>38.67</v>
      </c>
      <c r="E10350" t="s">
        <v>17</v>
      </c>
      <c r="F10350">
        <v>21.81</v>
      </c>
      <c r="G10350">
        <v>21.33</v>
      </c>
      <c r="H10350" t="s">
        <v>17</v>
      </c>
      <c r="I10350" t="str">
        <f>"064158006859"</f>
        <v>064158006859</v>
      </c>
    </row>
    <row r="10351" spans="1:9" x14ac:dyDescent="0.25">
      <c r="A10351" t="s">
        <v>8999</v>
      </c>
      <c r="B10351" t="s">
        <v>13</v>
      </c>
      <c r="C10351">
        <v>23</v>
      </c>
      <c r="D10351">
        <v>26</v>
      </c>
      <c r="E10351" t="s">
        <v>17</v>
      </c>
      <c r="F10351">
        <v>15.83</v>
      </c>
      <c r="G10351">
        <v>14.81</v>
      </c>
      <c r="H10351" t="s">
        <v>17</v>
      </c>
      <c r="I10351" t="str">
        <f>"064218006919"</f>
        <v>064218006919</v>
      </c>
    </row>
    <row r="10352" spans="1:9" x14ac:dyDescent="0.25">
      <c r="A10352" t="s">
        <v>9000</v>
      </c>
      <c r="B10352" t="s">
        <v>13</v>
      </c>
      <c r="C10352">
        <v>17.079999999999998</v>
      </c>
      <c r="D10352">
        <v>17.100000000000001</v>
      </c>
      <c r="E10352" t="s">
        <v>17</v>
      </c>
      <c r="F10352">
        <v>26.17</v>
      </c>
      <c r="G10352">
        <v>26.37</v>
      </c>
      <c r="H10352" t="s">
        <v>17</v>
      </c>
      <c r="I10352" t="str">
        <f>"063288008953"</f>
        <v>063288008953</v>
      </c>
    </row>
    <row r="10353" spans="1:9" x14ac:dyDescent="0.25">
      <c r="A10353" t="s">
        <v>9001</v>
      </c>
      <c r="B10353" t="s">
        <v>13</v>
      </c>
      <c r="C10353">
        <v>53.14</v>
      </c>
      <c r="D10353">
        <v>53.3</v>
      </c>
      <c r="E10353" t="s">
        <v>17</v>
      </c>
      <c r="F10353">
        <v>22.28</v>
      </c>
      <c r="G10353">
        <v>22.7</v>
      </c>
      <c r="H10353" t="s">
        <v>17</v>
      </c>
      <c r="I10353" t="str">
        <f>"062361011321"</f>
        <v>062361011321</v>
      </c>
    </row>
    <row r="10354" spans="1:9" x14ac:dyDescent="0.25">
      <c r="A10354" t="s">
        <v>9002</v>
      </c>
      <c r="B10354" t="s">
        <v>13</v>
      </c>
      <c r="C10354">
        <v>27</v>
      </c>
      <c r="D10354">
        <v>27</v>
      </c>
      <c r="E10354" t="s">
        <v>17</v>
      </c>
      <c r="F10354">
        <v>26.11</v>
      </c>
      <c r="G10354">
        <v>26.7</v>
      </c>
      <c r="H10354" t="s">
        <v>17</v>
      </c>
      <c r="I10354" t="str">
        <f>"063762011604"</f>
        <v>063762011604</v>
      </c>
    </row>
    <row r="10355" spans="1:9" x14ac:dyDescent="0.25">
      <c r="A10355" t="s">
        <v>9002</v>
      </c>
      <c r="B10355" t="s">
        <v>13</v>
      </c>
      <c r="C10355">
        <v>25.5</v>
      </c>
      <c r="D10355">
        <v>25.71</v>
      </c>
      <c r="E10355" t="s">
        <v>17</v>
      </c>
      <c r="F10355">
        <v>27.92</v>
      </c>
      <c r="G10355">
        <v>27.97</v>
      </c>
      <c r="H10355" t="s">
        <v>17</v>
      </c>
      <c r="I10355" t="str">
        <f>"068450010267"</f>
        <v>068450010267</v>
      </c>
    </row>
    <row r="10356" spans="1:9" x14ac:dyDescent="0.25">
      <c r="A10356" t="s">
        <v>9003</v>
      </c>
      <c r="B10356" t="s">
        <v>13</v>
      </c>
      <c r="C10356">
        <v>18</v>
      </c>
      <c r="D10356">
        <v>18</v>
      </c>
      <c r="E10356" t="s">
        <v>17</v>
      </c>
      <c r="F10356">
        <v>25.61</v>
      </c>
      <c r="G10356">
        <v>24.44</v>
      </c>
      <c r="H10356" t="s">
        <v>17</v>
      </c>
      <c r="I10356" t="str">
        <f>"060813000789"</f>
        <v>060813000789</v>
      </c>
    </row>
    <row r="10357" spans="1:9" x14ac:dyDescent="0.25">
      <c r="A10357" t="s">
        <v>9004</v>
      </c>
      <c r="B10357" t="s">
        <v>13</v>
      </c>
      <c r="C10357">
        <v>16</v>
      </c>
      <c r="D10357">
        <v>19</v>
      </c>
      <c r="E10357" t="s">
        <v>17</v>
      </c>
      <c r="F10357">
        <v>22.31</v>
      </c>
      <c r="G10357">
        <v>21.74</v>
      </c>
      <c r="H10357" t="s">
        <v>17</v>
      </c>
      <c r="I10357" t="str">
        <f>"062271003458"</f>
        <v>062271003458</v>
      </c>
    </row>
    <row r="10358" spans="1:9" x14ac:dyDescent="0.25">
      <c r="A10358" t="s">
        <v>9005</v>
      </c>
      <c r="B10358" t="s">
        <v>13</v>
      </c>
      <c r="C10358" t="s">
        <v>14</v>
      </c>
      <c r="D10358" t="s">
        <v>14</v>
      </c>
      <c r="E10358" t="s">
        <v>17</v>
      </c>
      <c r="F10358" t="s">
        <v>14</v>
      </c>
      <c r="G10358" t="s">
        <v>14</v>
      </c>
      <c r="H10358" t="s">
        <v>17</v>
      </c>
      <c r="I10358" t="str">
        <f>"061407008180"</f>
        <v>061407008180</v>
      </c>
    </row>
    <row r="10359" spans="1:9" x14ac:dyDescent="0.25">
      <c r="A10359" t="s">
        <v>9006</v>
      </c>
      <c r="B10359" t="s">
        <v>13</v>
      </c>
      <c r="C10359">
        <v>1</v>
      </c>
      <c r="D10359" t="s">
        <v>17</v>
      </c>
      <c r="E10359" t="s">
        <v>17</v>
      </c>
      <c r="F10359">
        <v>13</v>
      </c>
      <c r="G10359" t="s">
        <v>17</v>
      </c>
      <c r="H10359" t="s">
        <v>17</v>
      </c>
      <c r="I10359" t="str">
        <f>"064212012481"</f>
        <v>064212012481</v>
      </c>
    </row>
    <row r="10360" spans="1:9" x14ac:dyDescent="0.25">
      <c r="A10360" t="s">
        <v>9007</v>
      </c>
      <c r="B10360" t="s">
        <v>13</v>
      </c>
      <c r="C10360">
        <v>1</v>
      </c>
      <c r="D10360">
        <v>1</v>
      </c>
      <c r="E10360" t="s">
        <v>17</v>
      </c>
      <c r="F10360">
        <v>2</v>
      </c>
      <c r="G10360">
        <v>12</v>
      </c>
      <c r="H10360" t="s">
        <v>17</v>
      </c>
      <c r="I10360" t="str">
        <f>"060003312656"</f>
        <v>060003312656</v>
      </c>
    </row>
    <row r="10361" spans="1:9" x14ac:dyDescent="0.25">
      <c r="A10361" t="s">
        <v>9008</v>
      </c>
      <c r="B10361" t="s">
        <v>13</v>
      </c>
      <c r="C10361">
        <v>14</v>
      </c>
      <c r="D10361">
        <v>9</v>
      </c>
      <c r="E10361" t="s">
        <v>17</v>
      </c>
      <c r="F10361">
        <v>29.5</v>
      </c>
      <c r="G10361">
        <v>47</v>
      </c>
      <c r="H10361" t="s">
        <v>17</v>
      </c>
      <c r="I10361" t="str">
        <f>"060133209623"</f>
        <v>060133209623</v>
      </c>
    </row>
    <row r="10362" spans="1:9" x14ac:dyDescent="0.25">
      <c r="A10362" t="s">
        <v>9008</v>
      </c>
      <c r="B10362" t="s">
        <v>13</v>
      </c>
      <c r="C10362">
        <v>21.17</v>
      </c>
      <c r="D10362">
        <v>20.149999999999999</v>
      </c>
      <c r="E10362" t="s">
        <v>17</v>
      </c>
      <c r="F10362">
        <v>27.54</v>
      </c>
      <c r="G10362">
        <v>29.03</v>
      </c>
      <c r="H10362" t="s">
        <v>17</v>
      </c>
      <c r="I10362" t="str">
        <f>"060907000930"</f>
        <v>060907000930</v>
      </c>
    </row>
    <row r="10363" spans="1:9" x14ac:dyDescent="0.25">
      <c r="A10363" t="s">
        <v>9008</v>
      </c>
      <c r="B10363" t="s">
        <v>13</v>
      </c>
      <c r="C10363" t="s">
        <v>14</v>
      </c>
      <c r="D10363">
        <v>2</v>
      </c>
      <c r="E10363" t="s">
        <v>17</v>
      </c>
      <c r="F10363" t="s">
        <v>17</v>
      </c>
      <c r="G10363">
        <v>16</v>
      </c>
      <c r="H10363" t="s">
        <v>17</v>
      </c>
      <c r="I10363" t="str">
        <f>"061821002244"</f>
        <v>061821002244</v>
      </c>
    </row>
    <row r="10364" spans="1:9" x14ac:dyDescent="0.25">
      <c r="A10364" t="s">
        <v>9008</v>
      </c>
      <c r="B10364" t="s">
        <v>13</v>
      </c>
      <c r="C10364">
        <v>12</v>
      </c>
      <c r="D10364">
        <v>13</v>
      </c>
      <c r="E10364" t="s">
        <v>17</v>
      </c>
      <c r="F10364">
        <v>20.329999999999998</v>
      </c>
      <c r="G10364">
        <v>19.62</v>
      </c>
      <c r="H10364" t="s">
        <v>17</v>
      </c>
      <c r="I10364" t="str">
        <f>"064221006920"</f>
        <v>064221006920</v>
      </c>
    </row>
    <row r="10365" spans="1:9" x14ac:dyDescent="0.25">
      <c r="A10365" t="s">
        <v>9009</v>
      </c>
      <c r="B10365" t="s">
        <v>13</v>
      </c>
      <c r="C10365">
        <v>17</v>
      </c>
      <c r="D10365">
        <v>17.52</v>
      </c>
      <c r="E10365" t="s">
        <v>17</v>
      </c>
      <c r="F10365">
        <v>23.47</v>
      </c>
      <c r="G10365">
        <v>21.75</v>
      </c>
      <c r="H10365" t="s">
        <v>17</v>
      </c>
      <c r="I10365" t="str">
        <f>"062271002822"</f>
        <v>062271002822</v>
      </c>
    </row>
    <row r="10366" spans="1:9" x14ac:dyDescent="0.25">
      <c r="A10366" t="s">
        <v>9010</v>
      </c>
      <c r="B10366" t="s">
        <v>13</v>
      </c>
      <c r="C10366">
        <v>4.5</v>
      </c>
      <c r="D10366">
        <v>3</v>
      </c>
      <c r="E10366" t="s">
        <v>17</v>
      </c>
      <c r="F10366">
        <v>11.56</v>
      </c>
      <c r="G10366">
        <v>16.670000000000002</v>
      </c>
      <c r="H10366" t="s">
        <v>17</v>
      </c>
      <c r="I10366" t="str">
        <f>"060003307695"</f>
        <v>060003307695</v>
      </c>
    </row>
    <row r="10367" spans="1:9" x14ac:dyDescent="0.25">
      <c r="A10367" t="s">
        <v>9011</v>
      </c>
      <c r="B10367" t="s">
        <v>13</v>
      </c>
      <c r="C10367">
        <v>15</v>
      </c>
      <c r="D10367">
        <v>12</v>
      </c>
      <c r="E10367" t="s">
        <v>17</v>
      </c>
      <c r="F10367">
        <v>19.47</v>
      </c>
      <c r="G10367">
        <v>17.75</v>
      </c>
      <c r="H10367" t="s">
        <v>17</v>
      </c>
      <c r="I10367" t="str">
        <f>"062271012527"</f>
        <v>062271012527</v>
      </c>
    </row>
    <row r="10368" spans="1:9" x14ac:dyDescent="0.25">
      <c r="A10368" t="s">
        <v>9012</v>
      </c>
      <c r="B10368" t="s">
        <v>13</v>
      </c>
      <c r="C10368">
        <v>22</v>
      </c>
      <c r="D10368">
        <v>24</v>
      </c>
      <c r="E10368" t="s">
        <v>17</v>
      </c>
      <c r="F10368">
        <v>28.82</v>
      </c>
      <c r="G10368">
        <v>30.08</v>
      </c>
      <c r="H10368" t="s">
        <v>17</v>
      </c>
      <c r="I10368" t="str">
        <f>"060171009110"</f>
        <v>060171009110</v>
      </c>
    </row>
    <row r="10369" spans="1:9" x14ac:dyDescent="0.25">
      <c r="A10369" t="s">
        <v>9013</v>
      </c>
      <c r="B10369" t="s">
        <v>13</v>
      </c>
      <c r="C10369">
        <v>17.170000000000002</v>
      </c>
      <c r="D10369">
        <v>16.170000000000002</v>
      </c>
      <c r="E10369" t="s">
        <v>17</v>
      </c>
      <c r="F10369">
        <v>24.69</v>
      </c>
      <c r="G10369">
        <v>27.03</v>
      </c>
      <c r="H10369" t="s">
        <v>17</v>
      </c>
      <c r="I10369" t="str">
        <f>"060133205023"</f>
        <v>060133205023</v>
      </c>
    </row>
    <row r="10370" spans="1:9" x14ac:dyDescent="0.25">
      <c r="A10370" t="s">
        <v>9014</v>
      </c>
      <c r="B10370" t="s">
        <v>13</v>
      </c>
      <c r="C10370">
        <v>27</v>
      </c>
      <c r="D10370">
        <v>25</v>
      </c>
      <c r="E10370" t="s">
        <v>17</v>
      </c>
      <c r="F10370">
        <v>29.52</v>
      </c>
      <c r="G10370">
        <v>28.88</v>
      </c>
      <c r="H10370" t="s">
        <v>17</v>
      </c>
      <c r="I10370" t="str">
        <f>"062274008219"</f>
        <v>062274008219</v>
      </c>
    </row>
    <row r="10371" spans="1:9" x14ac:dyDescent="0.25">
      <c r="A10371" t="s">
        <v>9015</v>
      </c>
      <c r="B10371" t="s">
        <v>13</v>
      </c>
      <c r="C10371">
        <v>78.27</v>
      </c>
      <c r="D10371">
        <v>77.790000000000006</v>
      </c>
      <c r="E10371" t="s">
        <v>17</v>
      </c>
      <c r="F10371">
        <v>30.14</v>
      </c>
      <c r="G10371">
        <v>30.49</v>
      </c>
      <c r="H10371" t="s">
        <v>17</v>
      </c>
      <c r="I10371" t="str">
        <f>"063153010632"</f>
        <v>063153010632</v>
      </c>
    </row>
    <row r="10372" spans="1:9" x14ac:dyDescent="0.25">
      <c r="A10372" t="s">
        <v>9016</v>
      </c>
      <c r="B10372" t="s">
        <v>13</v>
      </c>
      <c r="C10372">
        <v>7.5</v>
      </c>
      <c r="D10372">
        <v>8</v>
      </c>
      <c r="E10372" t="s">
        <v>17</v>
      </c>
      <c r="F10372">
        <v>20.27</v>
      </c>
      <c r="G10372">
        <v>22.25</v>
      </c>
      <c r="H10372" t="s">
        <v>17</v>
      </c>
      <c r="I10372" t="str">
        <f>"064230010513"</f>
        <v>064230010513</v>
      </c>
    </row>
    <row r="10373" spans="1:9" x14ac:dyDescent="0.25">
      <c r="A10373" t="s">
        <v>9017</v>
      </c>
      <c r="B10373" t="s">
        <v>13</v>
      </c>
      <c r="C10373">
        <v>34</v>
      </c>
      <c r="D10373">
        <v>30.51</v>
      </c>
      <c r="E10373" t="s">
        <v>17</v>
      </c>
      <c r="F10373">
        <v>25.62</v>
      </c>
      <c r="G10373">
        <v>26.16</v>
      </c>
      <c r="H10373" t="s">
        <v>17</v>
      </c>
      <c r="I10373" t="str">
        <f>"062271003459"</f>
        <v>062271003459</v>
      </c>
    </row>
    <row r="10374" spans="1:9" x14ac:dyDescent="0.25">
      <c r="A10374" t="s">
        <v>9018</v>
      </c>
      <c r="B10374" t="s">
        <v>13</v>
      </c>
      <c r="C10374">
        <v>30</v>
      </c>
      <c r="D10374">
        <v>30</v>
      </c>
      <c r="E10374" t="s">
        <v>17</v>
      </c>
      <c r="F10374">
        <v>27.73</v>
      </c>
      <c r="G10374">
        <v>27.03</v>
      </c>
      <c r="H10374" t="s">
        <v>17</v>
      </c>
      <c r="I10374" t="str">
        <f>"063153004900"</f>
        <v>063153004900</v>
      </c>
    </row>
    <row r="10375" spans="1:9" x14ac:dyDescent="0.25">
      <c r="A10375" t="s">
        <v>9018</v>
      </c>
      <c r="B10375" t="s">
        <v>13</v>
      </c>
      <c r="C10375">
        <v>20.73</v>
      </c>
      <c r="D10375">
        <v>20.329999999999998</v>
      </c>
      <c r="E10375" t="s">
        <v>17</v>
      </c>
      <c r="F10375">
        <v>25.62</v>
      </c>
      <c r="G10375">
        <v>26.81</v>
      </c>
      <c r="H10375" t="s">
        <v>17</v>
      </c>
      <c r="I10375" t="str">
        <f>"062223010315"</f>
        <v>062223010315</v>
      </c>
    </row>
    <row r="10376" spans="1:9" x14ac:dyDescent="0.25">
      <c r="A10376" t="s">
        <v>9018</v>
      </c>
      <c r="B10376" t="s">
        <v>13</v>
      </c>
      <c r="C10376">
        <v>20.9</v>
      </c>
      <c r="D10376">
        <v>18.5</v>
      </c>
      <c r="E10376" t="s">
        <v>17</v>
      </c>
      <c r="F10376">
        <v>19.190000000000001</v>
      </c>
      <c r="G10376">
        <v>20.97</v>
      </c>
      <c r="H10376" t="s">
        <v>17</v>
      </c>
      <c r="I10376" t="str">
        <f>"062637003981"</f>
        <v>062637003981</v>
      </c>
    </row>
    <row r="10377" spans="1:9" x14ac:dyDescent="0.25">
      <c r="A10377" t="s">
        <v>9018</v>
      </c>
      <c r="B10377" t="s">
        <v>13</v>
      </c>
      <c r="C10377">
        <v>17</v>
      </c>
      <c r="D10377">
        <v>17.399999999999999</v>
      </c>
      <c r="E10377" t="s">
        <v>17</v>
      </c>
      <c r="F10377">
        <v>27.88</v>
      </c>
      <c r="G10377">
        <v>27.18</v>
      </c>
      <c r="H10377" t="s">
        <v>17</v>
      </c>
      <c r="I10377" t="str">
        <f>"063543006054"</f>
        <v>063543006054</v>
      </c>
    </row>
    <row r="10378" spans="1:9" x14ac:dyDescent="0.25">
      <c r="A10378" t="s">
        <v>9019</v>
      </c>
      <c r="B10378" t="s">
        <v>13</v>
      </c>
      <c r="C10378">
        <v>6.86</v>
      </c>
      <c r="D10378">
        <v>8.58</v>
      </c>
      <c r="E10378" t="s">
        <v>17</v>
      </c>
      <c r="F10378">
        <v>11.81</v>
      </c>
      <c r="G10378">
        <v>10.37</v>
      </c>
      <c r="H10378" t="s">
        <v>17</v>
      </c>
      <c r="I10378" t="str">
        <f>"064230006924"</f>
        <v>064230006924</v>
      </c>
    </row>
    <row r="10379" spans="1:9" x14ac:dyDescent="0.25">
      <c r="A10379" t="s">
        <v>9020</v>
      </c>
      <c r="B10379" t="s">
        <v>13</v>
      </c>
      <c r="C10379">
        <v>2.5</v>
      </c>
      <c r="D10379">
        <v>2.2999999999999998</v>
      </c>
      <c r="E10379" t="s">
        <v>17</v>
      </c>
      <c r="F10379">
        <v>12</v>
      </c>
      <c r="G10379">
        <v>15.22</v>
      </c>
      <c r="H10379" t="s">
        <v>17</v>
      </c>
      <c r="I10379" t="str">
        <f>"060966500669"</f>
        <v>060966500669</v>
      </c>
    </row>
    <row r="10380" spans="1:9" x14ac:dyDescent="0.25">
      <c r="A10380" t="s">
        <v>9021</v>
      </c>
      <c r="B10380" t="s">
        <v>13</v>
      </c>
      <c r="C10380">
        <v>2.5</v>
      </c>
      <c r="D10380">
        <v>2.5</v>
      </c>
      <c r="E10380" t="s">
        <v>17</v>
      </c>
      <c r="F10380">
        <v>4.8</v>
      </c>
      <c r="G10380">
        <v>2.4</v>
      </c>
      <c r="H10380" t="s">
        <v>17</v>
      </c>
      <c r="I10380" t="str">
        <f>"060966510258"</f>
        <v>060966510258</v>
      </c>
    </row>
    <row r="10381" spans="1:9" x14ac:dyDescent="0.25">
      <c r="A10381" t="s">
        <v>9022</v>
      </c>
      <c r="B10381" t="s">
        <v>13</v>
      </c>
      <c r="C10381">
        <v>34.01</v>
      </c>
      <c r="D10381">
        <v>38</v>
      </c>
      <c r="E10381" t="s">
        <v>17</v>
      </c>
      <c r="F10381">
        <v>25.11</v>
      </c>
      <c r="G10381">
        <v>23.03</v>
      </c>
      <c r="H10381" t="s">
        <v>17</v>
      </c>
      <c r="I10381" t="str">
        <f>"060962001002"</f>
        <v>060962001002</v>
      </c>
    </row>
    <row r="10382" spans="1:9" x14ac:dyDescent="0.25">
      <c r="A10382" t="s">
        <v>9023</v>
      </c>
      <c r="B10382" t="s">
        <v>13</v>
      </c>
      <c r="C10382">
        <v>5.5</v>
      </c>
      <c r="D10382">
        <v>5.5</v>
      </c>
      <c r="E10382" t="s">
        <v>17</v>
      </c>
      <c r="F10382">
        <v>18</v>
      </c>
      <c r="G10382">
        <v>19.09</v>
      </c>
      <c r="H10382" t="s">
        <v>17</v>
      </c>
      <c r="I10382" t="str">
        <f>"064233011548"</f>
        <v>064233011548</v>
      </c>
    </row>
    <row r="10383" spans="1:9" x14ac:dyDescent="0.25">
      <c r="A10383" t="s">
        <v>9024</v>
      </c>
      <c r="B10383" t="s">
        <v>13</v>
      </c>
      <c r="C10383">
        <v>1</v>
      </c>
      <c r="D10383">
        <v>1</v>
      </c>
      <c r="E10383" t="s">
        <v>17</v>
      </c>
      <c r="F10383">
        <v>6</v>
      </c>
      <c r="G10383">
        <v>9</v>
      </c>
      <c r="H10383" t="s">
        <v>17</v>
      </c>
      <c r="I10383" t="str">
        <f>"064235012741"</f>
        <v>064235012741</v>
      </c>
    </row>
    <row r="10384" spans="1:9" x14ac:dyDescent="0.25">
      <c r="A10384" t="s">
        <v>9025</v>
      </c>
      <c r="B10384" t="s">
        <v>13</v>
      </c>
      <c r="C10384">
        <v>15</v>
      </c>
      <c r="D10384">
        <v>19</v>
      </c>
      <c r="E10384" t="s">
        <v>17</v>
      </c>
      <c r="F10384">
        <v>19.670000000000002</v>
      </c>
      <c r="G10384">
        <v>25</v>
      </c>
      <c r="H10384" t="s">
        <v>17</v>
      </c>
      <c r="I10384" t="str">
        <f>"064233006928"</f>
        <v>064233006928</v>
      </c>
    </row>
    <row r="10385" spans="1:9" x14ac:dyDescent="0.25">
      <c r="A10385" t="s">
        <v>9026</v>
      </c>
      <c r="B10385" t="s">
        <v>13</v>
      </c>
      <c r="C10385">
        <v>30.8</v>
      </c>
      <c r="D10385">
        <v>33.200000000000003</v>
      </c>
      <c r="E10385" t="s">
        <v>17</v>
      </c>
      <c r="F10385">
        <v>22.95</v>
      </c>
      <c r="G10385">
        <v>22.11</v>
      </c>
      <c r="H10385" t="s">
        <v>17</v>
      </c>
      <c r="I10385" t="str">
        <f>"064235006930"</f>
        <v>064235006930</v>
      </c>
    </row>
    <row r="10386" spans="1:9" x14ac:dyDescent="0.25">
      <c r="A10386" t="s">
        <v>9027</v>
      </c>
      <c r="B10386" t="s">
        <v>13</v>
      </c>
      <c r="C10386">
        <v>8.48</v>
      </c>
      <c r="D10386">
        <v>8.8800000000000008</v>
      </c>
      <c r="E10386" t="s">
        <v>17</v>
      </c>
      <c r="F10386">
        <v>10.5</v>
      </c>
      <c r="G10386">
        <v>9.91</v>
      </c>
      <c r="H10386" t="s">
        <v>17</v>
      </c>
      <c r="I10386" t="str">
        <f>"061527001960"</f>
        <v>061527001960</v>
      </c>
    </row>
    <row r="10387" spans="1:9" x14ac:dyDescent="0.25">
      <c r="A10387" t="s">
        <v>9028</v>
      </c>
      <c r="B10387" t="s">
        <v>13</v>
      </c>
      <c r="C10387">
        <v>32.04</v>
      </c>
      <c r="D10387">
        <v>31.32</v>
      </c>
      <c r="E10387" t="s">
        <v>17</v>
      </c>
      <c r="F10387">
        <v>19.41</v>
      </c>
      <c r="G10387">
        <v>19.440000000000001</v>
      </c>
      <c r="H10387" t="s">
        <v>17</v>
      </c>
      <c r="I10387" t="str">
        <f>"060000608774"</f>
        <v>060000608774</v>
      </c>
    </row>
    <row r="10388" spans="1:9" x14ac:dyDescent="0.25">
      <c r="A10388" t="s">
        <v>9029</v>
      </c>
      <c r="B10388" t="s">
        <v>13</v>
      </c>
      <c r="C10388">
        <v>21.7</v>
      </c>
      <c r="D10388">
        <v>22.25</v>
      </c>
      <c r="E10388" t="s">
        <v>17</v>
      </c>
      <c r="F10388">
        <v>19.91</v>
      </c>
      <c r="G10388">
        <v>21.98</v>
      </c>
      <c r="H10388" t="s">
        <v>17</v>
      </c>
      <c r="I10388" t="str">
        <f>"062100002526"</f>
        <v>062100002526</v>
      </c>
    </row>
    <row r="10389" spans="1:9" x14ac:dyDescent="0.25">
      <c r="A10389" t="s">
        <v>9029</v>
      </c>
      <c r="B10389" t="s">
        <v>13</v>
      </c>
      <c r="C10389">
        <v>20.100000000000001</v>
      </c>
      <c r="D10389">
        <v>20</v>
      </c>
      <c r="E10389" t="s">
        <v>17</v>
      </c>
      <c r="F10389">
        <v>27.41</v>
      </c>
      <c r="G10389">
        <v>28.7</v>
      </c>
      <c r="H10389" t="s">
        <v>17</v>
      </c>
      <c r="I10389" t="str">
        <f>"063684006275"</f>
        <v>063684006275</v>
      </c>
    </row>
    <row r="10390" spans="1:9" x14ac:dyDescent="0.25">
      <c r="A10390" t="s">
        <v>9030</v>
      </c>
      <c r="B10390" t="s">
        <v>13</v>
      </c>
      <c r="C10390">
        <v>18</v>
      </c>
      <c r="D10390">
        <v>18</v>
      </c>
      <c r="E10390" t="s">
        <v>17</v>
      </c>
      <c r="F10390">
        <v>22.67</v>
      </c>
      <c r="G10390">
        <v>23.06</v>
      </c>
      <c r="H10390" t="s">
        <v>17</v>
      </c>
      <c r="I10390" t="str">
        <f>"063429005405"</f>
        <v>063429005405</v>
      </c>
    </row>
    <row r="10391" spans="1:9" x14ac:dyDescent="0.25">
      <c r="A10391" t="s">
        <v>9031</v>
      </c>
      <c r="B10391" t="s">
        <v>13</v>
      </c>
      <c r="C10391">
        <v>19</v>
      </c>
      <c r="D10391">
        <v>18</v>
      </c>
      <c r="E10391" t="s">
        <v>17</v>
      </c>
      <c r="F10391">
        <v>22.32</v>
      </c>
      <c r="G10391">
        <v>23.22</v>
      </c>
      <c r="H10391" t="s">
        <v>17</v>
      </c>
      <c r="I10391" t="str">
        <f>"062271003461"</f>
        <v>062271003461</v>
      </c>
    </row>
    <row r="10392" spans="1:9" x14ac:dyDescent="0.25">
      <c r="A10392" t="s">
        <v>9032</v>
      </c>
      <c r="B10392" t="s">
        <v>13</v>
      </c>
      <c r="C10392">
        <v>18.7</v>
      </c>
      <c r="D10392">
        <v>17.8</v>
      </c>
      <c r="E10392" t="s">
        <v>17</v>
      </c>
      <c r="F10392">
        <v>23.69</v>
      </c>
      <c r="G10392">
        <v>24.44</v>
      </c>
      <c r="H10392" t="s">
        <v>17</v>
      </c>
      <c r="I10392" t="str">
        <f>"061389001583"</f>
        <v>061389001583</v>
      </c>
    </row>
    <row r="10393" spans="1:9" x14ac:dyDescent="0.25">
      <c r="A10393" t="s">
        <v>9033</v>
      </c>
      <c r="B10393" t="s">
        <v>13</v>
      </c>
      <c r="C10393">
        <v>19</v>
      </c>
      <c r="D10393">
        <v>20.350000000000001</v>
      </c>
      <c r="E10393" t="s">
        <v>17</v>
      </c>
      <c r="F10393">
        <v>23.95</v>
      </c>
      <c r="G10393">
        <v>22.41</v>
      </c>
      <c r="H10393" t="s">
        <v>17</v>
      </c>
      <c r="I10393" t="str">
        <f>"063264005080"</f>
        <v>063264005080</v>
      </c>
    </row>
    <row r="10394" spans="1:9" x14ac:dyDescent="0.25">
      <c r="A10394" t="s">
        <v>9034</v>
      </c>
      <c r="B10394" t="s">
        <v>13</v>
      </c>
      <c r="C10394" t="s">
        <v>17</v>
      </c>
      <c r="D10394" t="s">
        <v>14</v>
      </c>
      <c r="E10394" t="s">
        <v>14</v>
      </c>
      <c r="F10394" t="s">
        <v>17</v>
      </c>
      <c r="G10394" t="s">
        <v>14</v>
      </c>
      <c r="H10394" t="s">
        <v>14</v>
      </c>
      <c r="I10394" t="str">
        <f>"062706013459"</f>
        <v>062706013459</v>
      </c>
    </row>
    <row r="10395" spans="1:9" x14ac:dyDescent="0.25">
      <c r="A10395" t="s">
        <v>9035</v>
      </c>
      <c r="B10395" t="s">
        <v>13</v>
      </c>
      <c r="C10395">
        <v>4</v>
      </c>
      <c r="D10395">
        <v>3</v>
      </c>
      <c r="E10395" t="s">
        <v>17</v>
      </c>
      <c r="F10395">
        <v>26.5</v>
      </c>
      <c r="G10395">
        <v>26.67</v>
      </c>
      <c r="H10395" t="s">
        <v>17</v>
      </c>
      <c r="I10395" t="str">
        <f>"063759006370"</f>
        <v>063759006370</v>
      </c>
    </row>
    <row r="10396" spans="1:9" x14ac:dyDescent="0.25">
      <c r="A10396" t="s">
        <v>9036</v>
      </c>
      <c r="B10396" t="s">
        <v>13</v>
      </c>
      <c r="C10396">
        <v>3</v>
      </c>
      <c r="D10396">
        <v>3.01</v>
      </c>
      <c r="E10396" t="s">
        <v>17</v>
      </c>
      <c r="F10396">
        <v>21.67</v>
      </c>
      <c r="G10396">
        <v>19.27</v>
      </c>
      <c r="H10396" t="s">
        <v>17</v>
      </c>
      <c r="I10396" t="str">
        <f>"062271007768"</f>
        <v>062271007768</v>
      </c>
    </row>
    <row r="10397" spans="1:9" x14ac:dyDescent="0.25">
      <c r="A10397" t="s">
        <v>9037</v>
      </c>
      <c r="B10397" t="s">
        <v>13</v>
      </c>
      <c r="C10397">
        <v>23</v>
      </c>
      <c r="D10397">
        <v>26</v>
      </c>
      <c r="E10397" t="s">
        <v>17</v>
      </c>
      <c r="F10397">
        <v>13.09</v>
      </c>
      <c r="G10397">
        <v>11.77</v>
      </c>
      <c r="H10397" t="s">
        <v>17</v>
      </c>
      <c r="I10397" t="str">
        <f>"063432005571"</f>
        <v>063432005571</v>
      </c>
    </row>
    <row r="10398" spans="1:9" x14ac:dyDescent="0.25">
      <c r="A10398" t="s">
        <v>9038</v>
      </c>
      <c r="B10398" t="s">
        <v>13</v>
      </c>
      <c r="C10398">
        <v>8.52</v>
      </c>
      <c r="D10398">
        <v>7.04</v>
      </c>
      <c r="E10398" t="s">
        <v>17</v>
      </c>
      <c r="F10398">
        <v>15.38</v>
      </c>
      <c r="G10398">
        <v>18.75</v>
      </c>
      <c r="H10398" t="s">
        <v>17</v>
      </c>
      <c r="I10398" t="str">
        <f>"060813011488"</f>
        <v>060813011488</v>
      </c>
    </row>
    <row r="10399" spans="1:9" x14ac:dyDescent="0.25">
      <c r="A10399" t="s">
        <v>9039</v>
      </c>
      <c r="B10399" t="s">
        <v>13</v>
      </c>
      <c r="C10399">
        <v>21.85</v>
      </c>
      <c r="D10399">
        <v>22.21</v>
      </c>
      <c r="E10399" t="s">
        <v>17</v>
      </c>
      <c r="F10399">
        <v>19.36</v>
      </c>
      <c r="G10399">
        <v>18.96</v>
      </c>
      <c r="H10399" t="s">
        <v>17</v>
      </c>
      <c r="I10399" t="str">
        <f>"060813011487"</f>
        <v>060813011487</v>
      </c>
    </row>
    <row r="10400" spans="1:9" x14ac:dyDescent="0.25">
      <c r="A10400" t="s">
        <v>9040</v>
      </c>
      <c r="B10400" t="s">
        <v>13</v>
      </c>
      <c r="C10400" t="str">
        <f>"0.40"</f>
        <v>0.40</v>
      </c>
      <c r="D10400" t="str">
        <f>"0.65"</f>
        <v>0.65</v>
      </c>
      <c r="E10400" t="s">
        <v>17</v>
      </c>
      <c r="F10400">
        <v>40</v>
      </c>
      <c r="G10400">
        <v>13.85</v>
      </c>
      <c r="H10400" t="s">
        <v>17</v>
      </c>
      <c r="I10400" t="str">
        <f>"060813010691"</f>
        <v>060813010691</v>
      </c>
    </row>
    <row r="10401" spans="1:9" x14ac:dyDescent="0.25">
      <c r="A10401" t="s">
        <v>9041</v>
      </c>
      <c r="B10401" t="s">
        <v>13</v>
      </c>
      <c r="C10401">
        <v>2</v>
      </c>
      <c r="D10401">
        <v>2</v>
      </c>
      <c r="E10401" t="s">
        <v>17</v>
      </c>
      <c r="F10401">
        <v>16</v>
      </c>
      <c r="G10401">
        <v>12</v>
      </c>
      <c r="H10401" t="s">
        <v>17</v>
      </c>
      <c r="I10401" t="str">
        <f>"064242006935"</f>
        <v>064242006935</v>
      </c>
    </row>
    <row r="10402" spans="1:9" x14ac:dyDescent="0.25">
      <c r="A10402" t="s">
        <v>9042</v>
      </c>
      <c r="B10402" t="s">
        <v>13</v>
      </c>
      <c r="C10402">
        <v>39.42</v>
      </c>
      <c r="D10402">
        <v>39.4</v>
      </c>
      <c r="E10402" t="s">
        <v>17</v>
      </c>
      <c r="F10402">
        <v>26.03</v>
      </c>
      <c r="G10402">
        <v>25.91</v>
      </c>
      <c r="H10402" t="s">
        <v>17</v>
      </c>
      <c r="I10402" t="str">
        <f>"060162000029"</f>
        <v>060162000029</v>
      </c>
    </row>
    <row r="10403" spans="1:9" x14ac:dyDescent="0.25">
      <c r="A10403" t="s">
        <v>9043</v>
      </c>
      <c r="B10403" t="s">
        <v>13</v>
      </c>
      <c r="C10403">
        <v>14.02</v>
      </c>
      <c r="D10403">
        <v>16.45</v>
      </c>
      <c r="E10403" t="s">
        <v>17</v>
      </c>
      <c r="F10403">
        <v>24.11</v>
      </c>
      <c r="G10403">
        <v>21.28</v>
      </c>
      <c r="H10403" t="s">
        <v>17</v>
      </c>
      <c r="I10403" t="str">
        <f>"063462005826"</f>
        <v>063462005826</v>
      </c>
    </row>
    <row r="10404" spans="1:9" x14ac:dyDescent="0.25">
      <c r="A10404" t="s">
        <v>9044</v>
      </c>
      <c r="B10404" t="s">
        <v>13</v>
      </c>
      <c r="C10404">
        <v>72.900000000000006</v>
      </c>
      <c r="D10404">
        <v>69.7</v>
      </c>
      <c r="E10404" t="s">
        <v>17</v>
      </c>
      <c r="F10404">
        <v>25.86</v>
      </c>
      <c r="G10404">
        <v>25.49</v>
      </c>
      <c r="H10404" t="s">
        <v>17</v>
      </c>
      <c r="I10404" t="str">
        <f>"060001311010"</f>
        <v>060001311010</v>
      </c>
    </row>
    <row r="10405" spans="1:9" x14ac:dyDescent="0.25">
      <c r="A10405" t="s">
        <v>9045</v>
      </c>
      <c r="B10405" t="s">
        <v>13</v>
      </c>
      <c r="C10405">
        <v>3</v>
      </c>
      <c r="D10405">
        <v>3.5</v>
      </c>
      <c r="E10405" t="s">
        <v>17</v>
      </c>
      <c r="F10405">
        <v>21.33</v>
      </c>
      <c r="G10405">
        <v>18.29</v>
      </c>
      <c r="H10405" t="s">
        <v>17</v>
      </c>
      <c r="I10405" t="str">
        <f>"062271003477"</f>
        <v>062271003477</v>
      </c>
    </row>
    <row r="10406" spans="1:9" x14ac:dyDescent="0.25">
      <c r="A10406" t="s">
        <v>9046</v>
      </c>
      <c r="B10406" t="s">
        <v>13</v>
      </c>
      <c r="C10406" t="str">
        <f>"0.60"</f>
        <v>0.60</v>
      </c>
      <c r="D10406" t="str">
        <f>"0.60"</f>
        <v>0.60</v>
      </c>
      <c r="E10406" t="s">
        <v>17</v>
      </c>
      <c r="F10406">
        <v>16.670000000000002</v>
      </c>
      <c r="G10406">
        <v>26.67</v>
      </c>
      <c r="H10406" t="s">
        <v>17</v>
      </c>
      <c r="I10406" t="str">
        <f>"064245012746"</f>
        <v>064245012746</v>
      </c>
    </row>
    <row r="10407" spans="1:9" x14ac:dyDescent="0.25">
      <c r="A10407" t="s">
        <v>9047</v>
      </c>
      <c r="B10407" t="s">
        <v>13</v>
      </c>
      <c r="C10407">
        <v>32.5</v>
      </c>
      <c r="D10407">
        <v>34</v>
      </c>
      <c r="E10407" t="s">
        <v>17</v>
      </c>
      <c r="F10407">
        <v>22.8</v>
      </c>
      <c r="G10407">
        <v>22.71</v>
      </c>
      <c r="H10407" t="s">
        <v>17</v>
      </c>
      <c r="I10407" t="str">
        <f>"062724004132"</f>
        <v>062724004132</v>
      </c>
    </row>
    <row r="10408" spans="1:9" x14ac:dyDescent="0.25">
      <c r="A10408" t="s">
        <v>9047</v>
      </c>
      <c r="B10408" t="s">
        <v>13</v>
      </c>
      <c r="C10408">
        <v>30</v>
      </c>
      <c r="D10408">
        <v>30.5</v>
      </c>
      <c r="E10408" t="s">
        <v>17</v>
      </c>
      <c r="F10408">
        <v>28.2</v>
      </c>
      <c r="G10408">
        <v>28.07</v>
      </c>
      <c r="H10408" t="s">
        <v>17</v>
      </c>
      <c r="I10408" t="str">
        <f>"062250002767"</f>
        <v>062250002767</v>
      </c>
    </row>
    <row r="10409" spans="1:9" x14ac:dyDescent="0.25">
      <c r="A10409" t="s">
        <v>9047</v>
      </c>
      <c r="B10409" t="s">
        <v>13</v>
      </c>
      <c r="C10409">
        <v>42.5</v>
      </c>
      <c r="D10409">
        <v>43.5</v>
      </c>
      <c r="E10409" t="s">
        <v>17</v>
      </c>
      <c r="F10409">
        <v>25.84</v>
      </c>
      <c r="G10409">
        <v>24.87</v>
      </c>
      <c r="H10409" t="s">
        <v>17</v>
      </c>
      <c r="I10409" t="str">
        <f>"061692002158"</f>
        <v>061692002158</v>
      </c>
    </row>
    <row r="10410" spans="1:9" x14ac:dyDescent="0.25">
      <c r="A10410" t="s">
        <v>9048</v>
      </c>
      <c r="B10410" t="s">
        <v>13</v>
      </c>
      <c r="C10410">
        <v>85.63</v>
      </c>
      <c r="D10410">
        <v>89.9</v>
      </c>
      <c r="E10410" t="s">
        <v>17</v>
      </c>
      <c r="F10410">
        <v>28.51</v>
      </c>
      <c r="G10410">
        <v>27.15</v>
      </c>
      <c r="H10410" t="s">
        <v>17</v>
      </c>
      <c r="I10410" t="str">
        <f>"064248006955"</f>
        <v>064248006955</v>
      </c>
    </row>
    <row r="10411" spans="1:9" x14ac:dyDescent="0.25">
      <c r="A10411" t="s">
        <v>9049</v>
      </c>
      <c r="B10411" t="s">
        <v>13</v>
      </c>
      <c r="C10411" t="str">
        <f>"0.40"</f>
        <v>0.40</v>
      </c>
      <c r="D10411" t="s">
        <v>14</v>
      </c>
      <c r="E10411" t="s">
        <v>14</v>
      </c>
      <c r="F10411">
        <v>2.5</v>
      </c>
      <c r="G10411" t="s">
        <v>14</v>
      </c>
      <c r="H10411" t="s">
        <v>14</v>
      </c>
      <c r="I10411" t="str">
        <f>"064245013047"</f>
        <v>064245013047</v>
      </c>
    </row>
    <row r="10412" spans="1:9" x14ac:dyDescent="0.25">
      <c r="A10412" t="s">
        <v>9050</v>
      </c>
      <c r="B10412" t="s">
        <v>13</v>
      </c>
      <c r="C10412">
        <v>12</v>
      </c>
      <c r="D10412">
        <v>48</v>
      </c>
      <c r="E10412" t="s">
        <v>17</v>
      </c>
      <c r="F10412">
        <v>4.17</v>
      </c>
      <c r="G10412">
        <v>2.94</v>
      </c>
      <c r="H10412" t="s">
        <v>17</v>
      </c>
      <c r="I10412" t="str">
        <f>"063432007837"</f>
        <v>063432007837</v>
      </c>
    </row>
    <row r="10413" spans="1:9" x14ac:dyDescent="0.25">
      <c r="A10413" t="s">
        <v>9051</v>
      </c>
      <c r="B10413" t="s">
        <v>13</v>
      </c>
      <c r="C10413" t="s">
        <v>14</v>
      </c>
      <c r="D10413" t="s">
        <v>14</v>
      </c>
      <c r="E10413" t="s">
        <v>17</v>
      </c>
      <c r="F10413" t="s">
        <v>14</v>
      </c>
      <c r="G10413" t="s">
        <v>14</v>
      </c>
      <c r="H10413" t="s">
        <v>17</v>
      </c>
      <c r="I10413" t="str">
        <f>"062082011412"</f>
        <v>062082011412</v>
      </c>
    </row>
    <row r="10414" spans="1:9" x14ac:dyDescent="0.25">
      <c r="A10414" t="s">
        <v>9051</v>
      </c>
      <c r="B10414" t="s">
        <v>13</v>
      </c>
      <c r="C10414">
        <v>32.6</v>
      </c>
      <c r="D10414">
        <v>30.6</v>
      </c>
      <c r="E10414" t="s">
        <v>14</v>
      </c>
      <c r="F10414">
        <v>22.24</v>
      </c>
      <c r="G10414">
        <v>22.39</v>
      </c>
      <c r="H10414" t="s">
        <v>14</v>
      </c>
      <c r="I10414" t="str">
        <f>"060141011412"</f>
        <v>060141011412</v>
      </c>
    </row>
    <row r="10415" spans="1:9" x14ac:dyDescent="0.25">
      <c r="A10415" t="s">
        <v>9052</v>
      </c>
      <c r="B10415" t="s">
        <v>13</v>
      </c>
      <c r="C10415">
        <v>26</v>
      </c>
      <c r="D10415">
        <v>26</v>
      </c>
      <c r="E10415" t="s">
        <v>17</v>
      </c>
      <c r="F10415">
        <v>25</v>
      </c>
      <c r="G10415">
        <v>25</v>
      </c>
      <c r="H10415" t="s">
        <v>17</v>
      </c>
      <c r="I10415" t="str">
        <f>"062271003462"</f>
        <v>062271003462</v>
      </c>
    </row>
    <row r="10416" spans="1:9" x14ac:dyDescent="0.25">
      <c r="A10416" t="s">
        <v>9053</v>
      </c>
      <c r="B10416" t="s">
        <v>13</v>
      </c>
      <c r="C10416">
        <v>22.6</v>
      </c>
      <c r="D10416">
        <v>24</v>
      </c>
      <c r="E10416" t="s">
        <v>17</v>
      </c>
      <c r="F10416">
        <v>30.4</v>
      </c>
      <c r="G10416">
        <v>28.04</v>
      </c>
      <c r="H10416" t="s">
        <v>17</v>
      </c>
      <c r="I10416" t="str">
        <f>"062547003813"</f>
        <v>062547003813</v>
      </c>
    </row>
    <row r="10417" spans="1:9" x14ac:dyDescent="0.25">
      <c r="A10417" t="s">
        <v>9054</v>
      </c>
      <c r="B10417" t="s">
        <v>13</v>
      </c>
      <c r="C10417">
        <v>23.65</v>
      </c>
      <c r="D10417">
        <v>24.8</v>
      </c>
      <c r="E10417" t="s">
        <v>17</v>
      </c>
      <c r="F10417">
        <v>23.51</v>
      </c>
      <c r="G10417">
        <v>22.42</v>
      </c>
      <c r="H10417" t="s">
        <v>17</v>
      </c>
      <c r="I10417" t="str">
        <f>"062532003783"</f>
        <v>062532003783</v>
      </c>
    </row>
    <row r="10418" spans="1:9" x14ac:dyDescent="0.25">
      <c r="A10418" t="s">
        <v>9055</v>
      </c>
      <c r="B10418" t="s">
        <v>13</v>
      </c>
      <c r="C10418">
        <v>19</v>
      </c>
      <c r="D10418">
        <v>18</v>
      </c>
      <c r="E10418" t="s">
        <v>17</v>
      </c>
      <c r="F10418">
        <v>20.21</v>
      </c>
      <c r="G10418">
        <v>21.44</v>
      </c>
      <c r="H10418" t="s">
        <v>17</v>
      </c>
      <c r="I10418" t="str">
        <f>"061839011296"</f>
        <v>061839011296</v>
      </c>
    </row>
    <row r="10419" spans="1:9" x14ac:dyDescent="0.25">
      <c r="A10419" t="s">
        <v>9056</v>
      </c>
      <c r="B10419" t="s">
        <v>13</v>
      </c>
      <c r="C10419">
        <v>11</v>
      </c>
      <c r="D10419">
        <v>8</v>
      </c>
      <c r="E10419" t="s">
        <v>17</v>
      </c>
      <c r="F10419">
        <v>20.18</v>
      </c>
      <c r="G10419">
        <v>24.38</v>
      </c>
      <c r="H10419" t="s">
        <v>17</v>
      </c>
      <c r="I10419" t="str">
        <f>"061839012247"</f>
        <v>061839012247</v>
      </c>
    </row>
    <row r="10420" spans="1:9" x14ac:dyDescent="0.25">
      <c r="A10420" t="s">
        <v>9057</v>
      </c>
      <c r="B10420" t="s">
        <v>13</v>
      </c>
      <c r="C10420">
        <v>5</v>
      </c>
      <c r="D10420">
        <v>4</v>
      </c>
      <c r="E10420" t="s">
        <v>14</v>
      </c>
      <c r="F10420">
        <v>21</v>
      </c>
      <c r="G10420">
        <v>12.75</v>
      </c>
      <c r="H10420" t="s">
        <v>14</v>
      </c>
      <c r="I10420" t="str">
        <f>"060837012755"</f>
        <v>060837012755</v>
      </c>
    </row>
    <row r="10421" spans="1:9" x14ac:dyDescent="0.25">
      <c r="A10421" t="s">
        <v>9058</v>
      </c>
      <c r="B10421" t="s">
        <v>13</v>
      </c>
      <c r="C10421">
        <v>29.2</v>
      </c>
      <c r="D10421">
        <v>31.2</v>
      </c>
      <c r="E10421" t="s">
        <v>17</v>
      </c>
      <c r="F10421">
        <v>22.95</v>
      </c>
      <c r="G10421">
        <v>22.85</v>
      </c>
      <c r="H10421" t="s">
        <v>17</v>
      </c>
      <c r="I10421" t="str">
        <f>"060002709492"</f>
        <v>060002709492</v>
      </c>
    </row>
    <row r="10422" spans="1:9" x14ac:dyDescent="0.25">
      <c r="A10422" t="s">
        <v>9059</v>
      </c>
      <c r="B10422" t="s">
        <v>13</v>
      </c>
      <c r="C10422">
        <v>16</v>
      </c>
      <c r="D10422">
        <v>17.03</v>
      </c>
      <c r="E10422" t="s">
        <v>17</v>
      </c>
      <c r="F10422">
        <v>24.63</v>
      </c>
      <c r="G10422">
        <v>24.13</v>
      </c>
      <c r="H10422" t="s">
        <v>17</v>
      </c>
      <c r="I10422" t="str">
        <f>"060964001033"</f>
        <v>060964001033</v>
      </c>
    </row>
    <row r="10423" spans="1:9" x14ac:dyDescent="0.25">
      <c r="A10423" t="s">
        <v>9059</v>
      </c>
      <c r="B10423" t="s">
        <v>13</v>
      </c>
      <c r="C10423">
        <v>15.52</v>
      </c>
      <c r="D10423">
        <v>18.98</v>
      </c>
      <c r="E10423" t="s">
        <v>17</v>
      </c>
      <c r="F10423">
        <v>18.88</v>
      </c>
      <c r="G10423">
        <v>16.329999999999998</v>
      </c>
      <c r="H10423" t="s">
        <v>17</v>
      </c>
      <c r="I10423" t="str">
        <f>"063033004733"</f>
        <v>063033004733</v>
      </c>
    </row>
    <row r="10424" spans="1:9" x14ac:dyDescent="0.25">
      <c r="A10424" t="s">
        <v>9059</v>
      </c>
      <c r="B10424" t="s">
        <v>13</v>
      </c>
      <c r="C10424">
        <v>24.5</v>
      </c>
      <c r="D10424">
        <v>29.5</v>
      </c>
      <c r="E10424" t="s">
        <v>17</v>
      </c>
      <c r="F10424">
        <v>27.43</v>
      </c>
      <c r="G10424">
        <v>24.98</v>
      </c>
      <c r="H10424" t="s">
        <v>17</v>
      </c>
      <c r="I10424" t="str">
        <f>"064356007284"</f>
        <v>064356007284</v>
      </c>
    </row>
    <row r="10425" spans="1:9" x14ac:dyDescent="0.25">
      <c r="A10425" t="s">
        <v>9060</v>
      </c>
      <c r="B10425" t="s">
        <v>13</v>
      </c>
      <c r="C10425">
        <v>32.200000000000003</v>
      </c>
      <c r="D10425">
        <v>33.200000000000003</v>
      </c>
      <c r="E10425" t="s">
        <v>17</v>
      </c>
      <c r="F10425">
        <v>22.67</v>
      </c>
      <c r="G10425">
        <v>22.71</v>
      </c>
      <c r="H10425" t="s">
        <v>17</v>
      </c>
      <c r="I10425" t="str">
        <f>"062718004098"</f>
        <v>062718004098</v>
      </c>
    </row>
    <row r="10426" spans="1:9" x14ac:dyDescent="0.25">
      <c r="A10426" t="s">
        <v>9061</v>
      </c>
      <c r="B10426" t="s">
        <v>13</v>
      </c>
      <c r="C10426">
        <v>31.12</v>
      </c>
      <c r="D10426">
        <v>34.17</v>
      </c>
      <c r="E10426" t="s">
        <v>17</v>
      </c>
      <c r="F10426">
        <v>31.07</v>
      </c>
      <c r="G10426">
        <v>26.98</v>
      </c>
      <c r="H10426" t="s">
        <v>17</v>
      </c>
      <c r="I10426" t="str">
        <f>"063801011781"</f>
        <v>063801011781</v>
      </c>
    </row>
    <row r="10427" spans="1:9" x14ac:dyDescent="0.25">
      <c r="A10427" t="s">
        <v>9062</v>
      </c>
      <c r="B10427" t="s">
        <v>13</v>
      </c>
      <c r="C10427">
        <v>21</v>
      </c>
      <c r="D10427">
        <v>22</v>
      </c>
      <c r="E10427" t="s">
        <v>17</v>
      </c>
      <c r="F10427">
        <v>27.67</v>
      </c>
      <c r="G10427">
        <v>26.18</v>
      </c>
      <c r="H10427" t="s">
        <v>17</v>
      </c>
      <c r="I10427" t="str">
        <f>"061209001361"</f>
        <v>061209001361</v>
      </c>
    </row>
    <row r="10428" spans="1:9" x14ac:dyDescent="0.25">
      <c r="A10428" t="s">
        <v>9063</v>
      </c>
      <c r="B10428" t="s">
        <v>13</v>
      </c>
      <c r="C10428">
        <v>67.77</v>
      </c>
      <c r="D10428">
        <v>72.959999999999994</v>
      </c>
      <c r="E10428" t="s">
        <v>17</v>
      </c>
      <c r="F10428">
        <v>24.58</v>
      </c>
      <c r="G10428">
        <v>23.12</v>
      </c>
      <c r="H10428" t="s">
        <v>17</v>
      </c>
      <c r="I10428" t="str">
        <f>"064059009648"</f>
        <v>064059009648</v>
      </c>
    </row>
    <row r="10429" spans="1:9" x14ac:dyDescent="0.25">
      <c r="A10429" t="s">
        <v>9064</v>
      </c>
      <c r="B10429" t="s">
        <v>13</v>
      </c>
      <c r="C10429">
        <v>26.09</v>
      </c>
      <c r="D10429">
        <v>20.3</v>
      </c>
      <c r="E10429" t="s">
        <v>17</v>
      </c>
      <c r="F10429">
        <v>26.22</v>
      </c>
      <c r="G10429">
        <v>32.81</v>
      </c>
      <c r="H10429" t="s">
        <v>17</v>
      </c>
      <c r="I10429" t="str">
        <f>"063384005289"</f>
        <v>063384005289</v>
      </c>
    </row>
    <row r="10430" spans="1:9" x14ac:dyDescent="0.25">
      <c r="A10430" t="s">
        <v>9064</v>
      </c>
      <c r="B10430" t="s">
        <v>13</v>
      </c>
      <c r="C10430">
        <v>30.27</v>
      </c>
      <c r="D10430">
        <v>30.59</v>
      </c>
      <c r="E10430" t="s">
        <v>17</v>
      </c>
      <c r="F10430">
        <v>17.739999999999998</v>
      </c>
      <c r="G10430">
        <v>19.45</v>
      </c>
      <c r="H10430" t="s">
        <v>17</v>
      </c>
      <c r="I10430" t="str">
        <f>"060177000057"</f>
        <v>060177000057</v>
      </c>
    </row>
    <row r="10431" spans="1:9" x14ac:dyDescent="0.25">
      <c r="A10431" t="s">
        <v>9065</v>
      </c>
      <c r="B10431" t="s">
        <v>13</v>
      </c>
      <c r="C10431">
        <v>7</v>
      </c>
      <c r="D10431">
        <v>5.51</v>
      </c>
      <c r="E10431" t="s">
        <v>17</v>
      </c>
      <c r="F10431">
        <v>30.14</v>
      </c>
      <c r="G10431">
        <v>32.49</v>
      </c>
      <c r="H10431" t="s">
        <v>17</v>
      </c>
      <c r="I10431" t="str">
        <f>"062271003314"</f>
        <v>062271003314</v>
      </c>
    </row>
    <row r="10432" spans="1:9" x14ac:dyDescent="0.25">
      <c r="A10432" t="s">
        <v>9066</v>
      </c>
      <c r="B10432" t="s">
        <v>13</v>
      </c>
      <c r="C10432">
        <v>34</v>
      </c>
      <c r="D10432">
        <v>36</v>
      </c>
      <c r="E10432" t="s">
        <v>17</v>
      </c>
      <c r="F10432">
        <v>21.47</v>
      </c>
      <c r="G10432">
        <v>21.89</v>
      </c>
      <c r="H10432" t="s">
        <v>17</v>
      </c>
      <c r="I10432" t="str">
        <f>"062316003537"</f>
        <v>062316003537</v>
      </c>
    </row>
    <row r="10433" spans="1:9" x14ac:dyDescent="0.25">
      <c r="A10433" t="s">
        <v>9066</v>
      </c>
      <c r="B10433" t="s">
        <v>13</v>
      </c>
      <c r="C10433">
        <v>24.5</v>
      </c>
      <c r="D10433">
        <v>21</v>
      </c>
      <c r="E10433" t="s">
        <v>17</v>
      </c>
      <c r="F10433">
        <v>20.86</v>
      </c>
      <c r="G10433">
        <v>23.29</v>
      </c>
      <c r="H10433" t="s">
        <v>17</v>
      </c>
      <c r="I10433" t="str">
        <f>"063570006100"</f>
        <v>063570006100</v>
      </c>
    </row>
    <row r="10434" spans="1:9" x14ac:dyDescent="0.25">
      <c r="A10434" t="s">
        <v>9066</v>
      </c>
      <c r="B10434" t="s">
        <v>13</v>
      </c>
      <c r="C10434">
        <v>16.149999999999999</v>
      </c>
      <c r="D10434">
        <v>16.8</v>
      </c>
      <c r="E10434" t="s">
        <v>17</v>
      </c>
      <c r="F10434">
        <v>26.81</v>
      </c>
      <c r="G10434">
        <v>23.99</v>
      </c>
      <c r="H10434" t="s">
        <v>17</v>
      </c>
      <c r="I10434" t="str">
        <f>"064098006770"</f>
        <v>064098006770</v>
      </c>
    </row>
    <row r="10435" spans="1:9" x14ac:dyDescent="0.25">
      <c r="A10435" t="s">
        <v>9067</v>
      </c>
      <c r="B10435" t="s">
        <v>13</v>
      </c>
      <c r="C10435">
        <v>41.87</v>
      </c>
      <c r="D10435">
        <v>40.020000000000003</v>
      </c>
      <c r="E10435" t="s">
        <v>17</v>
      </c>
      <c r="F10435">
        <v>22.07</v>
      </c>
      <c r="G10435">
        <v>23.69</v>
      </c>
      <c r="H10435" t="s">
        <v>17</v>
      </c>
      <c r="I10435" t="str">
        <f>"062121002544"</f>
        <v>062121002544</v>
      </c>
    </row>
    <row r="10436" spans="1:9" x14ac:dyDescent="0.25">
      <c r="A10436" t="s">
        <v>9067</v>
      </c>
      <c r="B10436" t="s">
        <v>13</v>
      </c>
      <c r="C10436">
        <v>26.04</v>
      </c>
      <c r="D10436">
        <v>28.5</v>
      </c>
      <c r="E10436" t="s">
        <v>17</v>
      </c>
      <c r="F10436">
        <v>24.19</v>
      </c>
      <c r="G10436">
        <v>22.6</v>
      </c>
      <c r="H10436" t="s">
        <v>17</v>
      </c>
      <c r="I10436" t="str">
        <f>"063462005814"</f>
        <v>063462005814</v>
      </c>
    </row>
    <row r="10437" spans="1:9" x14ac:dyDescent="0.25">
      <c r="A10437" t="s">
        <v>9068</v>
      </c>
      <c r="B10437" t="s">
        <v>13</v>
      </c>
      <c r="C10437">
        <v>20</v>
      </c>
      <c r="D10437">
        <v>22.5</v>
      </c>
      <c r="E10437" t="s">
        <v>17</v>
      </c>
      <c r="F10437">
        <v>25.25</v>
      </c>
      <c r="G10437">
        <v>23.11</v>
      </c>
      <c r="H10437" t="s">
        <v>17</v>
      </c>
      <c r="I10437" t="str">
        <f>"061494001895"</f>
        <v>061494001895</v>
      </c>
    </row>
    <row r="10438" spans="1:9" x14ac:dyDescent="0.25">
      <c r="A10438" t="s">
        <v>9069</v>
      </c>
      <c r="B10438" t="s">
        <v>13</v>
      </c>
      <c r="C10438">
        <v>27</v>
      </c>
      <c r="D10438">
        <v>27</v>
      </c>
      <c r="E10438" t="s">
        <v>17</v>
      </c>
      <c r="F10438">
        <v>29.56</v>
      </c>
      <c r="G10438">
        <v>29.59</v>
      </c>
      <c r="H10438" t="s">
        <v>17</v>
      </c>
      <c r="I10438" t="str">
        <f>"062250002768"</f>
        <v>062250002768</v>
      </c>
    </row>
    <row r="10439" spans="1:9" x14ac:dyDescent="0.25">
      <c r="A10439" t="s">
        <v>9069</v>
      </c>
      <c r="B10439" t="s">
        <v>13</v>
      </c>
      <c r="C10439">
        <v>26.5</v>
      </c>
      <c r="D10439">
        <v>30</v>
      </c>
      <c r="E10439" t="s">
        <v>17</v>
      </c>
      <c r="F10439">
        <v>24.3</v>
      </c>
      <c r="G10439">
        <v>23.07</v>
      </c>
      <c r="H10439" t="s">
        <v>17</v>
      </c>
      <c r="I10439" t="str">
        <f>"062994004691"</f>
        <v>062994004691</v>
      </c>
    </row>
    <row r="10440" spans="1:9" x14ac:dyDescent="0.25">
      <c r="A10440" t="s">
        <v>9070</v>
      </c>
      <c r="B10440" t="s">
        <v>13</v>
      </c>
      <c r="C10440">
        <v>19</v>
      </c>
      <c r="D10440">
        <v>20</v>
      </c>
      <c r="E10440" t="s">
        <v>17</v>
      </c>
      <c r="F10440">
        <v>28.42</v>
      </c>
      <c r="G10440">
        <v>27.2</v>
      </c>
      <c r="H10440" t="s">
        <v>17</v>
      </c>
      <c r="I10440" t="str">
        <f>"062619003920"</f>
        <v>062619003920</v>
      </c>
    </row>
    <row r="10441" spans="1:9" x14ac:dyDescent="0.25">
      <c r="A10441" t="s">
        <v>9071</v>
      </c>
      <c r="B10441" t="s">
        <v>13</v>
      </c>
      <c r="C10441">
        <v>41.43</v>
      </c>
      <c r="D10441">
        <v>41</v>
      </c>
      <c r="E10441" t="s">
        <v>17</v>
      </c>
      <c r="F10441">
        <v>21.99</v>
      </c>
      <c r="G10441">
        <v>22.34</v>
      </c>
      <c r="H10441" t="s">
        <v>17</v>
      </c>
      <c r="I10441" t="str">
        <f>"063531006013"</f>
        <v>063531006013</v>
      </c>
    </row>
    <row r="10442" spans="1:9" x14ac:dyDescent="0.25">
      <c r="A10442" t="s">
        <v>9072</v>
      </c>
      <c r="B10442" t="s">
        <v>13</v>
      </c>
      <c r="C10442">
        <v>22.88</v>
      </c>
      <c r="D10442">
        <v>27.3</v>
      </c>
      <c r="E10442" t="s">
        <v>17</v>
      </c>
      <c r="F10442">
        <v>22.33</v>
      </c>
      <c r="G10442">
        <v>19.82</v>
      </c>
      <c r="H10442" t="s">
        <v>17</v>
      </c>
      <c r="I10442" t="str">
        <f>"060474007267"</f>
        <v>060474007267</v>
      </c>
    </row>
    <row r="10443" spans="1:9" x14ac:dyDescent="0.25">
      <c r="A10443" t="s">
        <v>9073</v>
      </c>
      <c r="B10443" t="s">
        <v>13</v>
      </c>
      <c r="C10443">
        <v>4.75</v>
      </c>
      <c r="D10443">
        <v>6.05</v>
      </c>
      <c r="E10443" t="s">
        <v>17</v>
      </c>
      <c r="F10443">
        <v>37.049999999999997</v>
      </c>
      <c r="G10443">
        <v>29.09</v>
      </c>
      <c r="H10443" t="s">
        <v>17</v>
      </c>
      <c r="I10443" t="str">
        <f>"062688011700"</f>
        <v>062688011700</v>
      </c>
    </row>
    <row r="10444" spans="1:9" x14ac:dyDescent="0.25">
      <c r="A10444" t="s">
        <v>9074</v>
      </c>
      <c r="B10444" t="s">
        <v>13</v>
      </c>
      <c r="C10444">
        <v>31.5</v>
      </c>
      <c r="D10444">
        <v>30</v>
      </c>
      <c r="E10444" t="s">
        <v>17</v>
      </c>
      <c r="F10444">
        <v>25.37</v>
      </c>
      <c r="G10444">
        <v>25.53</v>
      </c>
      <c r="H10444" t="s">
        <v>17</v>
      </c>
      <c r="I10444" t="str">
        <f>"062121002545"</f>
        <v>062121002545</v>
      </c>
    </row>
    <row r="10445" spans="1:9" x14ac:dyDescent="0.25">
      <c r="A10445" t="s">
        <v>9075</v>
      </c>
      <c r="B10445" t="s">
        <v>13</v>
      </c>
      <c r="C10445">
        <v>22</v>
      </c>
      <c r="D10445">
        <v>21</v>
      </c>
      <c r="E10445" t="s">
        <v>17</v>
      </c>
      <c r="F10445">
        <v>22.32</v>
      </c>
      <c r="G10445">
        <v>22.43</v>
      </c>
      <c r="H10445" t="s">
        <v>17</v>
      </c>
      <c r="I10445" t="str">
        <f>"062745008703"</f>
        <v>062745008703</v>
      </c>
    </row>
    <row r="10446" spans="1:9" x14ac:dyDescent="0.25">
      <c r="A10446" t="s">
        <v>9076</v>
      </c>
      <c r="B10446" t="s">
        <v>13</v>
      </c>
      <c r="C10446">
        <v>44.51</v>
      </c>
      <c r="D10446">
        <v>41</v>
      </c>
      <c r="E10446" t="s">
        <v>17</v>
      </c>
      <c r="F10446">
        <v>25.59</v>
      </c>
      <c r="G10446">
        <v>26.44</v>
      </c>
      <c r="H10446" t="s">
        <v>17</v>
      </c>
      <c r="I10446" t="str">
        <f>"060591004444"</f>
        <v>060591004444</v>
      </c>
    </row>
    <row r="10447" spans="1:9" x14ac:dyDescent="0.25">
      <c r="A10447" t="s">
        <v>9077</v>
      </c>
      <c r="B10447" t="s">
        <v>13</v>
      </c>
      <c r="C10447">
        <v>20.8</v>
      </c>
      <c r="D10447">
        <v>20.64</v>
      </c>
      <c r="E10447" t="s">
        <v>17</v>
      </c>
      <c r="F10447">
        <v>23.7</v>
      </c>
      <c r="G10447">
        <v>24.18</v>
      </c>
      <c r="H10447" t="s">
        <v>17</v>
      </c>
      <c r="I10447" t="str">
        <f>"060627000550"</f>
        <v>060627000550</v>
      </c>
    </row>
    <row r="10448" spans="1:9" x14ac:dyDescent="0.25">
      <c r="A10448" t="s">
        <v>9078</v>
      </c>
      <c r="B10448" t="s">
        <v>13</v>
      </c>
      <c r="C10448">
        <v>24</v>
      </c>
      <c r="D10448">
        <v>24</v>
      </c>
      <c r="E10448" t="s">
        <v>17</v>
      </c>
      <c r="F10448">
        <v>26.63</v>
      </c>
      <c r="G10448">
        <v>26.5</v>
      </c>
      <c r="H10448" t="s">
        <v>17</v>
      </c>
      <c r="I10448" t="str">
        <f>"062450003663"</f>
        <v>062450003663</v>
      </c>
    </row>
    <row r="10449" spans="1:9" x14ac:dyDescent="0.25">
      <c r="A10449" t="s">
        <v>9079</v>
      </c>
      <c r="B10449" t="s">
        <v>13</v>
      </c>
      <c r="C10449">
        <v>68.52</v>
      </c>
      <c r="D10449">
        <v>67.099999999999994</v>
      </c>
      <c r="E10449" t="s">
        <v>17</v>
      </c>
      <c r="F10449">
        <v>21.02</v>
      </c>
      <c r="G10449">
        <v>22.4</v>
      </c>
      <c r="H10449" t="s">
        <v>17</v>
      </c>
      <c r="I10449" t="str">
        <f>"061182001306"</f>
        <v>061182001306</v>
      </c>
    </row>
    <row r="10450" spans="1:9" x14ac:dyDescent="0.25">
      <c r="A10450" t="s">
        <v>9080</v>
      </c>
      <c r="B10450" t="s">
        <v>13</v>
      </c>
      <c r="C10450">
        <v>26</v>
      </c>
      <c r="D10450">
        <v>26</v>
      </c>
      <c r="E10450" t="s">
        <v>17</v>
      </c>
      <c r="F10450">
        <v>23.92</v>
      </c>
      <c r="G10450">
        <v>22.58</v>
      </c>
      <c r="H10450" t="s">
        <v>17</v>
      </c>
      <c r="I10450" t="str">
        <f>"060002707605"</f>
        <v>060002707605</v>
      </c>
    </row>
    <row r="10451" spans="1:9" x14ac:dyDescent="0.25">
      <c r="A10451" t="s">
        <v>9081</v>
      </c>
      <c r="B10451" t="s">
        <v>13</v>
      </c>
      <c r="C10451">
        <v>14.5</v>
      </c>
      <c r="D10451">
        <v>15.3</v>
      </c>
      <c r="E10451" t="s">
        <v>17</v>
      </c>
      <c r="F10451">
        <v>29.72</v>
      </c>
      <c r="G10451">
        <v>29.28</v>
      </c>
      <c r="H10451" t="s">
        <v>17</v>
      </c>
      <c r="I10451" t="str">
        <f>"060588000533"</f>
        <v>060588000533</v>
      </c>
    </row>
    <row r="10452" spans="1:9" x14ac:dyDescent="0.25">
      <c r="A10452" t="s">
        <v>9082</v>
      </c>
      <c r="B10452" t="s">
        <v>13</v>
      </c>
      <c r="C10452">
        <v>24.4</v>
      </c>
      <c r="D10452">
        <v>23.23</v>
      </c>
      <c r="E10452" t="s">
        <v>17</v>
      </c>
      <c r="F10452">
        <v>26.8</v>
      </c>
      <c r="G10452">
        <v>27.21</v>
      </c>
      <c r="H10452" t="s">
        <v>17</v>
      </c>
      <c r="I10452" t="str">
        <f>"061029001133"</f>
        <v>061029001133</v>
      </c>
    </row>
    <row r="10453" spans="1:9" x14ac:dyDescent="0.25">
      <c r="A10453" t="s">
        <v>9083</v>
      </c>
      <c r="B10453" t="s">
        <v>13</v>
      </c>
      <c r="C10453">
        <v>6.2</v>
      </c>
      <c r="D10453">
        <v>5.55</v>
      </c>
      <c r="E10453" t="s">
        <v>17</v>
      </c>
      <c r="F10453">
        <v>19.84</v>
      </c>
      <c r="G10453">
        <v>17.3</v>
      </c>
      <c r="H10453" t="s">
        <v>17</v>
      </c>
      <c r="I10453" t="str">
        <f>"069100808479"</f>
        <v>069100808479</v>
      </c>
    </row>
    <row r="10454" spans="1:9" x14ac:dyDescent="0.25">
      <c r="A10454" t="s">
        <v>9084</v>
      </c>
      <c r="B10454" t="s">
        <v>13</v>
      </c>
      <c r="C10454">
        <v>57.64</v>
      </c>
      <c r="D10454">
        <v>62.03</v>
      </c>
      <c r="E10454" t="s">
        <v>17</v>
      </c>
      <c r="F10454">
        <v>26.25</v>
      </c>
      <c r="G10454">
        <v>25.28</v>
      </c>
      <c r="H10454" t="s">
        <v>17</v>
      </c>
      <c r="I10454" t="str">
        <f>"063237007621"</f>
        <v>063237007621</v>
      </c>
    </row>
    <row r="10455" spans="1:9" x14ac:dyDescent="0.25">
      <c r="A10455" t="s">
        <v>9085</v>
      </c>
      <c r="B10455" t="s">
        <v>13</v>
      </c>
      <c r="C10455">
        <v>16.7</v>
      </c>
      <c r="D10455">
        <v>18.45</v>
      </c>
      <c r="E10455" t="s">
        <v>17</v>
      </c>
      <c r="F10455">
        <v>19.760000000000002</v>
      </c>
      <c r="G10455">
        <v>18.7</v>
      </c>
      <c r="H10455" t="s">
        <v>17</v>
      </c>
      <c r="I10455" t="str">
        <f>"060177000003"</f>
        <v>060177000003</v>
      </c>
    </row>
    <row r="10456" spans="1:9" x14ac:dyDescent="0.25">
      <c r="A10456" t="s">
        <v>9086</v>
      </c>
      <c r="B10456" t="s">
        <v>13</v>
      </c>
      <c r="C10456">
        <v>16</v>
      </c>
      <c r="D10456">
        <v>22</v>
      </c>
      <c r="E10456" t="s">
        <v>17</v>
      </c>
      <c r="F10456">
        <v>20.38</v>
      </c>
      <c r="G10456">
        <v>14.36</v>
      </c>
      <c r="H10456" t="s">
        <v>17</v>
      </c>
      <c r="I10456" t="str">
        <f>"062513003738"</f>
        <v>062513003738</v>
      </c>
    </row>
    <row r="10457" spans="1:9" x14ac:dyDescent="0.25">
      <c r="A10457" t="s">
        <v>9087</v>
      </c>
      <c r="B10457" t="s">
        <v>13</v>
      </c>
      <c r="C10457">
        <v>31.5</v>
      </c>
      <c r="D10457">
        <v>31</v>
      </c>
      <c r="E10457" t="s">
        <v>17</v>
      </c>
      <c r="F10457">
        <v>24.67</v>
      </c>
      <c r="G10457">
        <v>25.65</v>
      </c>
      <c r="H10457" t="s">
        <v>17</v>
      </c>
      <c r="I10457" t="str">
        <f>"062121002546"</f>
        <v>062121002546</v>
      </c>
    </row>
    <row r="10458" spans="1:9" x14ac:dyDescent="0.25">
      <c r="A10458" t="s">
        <v>9088</v>
      </c>
      <c r="B10458" t="s">
        <v>13</v>
      </c>
      <c r="C10458">
        <v>27.4</v>
      </c>
      <c r="D10458">
        <v>23.5</v>
      </c>
      <c r="E10458" t="s">
        <v>17</v>
      </c>
      <c r="F10458">
        <v>25</v>
      </c>
      <c r="G10458">
        <v>29.15</v>
      </c>
      <c r="H10458" t="s">
        <v>17</v>
      </c>
      <c r="I10458" t="str">
        <f>"061350008301"</f>
        <v>061350008301</v>
      </c>
    </row>
    <row r="10459" spans="1:9" x14ac:dyDescent="0.25">
      <c r="A10459" t="s">
        <v>9089</v>
      </c>
      <c r="B10459" t="s">
        <v>13</v>
      </c>
      <c r="C10459">
        <v>38.75</v>
      </c>
      <c r="D10459">
        <v>41</v>
      </c>
      <c r="E10459" t="s">
        <v>17</v>
      </c>
      <c r="F10459">
        <v>26.92</v>
      </c>
      <c r="G10459">
        <v>25.12</v>
      </c>
      <c r="H10459" t="s">
        <v>17</v>
      </c>
      <c r="I10459" t="str">
        <f>"061440001669"</f>
        <v>061440001669</v>
      </c>
    </row>
    <row r="10460" spans="1:9" x14ac:dyDescent="0.25">
      <c r="A10460" t="s">
        <v>9090</v>
      </c>
      <c r="B10460" t="s">
        <v>13</v>
      </c>
      <c r="C10460">
        <v>83.5</v>
      </c>
      <c r="D10460">
        <v>94.54</v>
      </c>
      <c r="E10460" t="s">
        <v>17</v>
      </c>
      <c r="F10460">
        <v>29.32</v>
      </c>
      <c r="G10460">
        <v>27.43</v>
      </c>
      <c r="H10460" t="s">
        <v>17</v>
      </c>
      <c r="I10460" t="str">
        <f>"062271003387"</f>
        <v>062271003387</v>
      </c>
    </row>
    <row r="10461" spans="1:9" x14ac:dyDescent="0.25">
      <c r="A10461" t="s">
        <v>9091</v>
      </c>
      <c r="B10461" t="s">
        <v>13</v>
      </c>
      <c r="C10461">
        <v>24.7</v>
      </c>
      <c r="D10461">
        <v>26.17</v>
      </c>
      <c r="E10461" t="s">
        <v>17</v>
      </c>
      <c r="F10461">
        <v>27.49</v>
      </c>
      <c r="G10461">
        <v>27.97</v>
      </c>
      <c r="H10461" t="s">
        <v>17</v>
      </c>
      <c r="I10461" t="str">
        <f>"063315009624"</f>
        <v>063315009624</v>
      </c>
    </row>
    <row r="10462" spans="1:9" x14ac:dyDescent="0.25">
      <c r="A10462" t="s">
        <v>9092</v>
      </c>
      <c r="B10462" t="s">
        <v>13</v>
      </c>
      <c r="C10462">
        <v>134.69999999999999</v>
      </c>
      <c r="D10462">
        <v>139.53</v>
      </c>
      <c r="E10462" t="s">
        <v>17</v>
      </c>
      <c r="F10462">
        <v>24.45</v>
      </c>
      <c r="G10462">
        <v>24.48</v>
      </c>
      <c r="H10462" t="s">
        <v>17</v>
      </c>
      <c r="I10462" t="str">
        <f>"060282011346"</f>
        <v>060282011346</v>
      </c>
    </row>
    <row r="10463" spans="1:9" x14ac:dyDescent="0.25">
      <c r="A10463" t="s">
        <v>9093</v>
      </c>
      <c r="B10463" t="s">
        <v>13</v>
      </c>
      <c r="C10463">
        <v>10.5</v>
      </c>
      <c r="D10463">
        <v>10.01</v>
      </c>
      <c r="E10463" t="s">
        <v>17</v>
      </c>
      <c r="F10463">
        <v>15.62</v>
      </c>
      <c r="G10463">
        <v>15.78</v>
      </c>
      <c r="H10463" t="s">
        <v>17</v>
      </c>
      <c r="I10463" t="str">
        <f>"062271011307"</f>
        <v>062271011307</v>
      </c>
    </row>
    <row r="10464" spans="1:9" x14ac:dyDescent="0.25">
      <c r="A10464" t="s">
        <v>9094</v>
      </c>
      <c r="B10464" t="s">
        <v>13</v>
      </c>
      <c r="C10464">
        <v>33.01</v>
      </c>
      <c r="D10464">
        <v>36.5</v>
      </c>
      <c r="E10464" t="s">
        <v>17</v>
      </c>
      <c r="F10464">
        <v>26.2</v>
      </c>
      <c r="G10464">
        <v>26.79</v>
      </c>
      <c r="H10464" t="s">
        <v>17</v>
      </c>
      <c r="I10464" t="str">
        <f>"062271011649"</f>
        <v>062271011649</v>
      </c>
    </row>
    <row r="10465" spans="1:9" x14ac:dyDescent="0.25">
      <c r="A10465" t="s">
        <v>9095</v>
      </c>
      <c r="B10465" t="s">
        <v>13</v>
      </c>
      <c r="C10465">
        <v>17.25</v>
      </c>
      <c r="D10465">
        <v>19.5</v>
      </c>
      <c r="E10465" t="s">
        <v>17</v>
      </c>
      <c r="F10465">
        <v>25.68</v>
      </c>
      <c r="G10465">
        <v>22.72</v>
      </c>
      <c r="H10465" t="s">
        <v>17</v>
      </c>
      <c r="I10465" t="str">
        <f>"063360005186"</f>
        <v>063360005186</v>
      </c>
    </row>
    <row r="10466" spans="1:9" x14ac:dyDescent="0.25">
      <c r="A10466" t="s">
        <v>9096</v>
      </c>
      <c r="B10466" t="s">
        <v>13</v>
      </c>
      <c r="C10466">
        <v>10</v>
      </c>
      <c r="D10466">
        <v>7.8</v>
      </c>
      <c r="E10466" t="s">
        <v>17</v>
      </c>
      <c r="F10466">
        <v>29.1</v>
      </c>
      <c r="G10466">
        <v>36.15</v>
      </c>
      <c r="H10466" t="s">
        <v>17</v>
      </c>
      <c r="I10466" t="str">
        <f>"063384005290"</f>
        <v>063384005290</v>
      </c>
    </row>
    <row r="10467" spans="1:9" x14ac:dyDescent="0.25">
      <c r="A10467" t="s">
        <v>9097</v>
      </c>
      <c r="B10467" t="s">
        <v>13</v>
      </c>
      <c r="C10467">
        <v>24</v>
      </c>
      <c r="D10467">
        <v>26</v>
      </c>
      <c r="E10467" t="s">
        <v>17</v>
      </c>
      <c r="F10467">
        <v>25.25</v>
      </c>
      <c r="G10467">
        <v>24.23</v>
      </c>
      <c r="H10467" t="s">
        <v>17</v>
      </c>
      <c r="I10467" t="str">
        <f>"063198009181"</f>
        <v>063198009181</v>
      </c>
    </row>
    <row r="10468" spans="1:9" x14ac:dyDescent="0.25">
      <c r="A10468" t="s">
        <v>9098</v>
      </c>
      <c r="B10468" t="s">
        <v>13</v>
      </c>
      <c r="C10468">
        <v>15.5</v>
      </c>
      <c r="D10468">
        <v>16</v>
      </c>
      <c r="E10468" t="s">
        <v>17</v>
      </c>
      <c r="F10468">
        <v>26</v>
      </c>
      <c r="G10468">
        <v>26.69</v>
      </c>
      <c r="H10468" t="s">
        <v>17</v>
      </c>
      <c r="I10468" t="str">
        <f>"060645000573"</f>
        <v>060645000573</v>
      </c>
    </row>
    <row r="10469" spans="1:9" x14ac:dyDescent="0.25">
      <c r="A10469" t="s">
        <v>9098</v>
      </c>
      <c r="B10469" t="s">
        <v>13</v>
      </c>
      <c r="C10469">
        <v>33</v>
      </c>
      <c r="D10469">
        <v>32</v>
      </c>
      <c r="E10469" t="s">
        <v>17</v>
      </c>
      <c r="F10469">
        <v>26.33</v>
      </c>
      <c r="G10469">
        <v>27.97</v>
      </c>
      <c r="H10469" t="s">
        <v>17</v>
      </c>
      <c r="I10469" t="str">
        <f>"060985000932"</f>
        <v>060985000932</v>
      </c>
    </row>
    <row r="10470" spans="1:9" x14ac:dyDescent="0.25">
      <c r="A10470" t="s">
        <v>9098</v>
      </c>
      <c r="B10470" t="s">
        <v>13</v>
      </c>
      <c r="C10470">
        <v>31</v>
      </c>
      <c r="D10470">
        <v>29</v>
      </c>
      <c r="E10470" t="s">
        <v>17</v>
      </c>
      <c r="F10470">
        <v>21.19</v>
      </c>
      <c r="G10470">
        <v>22.86</v>
      </c>
      <c r="H10470" t="s">
        <v>17</v>
      </c>
      <c r="I10470" t="str">
        <f>"060939000953"</f>
        <v>060939000953</v>
      </c>
    </row>
    <row r="10471" spans="1:9" x14ac:dyDescent="0.25">
      <c r="A10471" t="s">
        <v>9099</v>
      </c>
      <c r="B10471" t="s">
        <v>13</v>
      </c>
      <c r="C10471">
        <v>35.94</v>
      </c>
      <c r="D10471">
        <v>34.24</v>
      </c>
      <c r="E10471" t="s">
        <v>17</v>
      </c>
      <c r="F10471">
        <v>26.54</v>
      </c>
      <c r="G10471">
        <v>26.61</v>
      </c>
      <c r="H10471" t="s">
        <v>17</v>
      </c>
      <c r="I10471" t="str">
        <f>"062211002636"</f>
        <v>062211002636</v>
      </c>
    </row>
    <row r="10472" spans="1:9" x14ac:dyDescent="0.25">
      <c r="A10472" t="s">
        <v>9100</v>
      </c>
      <c r="B10472" t="s">
        <v>13</v>
      </c>
      <c r="C10472">
        <v>31.8</v>
      </c>
      <c r="D10472">
        <v>30.25</v>
      </c>
      <c r="E10472" t="s">
        <v>17</v>
      </c>
      <c r="F10472">
        <v>23.62</v>
      </c>
      <c r="G10472">
        <v>25.22</v>
      </c>
      <c r="H10472" t="s">
        <v>17</v>
      </c>
      <c r="I10472" t="str">
        <f>"060690002010"</f>
        <v>060690002010</v>
      </c>
    </row>
    <row r="10473" spans="1:9" x14ac:dyDescent="0.25">
      <c r="A10473" t="s">
        <v>9101</v>
      </c>
      <c r="B10473" t="s">
        <v>13</v>
      </c>
      <c r="C10473">
        <v>57.75</v>
      </c>
      <c r="D10473">
        <v>64.02</v>
      </c>
      <c r="E10473" t="s">
        <v>17</v>
      </c>
      <c r="F10473">
        <v>25.52</v>
      </c>
      <c r="G10473">
        <v>25.02</v>
      </c>
      <c r="H10473" t="s">
        <v>17</v>
      </c>
      <c r="I10473" t="str">
        <f>"062271003205"</f>
        <v>062271003205</v>
      </c>
    </row>
    <row r="10474" spans="1:9" x14ac:dyDescent="0.25">
      <c r="A10474" t="s">
        <v>9102</v>
      </c>
      <c r="B10474" t="s">
        <v>13</v>
      </c>
      <c r="C10474">
        <v>27.34</v>
      </c>
      <c r="D10474">
        <v>31.83</v>
      </c>
      <c r="E10474" t="s">
        <v>17</v>
      </c>
      <c r="F10474">
        <v>27.03</v>
      </c>
      <c r="G10474">
        <v>25.04</v>
      </c>
      <c r="H10474" t="s">
        <v>17</v>
      </c>
      <c r="I10474" t="str">
        <f>"060015310945"</f>
        <v>060015310945</v>
      </c>
    </row>
    <row r="10475" spans="1:9" x14ac:dyDescent="0.25">
      <c r="A10475" t="s">
        <v>9103</v>
      </c>
      <c r="B10475" t="s">
        <v>13</v>
      </c>
      <c r="C10475">
        <v>15.2</v>
      </c>
      <c r="D10475">
        <v>14.11</v>
      </c>
      <c r="E10475" t="s">
        <v>17</v>
      </c>
      <c r="F10475">
        <v>18.55</v>
      </c>
      <c r="G10475">
        <v>19.489999999999998</v>
      </c>
      <c r="H10475" t="s">
        <v>17</v>
      </c>
      <c r="I10475" t="str">
        <f>"060363000322"</f>
        <v>060363000322</v>
      </c>
    </row>
    <row r="10476" spans="1:9" x14ac:dyDescent="0.25">
      <c r="A10476" t="s">
        <v>9104</v>
      </c>
      <c r="B10476" t="s">
        <v>13</v>
      </c>
      <c r="C10476">
        <v>38</v>
      </c>
      <c r="D10476">
        <v>38.5</v>
      </c>
      <c r="E10476" t="s">
        <v>17</v>
      </c>
      <c r="F10476">
        <v>24.18</v>
      </c>
      <c r="G10476">
        <v>24.39</v>
      </c>
      <c r="H10476" t="s">
        <v>17</v>
      </c>
      <c r="I10476" t="str">
        <f>"062271003066"</f>
        <v>062271003066</v>
      </c>
    </row>
    <row r="10477" spans="1:9" x14ac:dyDescent="0.25">
      <c r="A10477" t="s">
        <v>9105</v>
      </c>
      <c r="B10477" t="s">
        <v>13</v>
      </c>
      <c r="C10477">
        <v>20.149999999999999</v>
      </c>
      <c r="D10477">
        <v>22.65</v>
      </c>
      <c r="E10477" t="s">
        <v>17</v>
      </c>
      <c r="F10477">
        <v>26</v>
      </c>
      <c r="G10477">
        <v>24.94</v>
      </c>
      <c r="H10477" t="s">
        <v>17</v>
      </c>
      <c r="I10477" t="str">
        <f>"060657007898"</f>
        <v>060657007898</v>
      </c>
    </row>
    <row r="10478" spans="1:9" x14ac:dyDescent="0.25">
      <c r="A10478" t="s">
        <v>9106</v>
      </c>
      <c r="B10478" t="s">
        <v>13</v>
      </c>
      <c r="C10478">
        <v>12.35</v>
      </c>
      <c r="D10478">
        <v>14.35</v>
      </c>
      <c r="E10478" t="s">
        <v>17</v>
      </c>
      <c r="F10478">
        <v>18.79</v>
      </c>
      <c r="G10478">
        <v>20.77</v>
      </c>
      <c r="H10478" t="s">
        <v>17</v>
      </c>
      <c r="I10478" t="str">
        <f>"060231000119"</f>
        <v>060231000119</v>
      </c>
    </row>
    <row r="10479" spans="1:9" x14ac:dyDescent="0.25">
      <c r="A10479" t="s">
        <v>9107</v>
      </c>
      <c r="B10479" t="s">
        <v>13</v>
      </c>
      <c r="C10479" t="s">
        <v>17</v>
      </c>
      <c r="D10479" t="s">
        <v>17</v>
      </c>
      <c r="E10479" t="s">
        <v>17</v>
      </c>
      <c r="F10479" t="s">
        <v>17</v>
      </c>
      <c r="G10479" t="s">
        <v>17</v>
      </c>
      <c r="H10479" t="s">
        <v>17</v>
      </c>
      <c r="I10479" t="str">
        <f>"060012611469"</f>
        <v>060012611469</v>
      </c>
    </row>
    <row r="10480" spans="1:9" x14ac:dyDescent="0.25">
      <c r="A10480" t="s">
        <v>9108</v>
      </c>
      <c r="B10480" t="s">
        <v>13</v>
      </c>
      <c r="C10480">
        <v>22.55</v>
      </c>
      <c r="D10480">
        <v>23.38</v>
      </c>
      <c r="E10480" t="s">
        <v>17</v>
      </c>
      <c r="F10480">
        <v>24.26</v>
      </c>
      <c r="G10480">
        <v>23.91</v>
      </c>
      <c r="H10480" t="s">
        <v>17</v>
      </c>
      <c r="I10480" t="str">
        <f>"061029001150"</f>
        <v>061029001150</v>
      </c>
    </row>
    <row r="10481" spans="1:9" x14ac:dyDescent="0.25">
      <c r="A10481" t="s">
        <v>9109</v>
      </c>
      <c r="B10481" t="s">
        <v>13</v>
      </c>
      <c r="C10481">
        <v>81.150000000000006</v>
      </c>
      <c r="D10481">
        <v>78.599999999999994</v>
      </c>
      <c r="E10481" t="s">
        <v>17</v>
      </c>
      <c r="F10481">
        <v>26.78</v>
      </c>
      <c r="G10481">
        <v>27.15</v>
      </c>
      <c r="H10481" t="s">
        <v>17</v>
      </c>
      <c r="I10481" t="str">
        <f>"064251006959"</f>
        <v>064251006959</v>
      </c>
    </row>
    <row r="10482" spans="1:9" x14ac:dyDescent="0.25">
      <c r="A10482" t="s">
        <v>9110</v>
      </c>
      <c r="B10482" t="s">
        <v>13</v>
      </c>
      <c r="C10482">
        <v>27.74</v>
      </c>
      <c r="D10482">
        <v>25.84</v>
      </c>
      <c r="E10482" t="s">
        <v>17</v>
      </c>
      <c r="F10482">
        <v>29.34</v>
      </c>
      <c r="G10482">
        <v>27.63</v>
      </c>
      <c r="H10482" t="s">
        <v>17</v>
      </c>
      <c r="I10482" t="str">
        <f>"060797003035"</f>
        <v>060797003035</v>
      </c>
    </row>
    <row r="10483" spans="1:9" x14ac:dyDescent="0.25">
      <c r="A10483" t="s">
        <v>9111</v>
      </c>
      <c r="B10483" t="s">
        <v>13</v>
      </c>
      <c r="C10483">
        <v>32.15</v>
      </c>
      <c r="D10483">
        <v>31.5</v>
      </c>
      <c r="E10483" t="s">
        <v>17</v>
      </c>
      <c r="F10483">
        <v>22.95</v>
      </c>
      <c r="G10483">
        <v>23.84</v>
      </c>
      <c r="H10483" t="s">
        <v>17</v>
      </c>
      <c r="I10483" t="str">
        <f>"060231000122"</f>
        <v>060231000122</v>
      </c>
    </row>
    <row r="10484" spans="1:9" x14ac:dyDescent="0.25">
      <c r="A10484" t="s">
        <v>9112</v>
      </c>
      <c r="B10484" t="s">
        <v>13</v>
      </c>
      <c r="C10484">
        <v>3.5</v>
      </c>
      <c r="D10484">
        <v>5</v>
      </c>
      <c r="E10484" t="s">
        <v>17</v>
      </c>
      <c r="F10484">
        <v>26</v>
      </c>
      <c r="G10484">
        <v>12.4</v>
      </c>
      <c r="H10484" t="s">
        <v>17</v>
      </c>
      <c r="I10484" t="str">
        <f>"062271002802"</f>
        <v>062271002802</v>
      </c>
    </row>
    <row r="10485" spans="1:9" x14ac:dyDescent="0.25">
      <c r="A10485" t="s">
        <v>9113</v>
      </c>
      <c r="B10485" t="s">
        <v>13</v>
      </c>
      <c r="C10485">
        <v>13.61</v>
      </c>
      <c r="D10485">
        <v>16.61</v>
      </c>
      <c r="E10485" t="s">
        <v>17</v>
      </c>
      <c r="F10485">
        <v>26.45</v>
      </c>
      <c r="G10485">
        <v>24.5</v>
      </c>
      <c r="H10485" t="s">
        <v>17</v>
      </c>
      <c r="I10485" t="str">
        <f>"062193002606"</f>
        <v>062193002606</v>
      </c>
    </row>
    <row r="10486" spans="1:9" x14ac:dyDescent="0.25">
      <c r="A10486" t="s">
        <v>9114</v>
      </c>
      <c r="B10486" t="s">
        <v>13</v>
      </c>
      <c r="C10486">
        <v>51.8</v>
      </c>
      <c r="D10486">
        <v>53.7</v>
      </c>
      <c r="E10486" t="s">
        <v>17</v>
      </c>
      <c r="F10486">
        <v>23.05</v>
      </c>
      <c r="G10486">
        <v>22.79</v>
      </c>
      <c r="H10486" t="s">
        <v>17</v>
      </c>
      <c r="I10486" t="str">
        <f>"061632502074"</f>
        <v>061632502074</v>
      </c>
    </row>
    <row r="10487" spans="1:9" x14ac:dyDescent="0.25">
      <c r="A10487" t="s">
        <v>9115</v>
      </c>
      <c r="B10487" t="s">
        <v>13</v>
      </c>
      <c r="C10487">
        <v>26</v>
      </c>
      <c r="D10487">
        <v>25.5</v>
      </c>
      <c r="E10487" t="s">
        <v>17</v>
      </c>
      <c r="F10487">
        <v>27.12</v>
      </c>
      <c r="G10487">
        <v>26.2</v>
      </c>
      <c r="H10487" t="s">
        <v>17</v>
      </c>
      <c r="I10487" t="str">
        <f>"061146001280"</f>
        <v>061146001280</v>
      </c>
    </row>
    <row r="10488" spans="1:9" x14ac:dyDescent="0.25">
      <c r="A10488" t="s">
        <v>9115</v>
      </c>
      <c r="B10488" t="s">
        <v>13</v>
      </c>
      <c r="C10488">
        <v>22.2</v>
      </c>
      <c r="D10488">
        <v>22.68</v>
      </c>
      <c r="E10488" t="s">
        <v>17</v>
      </c>
      <c r="F10488">
        <v>21.76</v>
      </c>
      <c r="G10488">
        <v>21.52</v>
      </c>
      <c r="H10488" t="s">
        <v>17</v>
      </c>
      <c r="I10488" t="str">
        <f>"060363000323"</f>
        <v>060363000323</v>
      </c>
    </row>
    <row r="10489" spans="1:9" x14ac:dyDescent="0.25">
      <c r="A10489" t="s">
        <v>9115</v>
      </c>
      <c r="B10489" t="s">
        <v>13</v>
      </c>
      <c r="C10489">
        <v>25.79</v>
      </c>
      <c r="D10489">
        <v>25.59</v>
      </c>
      <c r="E10489" t="s">
        <v>17</v>
      </c>
      <c r="F10489">
        <v>27.84</v>
      </c>
      <c r="G10489">
        <v>27.86</v>
      </c>
      <c r="H10489" t="s">
        <v>17</v>
      </c>
      <c r="I10489" t="str">
        <f>"063459001538"</f>
        <v>063459001538</v>
      </c>
    </row>
    <row r="10490" spans="1:9" x14ac:dyDescent="0.25">
      <c r="A10490" t="s">
        <v>9116</v>
      </c>
      <c r="B10490" t="s">
        <v>13</v>
      </c>
      <c r="C10490">
        <v>8.41</v>
      </c>
      <c r="D10490">
        <v>8.9700000000000006</v>
      </c>
      <c r="E10490" t="s">
        <v>17</v>
      </c>
      <c r="F10490">
        <v>22.47</v>
      </c>
      <c r="G10490">
        <v>22.19</v>
      </c>
      <c r="H10490" t="s">
        <v>17</v>
      </c>
      <c r="I10490" t="str">
        <f>"064254012237"</f>
        <v>064254012237</v>
      </c>
    </row>
    <row r="10491" spans="1:9" x14ac:dyDescent="0.25">
      <c r="A10491" t="s">
        <v>9117</v>
      </c>
      <c r="B10491" t="s">
        <v>13</v>
      </c>
      <c r="C10491">
        <v>15.07</v>
      </c>
      <c r="D10491">
        <v>15.19</v>
      </c>
      <c r="E10491" t="s">
        <v>17</v>
      </c>
      <c r="F10491">
        <v>24.75</v>
      </c>
      <c r="G10491">
        <v>24.16</v>
      </c>
      <c r="H10491" t="s">
        <v>17</v>
      </c>
      <c r="I10491" t="str">
        <f>"064254006964"</f>
        <v>064254006964</v>
      </c>
    </row>
    <row r="10492" spans="1:9" x14ac:dyDescent="0.25">
      <c r="A10492" t="s">
        <v>9118</v>
      </c>
      <c r="B10492" t="s">
        <v>13</v>
      </c>
      <c r="C10492">
        <v>21.08</v>
      </c>
      <c r="D10492">
        <v>20.36</v>
      </c>
      <c r="E10492" t="s">
        <v>17</v>
      </c>
      <c r="F10492">
        <v>22.39</v>
      </c>
      <c r="G10492">
        <v>21.61</v>
      </c>
      <c r="H10492" t="s">
        <v>17</v>
      </c>
      <c r="I10492" t="str">
        <f>"064254006963"</f>
        <v>064254006963</v>
      </c>
    </row>
    <row r="10493" spans="1:9" x14ac:dyDescent="0.25">
      <c r="A10493" t="s">
        <v>9119</v>
      </c>
      <c r="B10493" t="s">
        <v>13</v>
      </c>
      <c r="C10493">
        <v>7.01</v>
      </c>
      <c r="D10493">
        <v>8</v>
      </c>
      <c r="E10493" t="s">
        <v>17</v>
      </c>
      <c r="F10493">
        <v>27.53</v>
      </c>
      <c r="G10493">
        <v>23.75</v>
      </c>
      <c r="H10493" t="s">
        <v>17</v>
      </c>
      <c r="I10493" t="str">
        <f>"063096000722"</f>
        <v>063096000722</v>
      </c>
    </row>
    <row r="10494" spans="1:9" x14ac:dyDescent="0.25">
      <c r="A10494" t="s">
        <v>9120</v>
      </c>
      <c r="B10494" t="s">
        <v>13</v>
      </c>
      <c r="C10494">
        <v>11.08</v>
      </c>
      <c r="D10494">
        <v>11.05</v>
      </c>
      <c r="E10494" t="s">
        <v>17</v>
      </c>
      <c r="F10494">
        <v>24.28</v>
      </c>
      <c r="G10494">
        <v>24.34</v>
      </c>
      <c r="H10494" t="s">
        <v>17</v>
      </c>
      <c r="I10494" t="str">
        <f>"064254012298"</f>
        <v>064254012298</v>
      </c>
    </row>
    <row r="10495" spans="1:9" x14ac:dyDescent="0.25">
      <c r="A10495" t="s">
        <v>9121</v>
      </c>
      <c r="B10495" t="s">
        <v>13</v>
      </c>
      <c r="C10495">
        <v>23.9</v>
      </c>
      <c r="D10495">
        <v>22.9</v>
      </c>
      <c r="E10495" t="s">
        <v>17</v>
      </c>
      <c r="F10495">
        <v>24.98</v>
      </c>
      <c r="G10495">
        <v>25.28</v>
      </c>
      <c r="H10495" t="s">
        <v>17</v>
      </c>
      <c r="I10495" t="str">
        <f>"061389001584"</f>
        <v>061389001584</v>
      </c>
    </row>
    <row r="10496" spans="1:9" x14ac:dyDescent="0.25">
      <c r="A10496" t="s">
        <v>9122</v>
      </c>
      <c r="B10496" t="s">
        <v>13</v>
      </c>
      <c r="C10496">
        <v>42.05</v>
      </c>
      <c r="D10496">
        <v>41.5</v>
      </c>
      <c r="E10496" t="s">
        <v>17</v>
      </c>
      <c r="F10496">
        <v>22.95</v>
      </c>
      <c r="G10496">
        <v>23.11</v>
      </c>
      <c r="H10496" t="s">
        <v>17</v>
      </c>
      <c r="I10496" t="str">
        <f>"064059006703"</f>
        <v>064059006703</v>
      </c>
    </row>
    <row r="10497" spans="1:9" x14ac:dyDescent="0.25">
      <c r="A10497" t="s">
        <v>9123</v>
      </c>
      <c r="B10497" t="s">
        <v>13</v>
      </c>
      <c r="C10497">
        <v>7.2</v>
      </c>
      <c r="D10497">
        <v>6.4</v>
      </c>
      <c r="E10497" t="s">
        <v>17</v>
      </c>
      <c r="F10497">
        <v>19.72</v>
      </c>
      <c r="G10497">
        <v>22.97</v>
      </c>
      <c r="H10497" t="s">
        <v>17</v>
      </c>
      <c r="I10497" t="str">
        <f>"064256008213"</f>
        <v>064256008213</v>
      </c>
    </row>
    <row r="10498" spans="1:9" x14ac:dyDescent="0.25">
      <c r="A10498" t="s">
        <v>9124</v>
      </c>
      <c r="B10498" t="s">
        <v>13</v>
      </c>
      <c r="C10498">
        <v>1</v>
      </c>
      <c r="D10498">
        <v>1</v>
      </c>
      <c r="E10498" t="s">
        <v>17</v>
      </c>
      <c r="F10498">
        <v>3</v>
      </c>
      <c r="G10498">
        <v>3</v>
      </c>
      <c r="H10498" t="s">
        <v>17</v>
      </c>
      <c r="I10498" t="str">
        <f>"064256007176"</f>
        <v>064256007176</v>
      </c>
    </row>
    <row r="10499" spans="1:9" x14ac:dyDescent="0.25">
      <c r="A10499" t="s">
        <v>9125</v>
      </c>
      <c r="B10499" t="s">
        <v>13</v>
      </c>
      <c r="C10499">
        <v>3</v>
      </c>
      <c r="D10499" t="s">
        <v>14</v>
      </c>
      <c r="E10499" t="s">
        <v>14</v>
      </c>
      <c r="F10499">
        <v>34.33</v>
      </c>
      <c r="G10499" t="s">
        <v>14</v>
      </c>
      <c r="H10499" t="s">
        <v>14</v>
      </c>
      <c r="I10499" t="str">
        <f>"064256013021"</f>
        <v>064256013021</v>
      </c>
    </row>
    <row r="10500" spans="1:9" x14ac:dyDescent="0.25">
      <c r="A10500" t="s">
        <v>9126</v>
      </c>
      <c r="B10500" t="s">
        <v>13</v>
      </c>
      <c r="C10500">
        <v>23.68</v>
      </c>
      <c r="D10500">
        <v>25</v>
      </c>
      <c r="E10500" t="s">
        <v>17</v>
      </c>
      <c r="F10500">
        <v>20.78</v>
      </c>
      <c r="G10500">
        <v>20.079999999999998</v>
      </c>
      <c r="H10500" t="s">
        <v>17</v>
      </c>
      <c r="I10500" t="str">
        <f>"064256006972"</f>
        <v>064256006972</v>
      </c>
    </row>
    <row r="10501" spans="1:9" x14ac:dyDescent="0.25">
      <c r="A10501" t="s">
        <v>9127</v>
      </c>
      <c r="B10501" t="s">
        <v>13</v>
      </c>
      <c r="C10501">
        <v>1</v>
      </c>
      <c r="D10501">
        <v>1</v>
      </c>
      <c r="E10501" t="s">
        <v>17</v>
      </c>
      <c r="F10501">
        <v>4</v>
      </c>
      <c r="G10501">
        <v>11</v>
      </c>
      <c r="H10501" t="s">
        <v>17</v>
      </c>
      <c r="I10501" t="str">
        <f>"064256007538"</f>
        <v>064256007538</v>
      </c>
    </row>
    <row r="10502" spans="1:9" x14ac:dyDescent="0.25">
      <c r="A10502" t="s">
        <v>9128</v>
      </c>
      <c r="B10502" t="s">
        <v>13</v>
      </c>
      <c r="C10502">
        <v>17.13</v>
      </c>
      <c r="D10502">
        <v>17.37</v>
      </c>
      <c r="E10502" t="s">
        <v>17</v>
      </c>
      <c r="F10502">
        <v>21.48</v>
      </c>
      <c r="G10502">
        <v>21.88</v>
      </c>
      <c r="H10502" t="s">
        <v>17</v>
      </c>
      <c r="I10502" t="str">
        <f>"061308007707"</f>
        <v>061308007707</v>
      </c>
    </row>
    <row r="10503" spans="1:9" x14ac:dyDescent="0.25">
      <c r="A10503" t="s">
        <v>9129</v>
      </c>
      <c r="B10503" t="s">
        <v>13</v>
      </c>
      <c r="C10503">
        <v>17</v>
      </c>
      <c r="D10503">
        <v>19</v>
      </c>
      <c r="E10503" t="s">
        <v>17</v>
      </c>
      <c r="F10503">
        <v>22.53</v>
      </c>
      <c r="G10503">
        <v>22.47</v>
      </c>
      <c r="H10503" t="s">
        <v>17</v>
      </c>
      <c r="I10503" t="str">
        <f>"064215003428"</f>
        <v>064215003428</v>
      </c>
    </row>
    <row r="10504" spans="1:9" x14ac:dyDescent="0.25">
      <c r="A10504" t="s">
        <v>9130</v>
      </c>
      <c r="B10504" t="s">
        <v>13</v>
      </c>
      <c r="C10504">
        <v>2</v>
      </c>
      <c r="D10504">
        <v>2</v>
      </c>
      <c r="E10504" t="s">
        <v>17</v>
      </c>
      <c r="F10504">
        <v>16.5</v>
      </c>
      <c r="G10504">
        <v>18</v>
      </c>
      <c r="H10504" t="s">
        <v>17</v>
      </c>
      <c r="I10504" t="str">
        <f>"060004708341"</f>
        <v>060004708341</v>
      </c>
    </row>
    <row r="10505" spans="1:9" x14ac:dyDescent="0.25">
      <c r="A10505" t="s">
        <v>9131</v>
      </c>
      <c r="B10505" t="s">
        <v>13</v>
      </c>
      <c r="C10505">
        <v>31.4</v>
      </c>
      <c r="D10505">
        <v>29.2</v>
      </c>
      <c r="E10505" t="s">
        <v>17</v>
      </c>
      <c r="F10505">
        <v>22.61</v>
      </c>
      <c r="G10505">
        <v>23.6</v>
      </c>
      <c r="H10505" t="s">
        <v>17</v>
      </c>
      <c r="I10505" t="str">
        <f>"063060004753"</f>
        <v>063060004753</v>
      </c>
    </row>
    <row r="10506" spans="1:9" x14ac:dyDescent="0.25">
      <c r="A10506" t="s">
        <v>9132</v>
      </c>
      <c r="B10506" t="s">
        <v>13</v>
      </c>
      <c r="C10506">
        <v>13</v>
      </c>
      <c r="D10506">
        <v>13</v>
      </c>
      <c r="E10506" t="s">
        <v>17</v>
      </c>
      <c r="F10506">
        <v>22.23</v>
      </c>
      <c r="G10506">
        <v>19</v>
      </c>
      <c r="H10506" t="s">
        <v>17</v>
      </c>
      <c r="I10506" t="str">
        <f>"063600008732"</f>
        <v>063600008732</v>
      </c>
    </row>
    <row r="10507" spans="1:9" x14ac:dyDescent="0.25">
      <c r="A10507" t="s">
        <v>9133</v>
      </c>
      <c r="B10507" t="s">
        <v>13</v>
      </c>
      <c r="C10507">
        <v>3.1</v>
      </c>
      <c r="D10507">
        <v>2.1</v>
      </c>
      <c r="E10507" t="s">
        <v>17</v>
      </c>
      <c r="F10507">
        <v>16.13</v>
      </c>
      <c r="G10507">
        <v>23.33</v>
      </c>
      <c r="H10507" t="s">
        <v>17</v>
      </c>
      <c r="I10507" t="str">
        <f>"064260006973"</f>
        <v>064260006973</v>
      </c>
    </row>
    <row r="10508" spans="1:9" x14ac:dyDescent="0.25">
      <c r="A10508" t="s">
        <v>9134</v>
      </c>
      <c r="B10508" t="s">
        <v>13</v>
      </c>
      <c r="C10508">
        <v>17</v>
      </c>
      <c r="D10508">
        <v>16</v>
      </c>
      <c r="E10508" t="s">
        <v>17</v>
      </c>
      <c r="F10508">
        <v>20.88</v>
      </c>
      <c r="G10508">
        <v>21.19</v>
      </c>
      <c r="H10508" t="s">
        <v>17</v>
      </c>
      <c r="I10508" t="str">
        <f>"060819000807"</f>
        <v>060819000807</v>
      </c>
    </row>
    <row r="10509" spans="1:9" x14ac:dyDescent="0.25">
      <c r="A10509" t="s">
        <v>9134</v>
      </c>
      <c r="B10509" t="s">
        <v>13</v>
      </c>
      <c r="C10509">
        <v>25.2</v>
      </c>
      <c r="D10509">
        <v>25.2</v>
      </c>
      <c r="E10509" t="s">
        <v>17</v>
      </c>
      <c r="F10509">
        <v>20.6</v>
      </c>
      <c r="G10509">
        <v>20.36</v>
      </c>
      <c r="H10509" t="s">
        <v>17</v>
      </c>
      <c r="I10509" t="str">
        <f>"062100002527"</f>
        <v>062100002527</v>
      </c>
    </row>
    <row r="10510" spans="1:9" x14ac:dyDescent="0.25">
      <c r="A10510" t="s">
        <v>9134</v>
      </c>
      <c r="B10510" t="s">
        <v>13</v>
      </c>
      <c r="C10510">
        <v>22</v>
      </c>
      <c r="D10510">
        <v>20.8</v>
      </c>
      <c r="E10510" t="s">
        <v>17</v>
      </c>
      <c r="F10510">
        <v>23.64</v>
      </c>
      <c r="G10510">
        <v>23.13</v>
      </c>
      <c r="H10510" t="s">
        <v>17</v>
      </c>
      <c r="I10510" t="str">
        <f>"060162000030"</f>
        <v>060162000030</v>
      </c>
    </row>
    <row r="10511" spans="1:9" x14ac:dyDescent="0.25">
      <c r="A10511" t="s">
        <v>9134</v>
      </c>
      <c r="B10511" t="s">
        <v>13</v>
      </c>
      <c r="C10511">
        <v>21</v>
      </c>
      <c r="D10511" t="s">
        <v>14</v>
      </c>
      <c r="E10511" t="s">
        <v>14</v>
      </c>
      <c r="F10511">
        <v>23.86</v>
      </c>
      <c r="G10511" t="s">
        <v>14</v>
      </c>
      <c r="H10511" t="s">
        <v>14</v>
      </c>
      <c r="I10511" t="str">
        <f>"062271013090"</f>
        <v>062271013090</v>
      </c>
    </row>
    <row r="10512" spans="1:9" x14ac:dyDescent="0.25">
      <c r="A10512" t="s">
        <v>9134</v>
      </c>
      <c r="B10512" t="s">
        <v>13</v>
      </c>
      <c r="C10512">
        <v>36</v>
      </c>
      <c r="D10512">
        <v>26.81</v>
      </c>
      <c r="E10512" t="s">
        <v>17</v>
      </c>
      <c r="F10512">
        <v>32.56</v>
      </c>
      <c r="G10512">
        <v>37.409999999999997</v>
      </c>
      <c r="H10512" t="s">
        <v>17</v>
      </c>
      <c r="I10512" t="str">
        <f>"063522012612"</f>
        <v>063522012612</v>
      </c>
    </row>
    <row r="10513" spans="1:9" x14ac:dyDescent="0.25">
      <c r="A10513" t="s">
        <v>9135</v>
      </c>
      <c r="B10513" t="s">
        <v>13</v>
      </c>
      <c r="C10513">
        <v>28.57</v>
      </c>
      <c r="D10513">
        <v>26.96</v>
      </c>
      <c r="E10513" t="s">
        <v>17</v>
      </c>
      <c r="F10513">
        <v>26.22</v>
      </c>
      <c r="G10513">
        <v>25.85</v>
      </c>
      <c r="H10513" t="s">
        <v>17</v>
      </c>
      <c r="I10513" t="str">
        <f>"063459005745"</f>
        <v>063459005745</v>
      </c>
    </row>
    <row r="10514" spans="1:9" x14ac:dyDescent="0.25">
      <c r="A10514" t="s">
        <v>9135</v>
      </c>
      <c r="B10514" t="s">
        <v>13</v>
      </c>
      <c r="C10514">
        <v>20</v>
      </c>
      <c r="D10514">
        <v>22</v>
      </c>
      <c r="E10514" t="s">
        <v>17</v>
      </c>
      <c r="F10514">
        <v>30.3</v>
      </c>
      <c r="G10514">
        <v>28.41</v>
      </c>
      <c r="H10514" t="s">
        <v>17</v>
      </c>
      <c r="I10514" t="str">
        <f>"064116006811"</f>
        <v>064116006811</v>
      </c>
    </row>
    <row r="10515" spans="1:9" x14ac:dyDescent="0.25">
      <c r="A10515" t="s">
        <v>9136</v>
      </c>
      <c r="B10515" t="s">
        <v>13</v>
      </c>
      <c r="C10515">
        <v>68.77</v>
      </c>
      <c r="D10515">
        <v>69.5</v>
      </c>
      <c r="E10515" t="s">
        <v>17</v>
      </c>
      <c r="F10515">
        <v>23.11</v>
      </c>
      <c r="G10515">
        <v>22.27</v>
      </c>
      <c r="H10515" t="s">
        <v>17</v>
      </c>
      <c r="I10515" t="str">
        <f>"063459005746"</f>
        <v>063459005746</v>
      </c>
    </row>
    <row r="10516" spans="1:9" x14ac:dyDescent="0.25">
      <c r="A10516" t="s">
        <v>9137</v>
      </c>
      <c r="B10516" t="s">
        <v>13</v>
      </c>
      <c r="C10516">
        <v>58.3</v>
      </c>
      <c r="D10516">
        <v>60.42</v>
      </c>
      <c r="E10516" t="s">
        <v>17</v>
      </c>
      <c r="F10516">
        <v>21.05</v>
      </c>
      <c r="G10516">
        <v>20.9</v>
      </c>
      <c r="H10516" t="s">
        <v>17</v>
      </c>
      <c r="I10516" t="str">
        <f>"063459005710"</f>
        <v>063459005710</v>
      </c>
    </row>
    <row r="10517" spans="1:9" x14ac:dyDescent="0.25">
      <c r="A10517" t="s">
        <v>9138</v>
      </c>
      <c r="B10517" t="s">
        <v>13</v>
      </c>
      <c r="C10517">
        <v>2.2000000000000002</v>
      </c>
      <c r="D10517">
        <v>2</v>
      </c>
      <c r="E10517" t="s">
        <v>17</v>
      </c>
      <c r="F10517">
        <v>17.27</v>
      </c>
      <c r="G10517">
        <v>19.5</v>
      </c>
      <c r="H10517" t="s">
        <v>17</v>
      </c>
      <c r="I10517" t="str">
        <f>"063459001509"</f>
        <v>063459001509</v>
      </c>
    </row>
    <row r="10518" spans="1:9" x14ac:dyDescent="0.25">
      <c r="A10518" t="s">
        <v>9139</v>
      </c>
      <c r="B10518" t="s">
        <v>13</v>
      </c>
      <c r="C10518">
        <v>1</v>
      </c>
      <c r="D10518">
        <v>1</v>
      </c>
      <c r="E10518" t="s">
        <v>17</v>
      </c>
      <c r="F10518">
        <v>12</v>
      </c>
      <c r="G10518">
        <v>10</v>
      </c>
      <c r="H10518" t="s">
        <v>17</v>
      </c>
      <c r="I10518" t="str">
        <f>"064263006974"</f>
        <v>064263006974</v>
      </c>
    </row>
    <row r="10519" spans="1:9" x14ac:dyDescent="0.25">
      <c r="A10519" t="s">
        <v>9139</v>
      </c>
      <c r="B10519" t="s">
        <v>13</v>
      </c>
      <c r="C10519">
        <v>30.5</v>
      </c>
      <c r="D10519">
        <v>29.5</v>
      </c>
      <c r="E10519" t="s">
        <v>17</v>
      </c>
      <c r="F10519">
        <v>28.56</v>
      </c>
      <c r="G10519">
        <v>29.15</v>
      </c>
      <c r="H10519" t="s">
        <v>17</v>
      </c>
      <c r="I10519" t="str">
        <f>"063153012226"</f>
        <v>063153012226</v>
      </c>
    </row>
    <row r="10520" spans="1:9" x14ac:dyDescent="0.25">
      <c r="A10520" t="s">
        <v>9140</v>
      </c>
      <c r="B10520" t="s">
        <v>13</v>
      </c>
      <c r="C10520">
        <v>3.1</v>
      </c>
      <c r="D10520">
        <v>1.6</v>
      </c>
      <c r="E10520" t="s">
        <v>17</v>
      </c>
      <c r="F10520">
        <v>19.68</v>
      </c>
      <c r="G10520">
        <v>32.5</v>
      </c>
      <c r="H10520" t="s">
        <v>17</v>
      </c>
      <c r="I10520" t="str">
        <f>"061899002303"</f>
        <v>061899002303</v>
      </c>
    </row>
    <row r="10521" spans="1:9" x14ac:dyDescent="0.25">
      <c r="A10521" t="s">
        <v>9141</v>
      </c>
      <c r="B10521" t="s">
        <v>13</v>
      </c>
      <c r="C10521">
        <v>30</v>
      </c>
      <c r="D10521">
        <v>32</v>
      </c>
      <c r="E10521" t="s">
        <v>17</v>
      </c>
      <c r="F10521">
        <v>23.33</v>
      </c>
      <c r="G10521">
        <v>21.47</v>
      </c>
      <c r="H10521" t="s">
        <v>17</v>
      </c>
      <c r="I10521" t="str">
        <f>"063186004917"</f>
        <v>063186004917</v>
      </c>
    </row>
    <row r="10522" spans="1:9" x14ac:dyDescent="0.25">
      <c r="A10522" t="s">
        <v>9142</v>
      </c>
      <c r="B10522" t="s">
        <v>13</v>
      </c>
      <c r="C10522">
        <v>1.5</v>
      </c>
      <c r="D10522">
        <v>1</v>
      </c>
      <c r="E10522" t="s">
        <v>17</v>
      </c>
      <c r="F10522">
        <v>40</v>
      </c>
      <c r="G10522" t="s">
        <v>17</v>
      </c>
      <c r="H10522" t="s">
        <v>17</v>
      </c>
      <c r="I10522" t="str">
        <f>"060001709099"</f>
        <v>060001709099</v>
      </c>
    </row>
    <row r="10523" spans="1:9" x14ac:dyDescent="0.25">
      <c r="A10523" t="s">
        <v>9143</v>
      </c>
      <c r="B10523" t="s">
        <v>13</v>
      </c>
      <c r="C10523">
        <v>17</v>
      </c>
      <c r="D10523">
        <v>24</v>
      </c>
      <c r="E10523" t="s">
        <v>17</v>
      </c>
      <c r="F10523">
        <v>24.71</v>
      </c>
      <c r="G10523">
        <v>20.04</v>
      </c>
      <c r="H10523" t="s">
        <v>17</v>
      </c>
      <c r="I10523" t="str">
        <f>"060962001003"</f>
        <v>060962001003</v>
      </c>
    </row>
    <row r="10524" spans="1:9" x14ac:dyDescent="0.25">
      <c r="A10524" t="s">
        <v>9144</v>
      </c>
      <c r="B10524" t="s">
        <v>13</v>
      </c>
      <c r="C10524" t="str">
        <f>"0.97"</f>
        <v>0.97</v>
      </c>
      <c r="D10524">
        <v>1.1200000000000001</v>
      </c>
      <c r="E10524" t="s">
        <v>17</v>
      </c>
      <c r="F10524">
        <v>27.84</v>
      </c>
      <c r="G10524">
        <v>15.18</v>
      </c>
      <c r="H10524" t="s">
        <v>17</v>
      </c>
      <c r="I10524" t="str">
        <f>"064271007370"</f>
        <v>064271007370</v>
      </c>
    </row>
    <row r="10525" spans="1:9" x14ac:dyDescent="0.25">
      <c r="A10525" t="s">
        <v>9145</v>
      </c>
      <c r="B10525" t="s">
        <v>13</v>
      </c>
      <c r="C10525">
        <v>17.89</v>
      </c>
      <c r="D10525">
        <v>17.89</v>
      </c>
      <c r="E10525" t="s">
        <v>17</v>
      </c>
      <c r="F10525">
        <v>25.66</v>
      </c>
      <c r="G10525">
        <v>27.45</v>
      </c>
      <c r="H10525" t="s">
        <v>17</v>
      </c>
      <c r="I10525" t="str">
        <f>"064271006978"</f>
        <v>064271006978</v>
      </c>
    </row>
    <row r="10526" spans="1:9" x14ac:dyDescent="0.25">
      <c r="A10526" t="s">
        <v>9146</v>
      </c>
      <c r="B10526" t="s">
        <v>13</v>
      </c>
      <c r="C10526">
        <v>13.45</v>
      </c>
      <c r="D10526">
        <v>17.8</v>
      </c>
      <c r="E10526" t="s">
        <v>17</v>
      </c>
      <c r="F10526">
        <v>26.1</v>
      </c>
      <c r="G10526">
        <v>25.62</v>
      </c>
      <c r="H10526" t="s">
        <v>17</v>
      </c>
      <c r="I10526" t="str">
        <f>"064271006979"</f>
        <v>064271006979</v>
      </c>
    </row>
    <row r="10527" spans="1:9" x14ac:dyDescent="0.25">
      <c r="A10527" t="s">
        <v>9147</v>
      </c>
      <c r="B10527" t="s">
        <v>13</v>
      </c>
      <c r="C10527">
        <v>102.53</v>
      </c>
      <c r="D10527">
        <v>112.25</v>
      </c>
      <c r="E10527" t="s">
        <v>17</v>
      </c>
      <c r="F10527">
        <v>23.85</v>
      </c>
      <c r="G10527">
        <v>21.62</v>
      </c>
      <c r="H10527" t="s">
        <v>17</v>
      </c>
      <c r="I10527" t="str">
        <f>"063237011103"</f>
        <v>063237011103</v>
      </c>
    </row>
    <row r="10528" spans="1:9" x14ac:dyDescent="0.25">
      <c r="A10528" t="s">
        <v>9148</v>
      </c>
      <c r="B10528" t="s">
        <v>13</v>
      </c>
      <c r="C10528">
        <v>78</v>
      </c>
      <c r="D10528">
        <v>98.01</v>
      </c>
      <c r="E10528" t="s">
        <v>17</v>
      </c>
      <c r="F10528">
        <v>20.78</v>
      </c>
      <c r="G10528">
        <v>19.62</v>
      </c>
      <c r="H10528" t="s">
        <v>17</v>
      </c>
      <c r="I10528" t="str">
        <f>"062271003463"</f>
        <v>062271003463</v>
      </c>
    </row>
    <row r="10529" spans="1:9" x14ac:dyDescent="0.25">
      <c r="A10529" t="s">
        <v>9149</v>
      </c>
      <c r="B10529" t="s">
        <v>13</v>
      </c>
      <c r="C10529">
        <v>34</v>
      </c>
      <c r="D10529">
        <v>43</v>
      </c>
      <c r="E10529" t="s">
        <v>17</v>
      </c>
      <c r="F10529">
        <v>24.74</v>
      </c>
      <c r="G10529">
        <v>22.6</v>
      </c>
      <c r="H10529" t="s">
        <v>17</v>
      </c>
      <c r="I10529" t="str">
        <f>"062271003464"</f>
        <v>062271003464</v>
      </c>
    </row>
    <row r="10530" spans="1:9" x14ac:dyDescent="0.25">
      <c r="A10530" t="s">
        <v>9150</v>
      </c>
      <c r="B10530" t="s">
        <v>13</v>
      </c>
      <c r="C10530">
        <v>12</v>
      </c>
      <c r="D10530">
        <v>13</v>
      </c>
      <c r="E10530" t="s">
        <v>17</v>
      </c>
      <c r="F10530">
        <v>20.25</v>
      </c>
      <c r="G10530">
        <v>20.85</v>
      </c>
      <c r="H10530" t="s">
        <v>17</v>
      </c>
      <c r="I10530" t="str">
        <f>"062271003465"</f>
        <v>062271003465</v>
      </c>
    </row>
    <row r="10531" spans="1:9" x14ac:dyDescent="0.25">
      <c r="A10531" t="s">
        <v>9151</v>
      </c>
      <c r="B10531" t="s">
        <v>13</v>
      </c>
      <c r="C10531">
        <v>23</v>
      </c>
      <c r="D10531">
        <v>22</v>
      </c>
      <c r="E10531" t="s">
        <v>17</v>
      </c>
      <c r="F10531">
        <v>23.78</v>
      </c>
      <c r="G10531">
        <v>23.14</v>
      </c>
      <c r="H10531" t="s">
        <v>17</v>
      </c>
      <c r="I10531" t="str">
        <f>"062271011648"</f>
        <v>062271011648</v>
      </c>
    </row>
    <row r="10532" spans="1:9" x14ac:dyDescent="0.25">
      <c r="A10532" t="s">
        <v>9152</v>
      </c>
      <c r="B10532" t="s">
        <v>13</v>
      </c>
      <c r="C10532">
        <v>15.9</v>
      </c>
      <c r="D10532">
        <v>16.7</v>
      </c>
      <c r="E10532" t="s">
        <v>17</v>
      </c>
      <c r="F10532">
        <v>19.5</v>
      </c>
      <c r="G10532">
        <v>20.420000000000002</v>
      </c>
      <c r="H10532" t="s">
        <v>17</v>
      </c>
      <c r="I10532" t="str">
        <f>"063543008984"</f>
        <v>063543008984</v>
      </c>
    </row>
    <row r="10533" spans="1:9" x14ac:dyDescent="0.25">
      <c r="A10533" t="s">
        <v>9153</v>
      </c>
      <c r="B10533" t="s">
        <v>13</v>
      </c>
      <c r="C10533">
        <v>31.31</v>
      </c>
      <c r="D10533">
        <v>30.9</v>
      </c>
      <c r="E10533" t="s">
        <v>17</v>
      </c>
      <c r="F10533">
        <v>22.55</v>
      </c>
      <c r="G10533">
        <v>23.62</v>
      </c>
      <c r="H10533" t="s">
        <v>17</v>
      </c>
      <c r="I10533" t="str">
        <f>"060790011082"</f>
        <v>060790011082</v>
      </c>
    </row>
    <row r="10534" spans="1:9" x14ac:dyDescent="0.25">
      <c r="A10534" t="s">
        <v>9154</v>
      </c>
      <c r="B10534" t="s">
        <v>13</v>
      </c>
      <c r="C10534">
        <v>32</v>
      </c>
      <c r="D10534">
        <v>33</v>
      </c>
      <c r="E10534" t="s">
        <v>17</v>
      </c>
      <c r="F10534">
        <v>20.59</v>
      </c>
      <c r="G10534">
        <v>20</v>
      </c>
      <c r="H10534" t="s">
        <v>17</v>
      </c>
      <c r="I10534" t="str">
        <f>"063417005392"</f>
        <v>063417005392</v>
      </c>
    </row>
    <row r="10535" spans="1:9" x14ac:dyDescent="0.25">
      <c r="A10535" t="s">
        <v>9154</v>
      </c>
      <c r="B10535" t="s">
        <v>13</v>
      </c>
      <c r="C10535">
        <v>29.97</v>
      </c>
      <c r="D10535">
        <v>33.03</v>
      </c>
      <c r="E10535" t="s">
        <v>17</v>
      </c>
      <c r="F10535">
        <v>26.19</v>
      </c>
      <c r="G10535">
        <v>24.43</v>
      </c>
      <c r="H10535" t="s">
        <v>17</v>
      </c>
      <c r="I10535" t="str">
        <f>"063468005844"</f>
        <v>063468005844</v>
      </c>
    </row>
    <row r="10536" spans="1:9" x14ac:dyDescent="0.25">
      <c r="A10536" t="s">
        <v>9154</v>
      </c>
      <c r="B10536" t="s">
        <v>13</v>
      </c>
      <c r="C10536">
        <v>20</v>
      </c>
      <c r="D10536">
        <v>26</v>
      </c>
      <c r="E10536" t="s">
        <v>17</v>
      </c>
      <c r="F10536">
        <v>26.9</v>
      </c>
      <c r="G10536">
        <v>21.08</v>
      </c>
      <c r="H10536" t="s">
        <v>17</v>
      </c>
      <c r="I10536" t="str">
        <f>"063255005068"</f>
        <v>063255005068</v>
      </c>
    </row>
    <row r="10537" spans="1:9" x14ac:dyDescent="0.25">
      <c r="A10537" t="s">
        <v>9154</v>
      </c>
      <c r="B10537" t="s">
        <v>13</v>
      </c>
      <c r="C10537">
        <v>21</v>
      </c>
      <c r="D10537">
        <v>21</v>
      </c>
      <c r="E10537" t="s">
        <v>17</v>
      </c>
      <c r="F10537">
        <v>21.52</v>
      </c>
      <c r="G10537">
        <v>20.43</v>
      </c>
      <c r="H10537" t="s">
        <v>17</v>
      </c>
      <c r="I10537" t="str">
        <f>"063987006618"</f>
        <v>063987006618</v>
      </c>
    </row>
    <row r="10538" spans="1:9" x14ac:dyDescent="0.25">
      <c r="A10538" t="s">
        <v>9154</v>
      </c>
      <c r="B10538" t="s">
        <v>13</v>
      </c>
      <c r="C10538">
        <v>13.75</v>
      </c>
      <c r="D10538">
        <v>11.45</v>
      </c>
      <c r="E10538" t="s">
        <v>17</v>
      </c>
      <c r="F10538">
        <v>17.75</v>
      </c>
      <c r="G10538">
        <v>20.350000000000001</v>
      </c>
      <c r="H10538" t="s">
        <v>17</v>
      </c>
      <c r="I10538" t="str">
        <f>"064275006980"</f>
        <v>064275006980</v>
      </c>
    </row>
    <row r="10539" spans="1:9" x14ac:dyDescent="0.25">
      <c r="A10539" t="s">
        <v>9154</v>
      </c>
      <c r="B10539" t="s">
        <v>13</v>
      </c>
      <c r="C10539">
        <v>10.42</v>
      </c>
      <c r="D10539">
        <v>13.5</v>
      </c>
      <c r="E10539" t="s">
        <v>17</v>
      </c>
      <c r="F10539">
        <v>34.450000000000003</v>
      </c>
      <c r="G10539">
        <v>26.15</v>
      </c>
      <c r="H10539" t="s">
        <v>17</v>
      </c>
      <c r="I10539" t="str">
        <f>"063801010316"</f>
        <v>063801010316</v>
      </c>
    </row>
    <row r="10540" spans="1:9" x14ac:dyDescent="0.25">
      <c r="A10540" t="s">
        <v>9154</v>
      </c>
      <c r="B10540" t="s">
        <v>13</v>
      </c>
      <c r="C10540">
        <v>24.75</v>
      </c>
      <c r="D10540">
        <v>25.25</v>
      </c>
      <c r="E10540" t="s">
        <v>17</v>
      </c>
      <c r="F10540">
        <v>20.079999999999998</v>
      </c>
      <c r="G10540">
        <v>19.600000000000001</v>
      </c>
      <c r="H10540" t="s">
        <v>17</v>
      </c>
      <c r="I10540" t="str">
        <f>"060006501241"</f>
        <v>060006501241</v>
      </c>
    </row>
    <row r="10541" spans="1:9" x14ac:dyDescent="0.25">
      <c r="A10541" t="s">
        <v>9154</v>
      </c>
      <c r="B10541" t="s">
        <v>13</v>
      </c>
      <c r="C10541">
        <v>26</v>
      </c>
      <c r="D10541">
        <v>26.3</v>
      </c>
      <c r="E10541" t="s">
        <v>17</v>
      </c>
      <c r="F10541">
        <v>24.04</v>
      </c>
      <c r="G10541">
        <v>22.78</v>
      </c>
      <c r="H10541" t="s">
        <v>17</v>
      </c>
      <c r="I10541" t="str">
        <f>"060005102014"</f>
        <v>060005102014</v>
      </c>
    </row>
    <row r="10542" spans="1:9" x14ac:dyDescent="0.25">
      <c r="A10542" t="s">
        <v>9154</v>
      </c>
      <c r="B10542" t="s">
        <v>13</v>
      </c>
      <c r="C10542">
        <v>27</v>
      </c>
      <c r="D10542">
        <v>25</v>
      </c>
      <c r="E10542" t="s">
        <v>17</v>
      </c>
      <c r="F10542">
        <v>27.81</v>
      </c>
      <c r="G10542">
        <v>29.56</v>
      </c>
      <c r="H10542" t="s">
        <v>17</v>
      </c>
      <c r="I10542" t="str">
        <f>"061455001779"</f>
        <v>061455001779</v>
      </c>
    </row>
    <row r="10543" spans="1:9" x14ac:dyDescent="0.25">
      <c r="A10543" t="s">
        <v>9154</v>
      </c>
      <c r="B10543" t="s">
        <v>13</v>
      </c>
      <c r="C10543">
        <v>19</v>
      </c>
      <c r="D10543">
        <v>21.64</v>
      </c>
      <c r="E10543" t="s">
        <v>17</v>
      </c>
      <c r="F10543">
        <v>24.16</v>
      </c>
      <c r="G10543">
        <v>22.27</v>
      </c>
      <c r="H10543" t="s">
        <v>17</v>
      </c>
      <c r="I10543" t="str">
        <f>"063525005980"</f>
        <v>063525005980</v>
      </c>
    </row>
    <row r="10544" spans="1:9" x14ac:dyDescent="0.25">
      <c r="A10544" t="s">
        <v>9154</v>
      </c>
      <c r="B10544" t="s">
        <v>13</v>
      </c>
      <c r="C10544">
        <v>38</v>
      </c>
      <c r="D10544">
        <v>30</v>
      </c>
      <c r="E10544" t="s">
        <v>17</v>
      </c>
      <c r="F10544">
        <v>19.03</v>
      </c>
      <c r="G10544">
        <v>23.17</v>
      </c>
      <c r="H10544" t="s">
        <v>17</v>
      </c>
      <c r="I10544" t="str">
        <f>"062316003542"</f>
        <v>062316003542</v>
      </c>
    </row>
    <row r="10545" spans="1:9" x14ac:dyDescent="0.25">
      <c r="A10545" t="s">
        <v>9154</v>
      </c>
      <c r="B10545" t="s">
        <v>13</v>
      </c>
      <c r="C10545">
        <v>13</v>
      </c>
      <c r="D10545">
        <v>13.4</v>
      </c>
      <c r="E10545" t="s">
        <v>17</v>
      </c>
      <c r="F10545">
        <v>28.31</v>
      </c>
      <c r="G10545">
        <v>27.99</v>
      </c>
      <c r="H10545" t="s">
        <v>17</v>
      </c>
      <c r="I10545" t="str">
        <f>"063442500611"</f>
        <v>063442500611</v>
      </c>
    </row>
    <row r="10546" spans="1:9" x14ac:dyDescent="0.25">
      <c r="A10546" t="s">
        <v>9154</v>
      </c>
      <c r="B10546" t="s">
        <v>13</v>
      </c>
      <c r="C10546">
        <v>28.11</v>
      </c>
      <c r="D10546">
        <v>24</v>
      </c>
      <c r="E10546" t="s">
        <v>17</v>
      </c>
      <c r="F10546">
        <v>19.71</v>
      </c>
      <c r="G10546">
        <v>23</v>
      </c>
      <c r="H10546" t="s">
        <v>17</v>
      </c>
      <c r="I10546" t="str">
        <f>"062724004133"</f>
        <v>062724004133</v>
      </c>
    </row>
    <row r="10547" spans="1:9" x14ac:dyDescent="0.25">
      <c r="A10547" t="s">
        <v>9154</v>
      </c>
      <c r="B10547" t="s">
        <v>13</v>
      </c>
      <c r="C10547">
        <v>25</v>
      </c>
      <c r="D10547">
        <v>28.5</v>
      </c>
      <c r="E10547" t="s">
        <v>17</v>
      </c>
      <c r="F10547">
        <v>27.36</v>
      </c>
      <c r="G10547">
        <v>24.32</v>
      </c>
      <c r="H10547" t="s">
        <v>17</v>
      </c>
      <c r="I10547" t="str">
        <f>"063531006014"</f>
        <v>063531006014</v>
      </c>
    </row>
    <row r="10548" spans="1:9" x14ac:dyDescent="0.25">
      <c r="A10548" t="s">
        <v>9154</v>
      </c>
      <c r="B10548" t="s">
        <v>13</v>
      </c>
      <c r="C10548">
        <v>13</v>
      </c>
      <c r="D10548">
        <v>15.6</v>
      </c>
      <c r="E10548" t="s">
        <v>17</v>
      </c>
      <c r="F10548">
        <v>24.92</v>
      </c>
      <c r="G10548">
        <v>22.18</v>
      </c>
      <c r="H10548" t="s">
        <v>17</v>
      </c>
      <c r="I10548" t="str">
        <f>"062513003756"</f>
        <v>062513003756</v>
      </c>
    </row>
    <row r="10549" spans="1:9" x14ac:dyDescent="0.25">
      <c r="A10549" t="s">
        <v>9155</v>
      </c>
      <c r="B10549" t="s">
        <v>13</v>
      </c>
      <c r="C10549">
        <v>151.44</v>
      </c>
      <c r="D10549">
        <v>153.33000000000001</v>
      </c>
      <c r="E10549" t="s">
        <v>17</v>
      </c>
      <c r="F10549">
        <v>27.13</v>
      </c>
      <c r="G10549">
        <v>27.05</v>
      </c>
      <c r="H10549" t="s">
        <v>17</v>
      </c>
      <c r="I10549" t="str">
        <f>"062250002769"</f>
        <v>062250002769</v>
      </c>
    </row>
    <row r="10550" spans="1:9" x14ac:dyDescent="0.25">
      <c r="A10550" t="s">
        <v>9156</v>
      </c>
      <c r="B10550" t="s">
        <v>13</v>
      </c>
      <c r="C10550">
        <v>26.7</v>
      </c>
      <c r="D10550">
        <v>27.34</v>
      </c>
      <c r="E10550" t="s">
        <v>17</v>
      </c>
      <c r="F10550">
        <v>25.81</v>
      </c>
      <c r="G10550">
        <v>26.52</v>
      </c>
      <c r="H10550" t="s">
        <v>17</v>
      </c>
      <c r="I10550" t="str">
        <f>"061203001340"</f>
        <v>061203001340</v>
      </c>
    </row>
    <row r="10551" spans="1:9" x14ac:dyDescent="0.25">
      <c r="A10551" t="s">
        <v>9157</v>
      </c>
      <c r="B10551" t="s">
        <v>13</v>
      </c>
      <c r="C10551">
        <v>18</v>
      </c>
      <c r="D10551">
        <v>19.05</v>
      </c>
      <c r="E10551" t="s">
        <v>17</v>
      </c>
      <c r="F10551">
        <v>23.22</v>
      </c>
      <c r="G10551">
        <v>23.99</v>
      </c>
      <c r="H10551" t="s">
        <v>17</v>
      </c>
      <c r="I10551" t="str">
        <f>"060852000851"</f>
        <v>060852000851</v>
      </c>
    </row>
    <row r="10552" spans="1:9" x14ac:dyDescent="0.25">
      <c r="A10552" t="s">
        <v>9157</v>
      </c>
      <c r="B10552" t="s">
        <v>13</v>
      </c>
      <c r="C10552" t="s">
        <v>17</v>
      </c>
      <c r="D10552" t="s">
        <v>17</v>
      </c>
      <c r="E10552" t="s">
        <v>17</v>
      </c>
      <c r="F10552" t="s">
        <v>17</v>
      </c>
      <c r="G10552" t="s">
        <v>17</v>
      </c>
      <c r="H10552" t="s">
        <v>17</v>
      </c>
      <c r="I10552" t="str">
        <f>"061320010336"</f>
        <v>061320010336</v>
      </c>
    </row>
    <row r="10553" spans="1:9" x14ac:dyDescent="0.25">
      <c r="A10553" t="s">
        <v>9157</v>
      </c>
      <c r="B10553" t="s">
        <v>13</v>
      </c>
      <c r="C10553">
        <v>32.01</v>
      </c>
      <c r="D10553">
        <v>30.8</v>
      </c>
      <c r="E10553" t="s">
        <v>17</v>
      </c>
      <c r="F10553">
        <v>19.649999999999999</v>
      </c>
      <c r="G10553">
        <v>18.47</v>
      </c>
      <c r="H10553" t="s">
        <v>17</v>
      </c>
      <c r="I10553" t="str">
        <f>"063432005573"</f>
        <v>063432005573</v>
      </c>
    </row>
    <row r="10554" spans="1:9" x14ac:dyDescent="0.25">
      <c r="A10554" t="s">
        <v>9158</v>
      </c>
      <c r="B10554" t="s">
        <v>13</v>
      </c>
      <c r="C10554">
        <v>1</v>
      </c>
      <c r="D10554">
        <v>1</v>
      </c>
      <c r="E10554" t="s">
        <v>17</v>
      </c>
      <c r="F10554">
        <v>16</v>
      </c>
      <c r="G10554">
        <v>8</v>
      </c>
      <c r="H10554" t="s">
        <v>17</v>
      </c>
      <c r="I10554" t="str">
        <f>"064281010537"</f>
        <v>064281010537</v>
      </c>
    </row>
    <row r="10555" spans="1:9" x14ac:dyDescent="0.25">
      <c r="A10555" t="s">
        <v>9159</v>
      </c>
      <c r="B10555" t="s">
        <v>13</v>
      </c>
      <c r="C10555">
        <v>41</v>
      </c>
      <c r="D10555">
        <v>40.17</v>
      </c>
      <c r="E10555" t="s">
        <v>17</v>
      </c>
      <c r="F10555">
        <v>22.46</v>
      </c>
      <c r="G10555">
        <v>24.15</v>
      </c>
      <c r="H10555" t="s">
        <v>17</v>
      </c>
      <c r="I10555" t="str">
        <f>"062271003467"</f>
        <v>062271003467</v>
      </c>
    </row>
    <row r="10556" spans="1:9" x14ac:dyDescent="0.25">
      <c r="A10556" t="s">
        <v>9160</v>
      </c>
      <c r="B10556" t="s">
        <v>13</v>
      </c>
      <c r="C10556">
        <v>27</v>
      </c>
      <c r="D10556">
        <v>25.5</v>
      </c>
      <c r="E10556" t="s">
        <v>17</v>
      </c>
      <c r="F10556">
        <v>27.04</v>
      </c>
      <c r="G10556">
        <v>28.9</v>
      </c>
      <c r="H10556" t="s">
        <v>17</v>
      </c>
      <c r="I10556" t="str">
        <f>"061455001780"</f>
        <v>061455001780</v>
      </c>
    </row>
    <row r="10557" spans="1:9" x14ac:dyDescent="0.25">
      <c r="A10557" t="s">
        <v>9161</v>
      </c>
      <c r="B10557" t="s">
        <v>13</v>
      </c>
      <c r="C10557">
        <v>23.4</v>
      </c>
      <c r="D10557">
        <v>23.7</v>
      </c>
      <c r="E10557" t="s">
        <v>17</v>
      </c>
      <c r="F10557">
        <v>23.42</v>
      </c>
      <c r="G10557">
        <v>23.42</v>
      </c>
      <c r="H10557" t="s">
        <v>17</v>
      </c>
      <c r="I10557" t="str">
        <f>"061692002159"</f>
        <v>061692002159</v>
      </c>
    </row>
    <row r="10558" spans="1:9" x14ac:dyDescent="0.25">
      <c r="A10558" t="s">
        <v>9162</v>
      </c>
      <c r="B10558" t="s">
        <v>13</v>
      </c>
      <c r="C10558">
        <v>43.44</v>
      </c>
      <c r="D10558">
        <v>41.83</v>
      </c>
      <c r="E10558" t="s">
        <v>17</v>
      </c>
      <c r="F10558">
        <v>25.71</v>
      </c>
      <c r="G10558">
        <v>24.89</v>
      </c>
      <c r="H10558" t="s">
        <v>17</v>
      </c>
      <c r="I10558" t="str">
        <f>"063513010759"</f>
        <v>063513010759</v>
      </c>
    </row>
    <row r="10559" spans="1:9" x14ac:dyDescent="0.25">
      <c r="A10559" t="s">
        <v>9163</v>
      </c>
      <c r="B10559" t="s">
        <v>13</v>
      </c>
      <c r="C10559">
        <v>23</v>
      </c>
      <c r="D10559">
        <v>24</v>
      </c>
      <c r="E10559" t="s">
        <v>17</v>
      </c>
      <c r="F10559">
        <v>26.04</v>
      </c>
      <c r="G10559">
        <v>25.79</v>
      </c>
      <c r="H10559" t="s">
        <v>17</v>
      </c>
      <c r="I10559" t="str">
        <f>"061437008840"</f>
        <v>061437008840</v>
      </c>
    </row>
    <row r="10560" spans="1:9" x14ac:dyDescent="0.25">
      <c r="A10560" t="s">
        <v>9164</v>
      </c>
      <c r="B10560" t="s">
        <v>13</v>
      </c>
      <c r="C10560">
        <v>22</v>
      </c>
      <c r="D10560">
        <v>21</v>
      </c>
      <c r="E10560" t="s">
        <v>17</v>
      </c>
      <c r="F10560">
        <v>26.68</v>
      </c>
      <c r="G10560">
        <v>27.14</v>
      </c>
      <c r="H10560" t="s">
        <v>17</v>
      </c>
      <c r="I10560" t="str">
        <f>"061296009133"</f>
        <v>061296009133</v>
      </c>
    </row>
    <row r="10561" spans="1:9" x14ac:dyDescent="0.25">
      <c r="A10561" t="s">
        <v>9165</v>
      </c>
      <c r="B10561" t="s">
        <v>13</v>
      </c>
      <c r="C10561">
        <v>22.8</v>
      </c>
      <c r="D10561">
        <v>20.5</v>
      </c>
      <c r="E10561" t="s">
        <v>17</v>
      </c>
      <c r="F10561">
        <v>21.18</v>
      </c>
      <c r="G10561">
        <v>25.22</v>
      </c>
      <c r="H10561" t="s">
        <v>17</v>
      </c>
      <c r="I10561" t="str">
        <f>"060003408407"</f>
        <v>060003408407</v>
      </c>
    </row>
    <row r="10562" spans="1:9" x14ac:dyDescent="0.25">
      <c r="A10562" t="s">
        <v>9166</v>
      </c>
      <c r="B10562" t="s">
        <v>13</v>
      </c>
      <c r="C10562">
        <v>71.61</v>
      </c>
      <c r="D10562">
        <v>70.5</v>
      </c>
      <c r="E10562" t="s">
        <v>17</v>
      </c>
      <c r="F10562">
        <v>24.03</v>
      </c>
      <c r="G10562">
        <v>23.86</v>
      </c>
      <c r="H10562" t="s">
        <v>17</v>
      </c>
      <c r="I10562" t="str">
        <f>"060003405470"</f>
        <v>060003405470</v>
      </c>
    </row>
    <row r="10563" spans="1:9" x14ac:dyDescent="0.25">
      <c r="A10563" t="s">
        <v>9167</v>
      </c>
      <c r="B10563" t="s">
        <v>13</v>
      </c>
      <c r="C10563">
        <v>23</v>
      </c>
      <c r="D10563">
        <v>26</v>
      </c>
      <c r="E10563" t="s">
        <v>17</v>
      </c>
      <c r="F10563">
        <v>24.43</v>
      </c>
      <c r="G10563">
        <v>24.15</v>
      </c>
      <c r="H10563" t="s">
        <v>17</v>
      </c>
      <c r="I10563" t="str">
        <f>"062271007770"</f>
        <v>062271007770</v>
      </c>
    </row>
    <row r="10564" spans="1:9" x14ac:dyDescent="0.25">
      <c r="A10564" t="s">
        <v>9168</v>
      </c>
      <c r="B10564" t="s">
        <v>13</v>
      </c>
      <c r="C10564">
        <v>39.67</v>
      </c>
      <c r="D10564">
        <v>43.2</v>
      </c>
      <c r="E10564" t="s">
        <v>17</v>
      </c>
      <c r="F10564">
        <v>22.33</v>
      </c>
      <c r="G10564">
        <v>20.93</v>
      </c>
      <c r="H10564" t="s">
        <v>17</v>
      </c>
      <c r="I10564" t="str">
        <f>"060003406982"</f>
        <v>060003406982</v>
      </c>
    </row>
    <row r="10565" spans="1:9" x14ac:dyDescent="0.25">
      <c r="A10565" t="s">
        <v>9169</v>
      </c>
      <c r="B10565" t="s">
        <v>13</v>
      </c>
      <c r="C10565">
        <v>5.13</v>
      </c>
      <c r="D10565">
        <v>5.5</v>
      </c>
      <c r="E10565" t="s">
        <v>17</v>
      </c>
      <c r="F10565">
        <v>14.62</v>
      </c>
      <c r="G10565">
        <v>15.64</v>
      </c>
      <c r="H10565" t="s">
        <v>17</v>
      </c>
      <c r="I10565" t="str">
        <f>"060003408652"</f>
        <v>060003408652</v>
      </c>
    </row>
    <row r="10566" spans="1:9" x14ac:dyDescent="0.25">
      <c r="A10566" t="s">
        <v>9170</v>
      </c>
      <c r="B10566" t="s">
        <v>13</v>
      </c>
      <c r="C10566">
        <v>21</v>
      </c>
      <c r="D10566">
        <v>22</v>
      </c>
      <c r="E10566" t="s">
        <v>17</v>
      </c>
      <c r="F10566">
        <v>21.1</v>
      </c>
      <c r="G10566">
        <v>20.82</v>
      </c>
      <c r="H10566" t="s">
        <v>17</v>
      </c>
      <c r="I10566" t="str">
        <f>"064296012038"</f>
        <v>064296012038</v>
      </c>
    </row>
    <row r="10567" spans="1:9" x14ac:dyDescent="0.25">
      <c r="A10567" t="s">
        <v>9171</v>
      </c>
      <c r="B10567" t="s">
        <v>13</v>
      </c>
      <c r="C10567">
        <v>15.6</v>
      </c>
      <c r="D10567">
        <v>15.6</v>
      </c>
      <c r="E10567" t="s">
        <v>17</v>
      </c>
      <c r="F10567">
        <v>21.35</v>
      </c>
      <c r="G10567">
        <v>22.24</v>
      </c>
      <c r="H10567" t="s">
        <v>17</v>
      </c>
      <c r="I10567" t="str">
        <f>"061632502073"</f>
        <v>061632502073</v>
      </c>
    </row>
    <row r="10568" spans="1:9" x14ac:dyDescent="0.25">
      <c r="A10568" t="s">
        <v>9172</v>
      </c>
      <c r="B10568" t="s">
        <v>13</v>
      </c>
      <c r="C10568">
        <v>33</v>
      </c>
      <c r="D10568">
        <v>32</v>
      </c>
      <c r="E10568" t="s">
        <v>17</v>
      </c>
      <c r="F10568">
        <v>21.97</v>
      </c>
      <c r="G10568">
        <v>22.75</v>
      </c>
      <c r="H10568" t="s">
        <v>17</v>
      </c>
      <c r="I10568" t="str">
        <f>"063789006392"</f>
        <v>063789006392</v>
      </c>
    </row>
    <row r="10569" spans="1:9" x14ac:dyDescent="0.25">
      <c r="A10569" t="s">
        <v>9173</v>
      </c>
      <c r="B10569" t="s">
        <v>13</v>
      </c>
      <c r="C10569">
        <v>16</v>
      </c>
      <c r="D10569">
        <v>20.51</v>
      </c>
      <c r="E10569" t="s">
        <v>17</v>
      </c>
      <c r="F10569">
        <v>29.81</v>
      </c>
      <c r="G10569">
        <v>24.23</v>
      </c>
      <c r="H10569" t="s">
        <v>17</v>
      </c>
      <c r="I10569" t="str">
        <f>"060004807408"</f>
        <v>060004807408</v>
      </c>
    </row>
    <row r="10570" spans="1:9" x14ac:dyDescent="0.25">
      <c r="A10570" t="s">
        <v>9174</v>
      </c>
      <c r="B10570" t="s">
        <v>13</v>
      </c>
      <c r="C10570">
        <v>20</v>
      </c>
      <c r="D10570">
        <v>19.5</v>
      </c>
      <c r="E10570" t="s">
        <v>17</v>
      </c>
      <c r="F10570">
        <v>22.9</v>
      </c>
      <c r="G10570">
        <v>23.44</v>
      </c>
      <c r="H10570" t="s">
        <v>17</v>
      </c>
      <c r="I10570" t="str">
        <f>"062271003469"</f>
        <v>062271003469</v>
      </c>
    </row>
    <row r="10571" spans="1:9" x14ac:dyDescent="0.25">
      <c r="A10571" t="s">
        <v>9175</v>
      </c>
      <c r="B10571" t="s">
        <v>13</v>
      </c>
      <c r="C10571">
        <v>2</v>
      </c>
      <c r="D10571">
        <v>3</v>
      </c>
      <c r="E10571" t="s">
        <v>17</v>
      </c>
      <c r="F10571">
        <v>13.5</v>
      </c>
      <c r="G10571">
        <v>8.33</v>
      </c>
      <c r="H10571" t="s">
        <v>17</v>
      </c>
      <c r="I10571" t="str">
        <f>"064290006984"</f>
        <v>064290006984</v>
      </c>
    </row>
    <row r="10572" spans="1:9" x14ac:dyDescent="0.25">
      <c r="A10572" t="s">
        <v>9176</v>
      </c>
      <c r="B10572" t="s">
        <v>13</v>
      </c>
      <c r="C10572" t="s">
        <v>17</v>
      </c>
      <c r="D10572" t="s">
        <v>14</v>
      </c>
      <c r="E10572" t="s">
        <v>14</v>
      </c>
      <c r="F10572" t="s">
        <v>17</v>
      </c>
      <c r="G10572" t="s">
        <v>14</v>
      </c>
      <c r="H10572" t="s">
        <v>14</v>
      </c>
      <c r="I10572" t="str">
        <f>"060005213158"</f>
        <v>060005213158</v>
      </c>
    </row>
    <row r="10573" spans="1:9" x14ac:dyDescent="0.25">
      <c r="A10573" t="s">
        <v>9177</v>
      </c>
      <c r="B10573" t="s">
        <v>13</v>
      </c>
      <c r="C10573">
        <v>40.47</v>
      </c>
      <c r="D10573">
        <v>39.4</v>
      </c>
      <c r="E10573" t="s">
        <v>17</v>
      </c>
      <c r="F10573">
        <v>23.94</v>
      </c>
      <c r="G10573">
        <v>25.05</v>
      </c>
      <c r="H10573" t="s">
        <v>17</v>
      </c>
      <c r="I10573" t="str">
        <f>"063462005762"</f>
        <v>063462005762</v>
      </c>
    </row>
    <row r="10574" spans="1:9" x14ac:dyDescent="0.25">
      <c r="A10574" t="s">
        <v>9178</v>
      </c>
      <c r="B10574" t="s">
        <v>13</v>
      </c>
      <c r="C10574">
        <v>5.0999999999999996</v>
      </c>
      <c r="D10574">
        <v>9</v>
      </c>
      <c r="E10574" t="s">
        <v>17</v>
      </c>
      <c r="F10574">
        <v>24.31</v>
      </c>
      <c r="G10574">
        <v>22.56</v>
      </c>
      <c r="H10574" t="s">
        <v>17</v>
      </c>
      <c r="I10574" t="str">
        <f>"062079002499"</f>
        <v>062079002499</v>
      </c>
    </row>
    <row r="10575" spans="1:9" x14ac:dyDescent="0.25">
      <c r="A10575" t="s">
        <v>9178</v>
      </c>
      <c r="B10575" t="s">
        <v>13</v>
      </c>
      <c r="C10575">
        <v>33</v>
      </c>
      <c r="D10575">
        <v>35.33</v>
      </c>
      <c r="E10575" t="s">
        <v>17</v>
      </c>
      <c r="F10575">
        <v>20.58</v>
      </c>
      <c r="G10575">
        <v>19.98</v>
      </c>
      <c r="H10575" t="s">
        <v>17</v>
      </c>
      <c r="I10575" t="str">
        <f>"062547003814"</f>
        <v>062547003814</v>
      </c>
    </row>
    <row r="10576" spans="1:9" x14ac:dyDescent="0.25">
      <c r="A10576" t="s">
        <v>9179</v>
      </c>
      <c r="B10576" t="s">
        <v>13</v>
      </c>
      <c r="C10576">
        <v>27.5</v>
      </c>
      <c r="D10576">
        <v>19</v>
      </c>
      <c r="E10576" t="s">
        <v>17</v>
      </c>
      <c r="F10576">
        <v>24.04</v>
      </c>
      <c r="G10576">
        <v>25.26</v>
      </c>
      <c r="H10576" t="s">
        <v>17</v>
      </c>
      <c r="I10576" t="str">
        <f>"064293006985"</f>
        <v>064293006985</v>
      </c>
    </row>
    <row r="10577" spans="1:9" x14ac:dyDescent="0.25">
      <c r="A10577" t="s">
        <v>9180</v>
      </c>
      <c r="B10577" t="s">
        <v>13</v>
      </c>
      <c r="C10577">
        <v>21.48</v>
      </c>
      <c r="D10577">
        <v>27.49</v>
      </c>
      <c r="E10577" t="s">
        <v>17</v>
      </c>
      <c r="F10577">
        <v>22.25</v>
      </c>
      <c r="G10577">
        <v>18.55</v>
      </c>
      <c r="H10577" t="s">
        <v>17</v>
      </c>
      <c r="I10577" t="str">
        <f>"064293006986"</f>
        <v>064293006986</v>
      </c>
    </row>
    <row r="10578" spans="1:9" x14ac:dyDescent="0.25">
      <c r="A10578" t="s">
        <v>9181</v>
      </c>
      <c r="B10578" t="s">
        <v>13</v>
      </c>
      <c r="C10578">
        <v>16.190000000000001</v>
      </c>
      <c r="D10578">
        <v>16.86</v>
      </c>
      <c r="E10578" t="s">
        <v>17</v>
      </c>
      <c r="F10578">
        <v>21.25</v>
      </c>
      <c r="G10578">
        <v>20.7</v>
      </c>
      <c r="H10578" t="s">
        <v>17</v>
      </c>
      <c r="I10578" t="str">
        <f>"064293006987"</f>
        <v>064293006987</v>
      </c>
    </row>
    <row r="10579" spans="1:9" x14ac:dyDescent="0.25">
      <c r="A10579" t="s">
        <v>9182</v>
      </c>
      <c r="B10579" t="s">
        <v>13</v>
      </c>
      <c r="C10579">
        <v>22.68</v>
      </c>
      <c r="D10579">
        <v>27.5</v>
      </c>
      <c r="E10579" t="s">
        <v>17</v>
      </c>
      <c r="F10579">
        <v>26.85</v>
      </c>
      <c r="G10579">
        <v>21.78</v>
      </c>
      <c r="H10579" t="s">
        <v>17</v>
      </c>
      <c r="I10579" t="str">
        <f>"061674002137"</f>
        <v>061674002137</v>
      </c>
    </row>
    <row r="10580" spans="1:9" x14ac:dyDescent="0.25">
      <c r="A10580" t="s">
        <v>9182</v>
      </c>
      <c r="B10580" t="s">
        <v>13</v>
      </c>
      <c r="C10580">
        <v>25</v>
      </c>
      <c r="D10580">
        <v>25</v>
      </c>
      <c r="E10580" t="s">
        <v>17</v>
      </c>
      <c r="F10580">
        <v>23.56</v>
      </c>
      <c r="G10580">
        <v>22.88</v>
      </c>
      <c r="H10580" t="s">
        <v>17</v>
      </c>
      <c r="I10580" t="str">
        <f>"064296010150"</f>
        <v>064296010150</v>
      </c>
    </row>
    <row r="10581" spans="1:9" x14ac:dyDescent="0.25">
      <c r="A10581" t="s">
        <v>9183</v>
      </c>
      <c r="B10581" t="s">
        <v>13</v>
      </c>
      <c r="C10581" t="s">
        <v>14</v>
      </c>
      <c r="D10581" t="s">
        <v>14</v>
      </c>
      <c r="E10581" t="s">
        <v>17</v>
      </c>
      <c r="F10581" t="s">
        <v>14</v>
      </c>
      <c r="G10581" t="s">
        <v>14</v>
      </c>
      <c r="H10581" t="s">
        <v>17</v>
      </c>
      <c r="I10581" t="str">
        <f>"062271011974"</f>
        <v>062271011974</v>
      </c>
    </row>
    <row r="10582" spans="1:9" x14ac:dyDescent="0.25">
      <c r="A10582" t="s">
        <v>9183</v>
      </c>
      <c r="B10582" t="s">
        <v>13</v>
      </c>
      <c r="C10582">
        <v>21</v>
      </c>
      <c r="D10582">
        <v>24</v>
      </c>
      <c r="E10582" t="s">
        <v>14</v>
      </c>
      <c r="F10582">
        <v>24.86</v>
      </c>
      <c r="G10582">
        <v>20.329999999999998</v>
      </c>
      <c r="H10582" t="s">
        <v>14</v>
      </c>
      <c r="I10582" t="str">
        <f>"069107811974"</f>
        <v>069107811974</v>
      </c>
    </row>
    <row r="10583" spans="1:9" x14ac:dyDescent="0.25">
      <c r="A10583" t="s">
        <v>9184</v>
      </c>
      <c r="B10583" t="s">
        <v>13</v>
      </c>
      <c r="C10583">
        <v>35</v>
      </c>
      <c r="D10583">
        <v>35.5</v>
      </c>
      <c r="E10583" t="s">
        <v>17</v>
      </c>
      <c r="F10583">
        <v>24.74</v>
      </c>
      <c r="G10583">
        <v>24.56</v>
      </c>
      <c r="H10583" t="s">
        <v>17</v>
      </c>
      <c r="I10583" t="str">
        <f>"062271012780"</f>
        <v>062271012780</v>
      </c>
    </row>
    <row r="10584" spans="1:9" x14ac:dyDescent="0.25">
      <c r="A10584" t="s">
        <v>9185</v>
      </c>
      <c r="B10584" t="s">
        <v>13</v>
      </c>
      <c r="C10584">
        <v>24</v>
      </c>
      <c r="D10584">
        <v>23</v>
      </c>
      <c r="E10584" t="s">
        <v>17</v>
      </c>
      <c r="F10584">
        <v>26.21</v>
      </c>
      <c r="G10584">
        <v>27.04</v>
      </c>
      <c r="H10584" t="s">
        <v>17</v>
      </c>
      <c r="I10584" t="str">
        <f>"061455001781"</f>
        <v>061455001781</v>
      </c>
    </row>
    <row r="10585" spans="1:9" x14ac:dyDescent="0.25">
      <c r="A10585" t="s">
        <v>9186</v>
      </c>
      <c r="B10585" t="s">
        <v>13</v>
      </c>
      <c r="C10585">
        <v>30</v>
      </c>
      <c r="D10585">
        <v>30</v>
      </c>
      <c r="E10585" t="s">
        <v>17</v>
      </c>
      <c r="F10585">
        <v>25.23</v>
      </c>
      <c r="G10585">
        <v>24.7</v>
      </c>
      <c r="H10585" t="s">
        <v>17</v>
      </c>
      <c r="I10585" t="str">
        <f>"060002709498"</f>
        <v>060002709498</v>
      </c>
    </row>
    <row r="10586" spans="1:9" x14ac:dyDescent="0.25">
      <c r="A10586" t="s">
        <v>9187</v>
      </c>
      <c r="B10586" t="s">
        <v>13</v>
      </c>
      <c r="C10586">
        <v>34.049999999999997</v>
      </c>
      <c r="D10586">
        <v>34.119999999999997</v>
      </c>
      <c r="E10586" t="s">
        <v>17</v>
      </c>
      <c r="F10586">
        <v>26.23</v>
      </c>
      <c r="G10586">
        <v>27.67</v>
      </c>
      <c r="H10586" t="s">
        <v>17</v>
      </c>
      <c r="I10586" t="str">
        <f>"060003611085"</f>
        <v>060003611085</v>
      </c>
    </row>
    <row r="10587" spans="1:9" x14ac:dyDescent="0.25">
      <c r="A10587" t="s">
        <v>9188</v>
      </c>
      <c r="B10587" t="s">
        <v>13</v>
      </c>
      <c r="C10587">
        <v>20.5</v>
      </c>
      <c r="D10587">
        <v>20.5</v>
      </c>
      <c r="E10587" t="s">
        <v>17</v>
      </c>
      <c r="F10587">
        <v>25.95</v>
      </c>
      <c r="G10587">
        <v>26.44</v>
      </c>
      <c r="H10587" t="s">
        <v>17</v>
      </c>
      <c r="I10587" t="str">
        <f>"060162000031"</f>
        <v>060162000031</v>
      </c>
    </row>
    <row r="10588" spans="1:9" x14ac:dyDescent="0.25">
      <c r="A10588" t="s">
        <v>9189</v>
      </c>
      <c r="B10588" t="s">
        <v>13</v>
      </c>
      <c r="C10588">
        <v>39</v>
      </c>
      <c r="D10588">
        <v>40.5</v>
      </c>
      <c r="E10588" t="s">
        <v>17</v>
      </c>
      <c r="F10588">
        <v>25.36</v>
      </c>
      <c r="G10588">
        <v>23.11</v>
      </c>
      <c r="H10588" t="s">
        <v>17</v>
      </c>
      <c r="I10588" t="str">
        <f>"060861011875"</f>
        <v>060861011875</v>
      </c>
    </row>
    <row r="10589" spans="1:9" x14ac:dyDescent="0.25">
      <c r="A10589" t="s">
        <v>9190</v>
      </c>
      <c r="B10589" t="s">
        <v>13</v>
      </c>
      <c r="C10589">
        <v>3</v>
      </c>
      <c r="D10589">
        <v>1.01</v>
      </c>
      <c r="E10589" t="s">
        <v>17</v>
      </c>
      <c r="F10589">
        <v>13</v>
      </c>
      <c r="G10589">
        <v>51.49</v>
      </c>
      <c r="H10589" t="s">
        <v>17</v>
      </c>
      <c r="I10589" t="str">
        <f>"064293007372"</f>
        <v>064293007372</v>
      </c>
    </row>
    <row r="10590" spans="1:9" x14ac:dyDescent="0.25">
      <c r="A10590" t="s">
        <v>9191</v>
      </c>
      <c r="B10590" t="s">
        <v>13</v>
      </c>
      <c r="C10590">
        <v>23</v>
      </c>
      <c r="D10590">
        <v>26</v>
      </c>
      <c r="E10590" t="s">
        <v>17</v>
      </c>
      <c r="F10590">
        <v>22.3</v>
      </c>
      <c r="G10590">
        <v>21.5</v>
      </c>
      <c r="H10590" t="s">
        <v>17</v>
      </c>
      <c r="I10590" t="str">
        <f>"061455001782"</f>
        <v>061455001782</v>
      </c>
    </row>
    <row r="10591" spans="1:9" x14ac:dyDescent="0.25">
      <c r="A10591" t="s">
        <v>9192</v>
      </c>
      <c r="B10591" t="s">
        <v>13</v>
      </c>
      <c r="C10591">
        <v>22.5</v>
      </c>
      <c r="D10591">
        <v>21</v>
      </c>
      <c r="E10591" t="s">
        <v>17</v>
      </c>
      <c r="F10591">
        <v>24.53</v>
      </c>
      <c r="G10591">
        <v>26.14</v>
      </c>
      <c r="H10591" t="s">
        <v>17</v>
      </c>
      <c r="I10591" t="str">
        <f>"062271003470"</f>
        <v>062271003470</v>
      </c>
    </row>
    <row r="10592" spans="1:9" x14ac:dyDescent="0.25">
      <c r="A10592" t="s">
        <v>9193</v>
      </c>
      <c r="B10592" t="s">
        <v>13</v>
      </c>
      <c r="C10592">
        <v>18.43</v>
      </c>
      <c r="D10592">
        <v>19.350000000000001</v>
      </c>
      <c r="E10592" t="s">
        <v>17</v>
      </c>
      <c r="F10592">
        <v>27.78</v>
      </c>
      <c r="G10592">
        <v>25.68</v>
      </c>
      <c r="H10592" t="s">
        <v>17</v>
      </c>
      <c r="I10592" t="str">
        <f>"060744003389"</f>
        <v>060744003389</v>
      </c>
    </row>
    <row r="10593" spans="1:9" x14ac:dyDescent="0.25">
      <c r="A10593" t="s">
        <v>9194</v>
      </c>
      <c r="B10593" t="s">
        <v>13</v>
      </c>
      <c r="C10593">
        <v>20.5</v>
      </c>
      <c r="D10593">
        <v>24.4</v>
      </c>
      <c r="E10593" t="s">
        <v>17</v>
      </c>
      <c r="F10593">
        <v>26.54</v>
      </c>
      <c r="G10593">
        <v>24.51</v>
      </c>
      <c r="H10593" t="s">
        <v>17</v>
      </c>
      <c r="I10593" t="str">
        <f>"063684007927"</f>
        <v>063684007927</v>
      </c>
    </row>
    <row r="10594" spans="1:9" x14ac:dyDescent="0.25">
      <c r="A10594" t="s">
        <v>9195</v>
      </c>
      <c r="B10594" t="s">
        <v>13</v>
      </c>
      <c r="C10594">
        <v>13</v>
      </c>
      <c r="D10594">
        <v>14.4</v>
      </c>
      <c r="E10594" t="s">
        <v>17</v>
      </c>
      <c r="F10594">
        <v>27.62</v>
      </c>
      <c r="G10594">
        <v>28.06</v>
      </c>
      <c r="H10594" t="s">
        <v>17</v>
      </c>
      <c r="I10594" t="str">
        <f>"063384005291"</f>
        <v>063384005291</v>
      </c>
    </row>
    <row r="10595" spans="1:9" x14ac:dyDescent="0.25">
      <c r="A10595" t="s">
        <v>9196</v>
      </c>
      <c r="B10595" t="s">
        <v>13</v>
      </c>
      <c r="C10595">
        <v>18.329999999999998</v>
      </c>
      <c r="D10595">
        <v>17.84</v>
      </c>
      <c r="E10595" t="s">
        <v>17</v>
      </c>
      <c r="F10595">
        <v>24.66</v>
      </c>
      <c r="G10595">
        <v>24.83</v>
      </c>
      <c r="H10595" t="s">
        <v>17</v>
      </c>
      <c r="I10595" t="str">
        <f>"062223011775"</f>
        <v>062223011775</v>
      </c>
    </row>
    <row r="10596" spans="1:9" x14ac:dyDescent="0.25">
      <c r="A10596" t="s">
        <v>9197</v>
      </c>
      <c r="B10596" t="s">
        <v>13</v>
      </c>
      <c r="C10596">
        <v>86.02</v>
      </c>
      <c r="D10596">
        <v>80.77</v>
      </c>
      <c r="E10596" t="s">
        <v>17</v>
      </c>
      <c r="F10596">
        <v>27.71</v>
      </c>
      <c r="G10596">
        <v>28.46</v>
      </c>
      <c r="H10596" t="s">
        <v>17</v>
      </c>
      <c r="I10596" t="str">
        <f>"068450007376"</f>
        <v>068450007376</v>
      </c>
    </row>
    <row r="10597" spans="1:9" x14ac:dyDescent="0.25">
      <c r="A10597" t="s">
        <v>9198</v>
      </c>
      <c r="B10597" t="s">
        <v>13</v>
      </c>
      <c r="C10597">
        <v>29</v>
      </c>
      <c r="D10597">
        <v>29</v>
      </c>
      <c r="E10597" t="s">
        <v>17</v>
      </c>
      <c r="F10597">
        <v>32.31</v>
      </c>
      <c r="G10597">
        <v>29.97</v>
      </c>
      <c r="H10597" t="s">
        <v>17</v>
      </c>
      <c r="I10597" t="str">
        <f>"068450007056"</f>
        <v>068450007056</v>
      </c>
    </row>
    <row r="10598" spans="1:9" x14ac:dyDescent="0.25">
      <c r="A10598" t="s">
        <v>9198</v>
      </c>
      <c r="B10598" t="s">
        <v>13</v>
      </c>
      <c r="C10598">
        <v>18.899999999999999</v>
      </c>
      <c r="D10598">
        <v>19.899999999999999</v>
      </c>
      <c r="E10598" t="s">
        <v>17</v>
      </c>
      <c r="F10598">
        <v>24.5</v>
      </c>
      <c r="G10598">
        <v>25.13</v>
      </c>
      <c r="H10598" t="s">
        <v>17</v>
      </c>
      <c r="I10598" t="str">
        <f>"061488001888"</f>
        <v>061488001888</v>
      </c>
    </row>
    <row r="10599" spans="1:9" x14ac:dyDescent="0.25">
      <c r="A10599" t="s">
        <v>9199</v>
      </c>
      <c r="B10599" t="s">
        <v>13</v>
      </c>
      <c r="C10599">
        <v>93.32</v>
      </c>
      <c r="D10599">
        <v>92.82</v>
      </c>
      <c r="E10599" t="s">
        <v>17</v>
      </c>
      <c r="F10599">
        <v>23.61</v>
      </c>
      <c r="G10599">
        <v>23.7</v>
      </c>
      <c r="H10599" t="s">
        <v>17</v>
      </c>
      <c r="I10599" t="str">
        <f>"063363003513"</f>
        <v>063363003513</v>
      </c>
    </row>
    <row r="10600" spans="1:9" x14ac:dyDescent="0.25">
      <c r="A10600" t="s">
        <v>9200</v>
      </c>
      <c r="B10600" t="s">
        <v>13</v>
      </c>
      <c r="C10600">
        <v>22.13</v>
      </c>
      <c r="D10600">
        <v>23.13</v>
      </c>
      <c r="E10600" t="s">
        <v>17</v>
      </c>
      <c r="F10600">
        <v>27.61</v>
      </c>
      <c r="G10600">
        <v>26.68</v>
      </c>
      <c r="H10600" t="s">
        <v>17</v>
      </c>
      <c r="I10600" t="str">
        <f>"063315005163"</f>
        <v>063315005163</v>
      </c>
    </row>
    <row r="10601" spans="1:9" x14ac:dyDescent="0.25">
      <c r="A10601" t="s">
        <v>9200</v>
      </c>
      <c r="B10601" t="s">
        <v>13</v>
      </c>
      <c r="C10601">
        <v>21.7</v>
      </c>
      <c r="D10601">
        <v>21.3</v>
      </c>
      <c r="E10601" t="s">
        <v>17</v>
      </c>
      <c r="F10601">
        <v>20.97</v>
      </c>
      <c r="G10601">
        <v>22.63</v>
      </c>
      <c r="H10601" t="s">
        <v>17</v>
      </c>
      <c r="I10601" t="str">
        <f>"061473001808"</f>
        <v>061473001808</v>
      </c>
    </row>
    <row r="10602" spans="1:9" x14ac:dyDescent="0.25">
      <c r="A10602" t="s">
        <v>9200</v>
      </c>
      <c r="B10602" t="s">
        <v>13</v>
      </c>
      <c r="C10602">
        <v>38</v>
      </c>
      <c r="D10602">
        <v>44.5</v>
      </c>
      <c r="E10602" t="s">
        <v>17</v>
      </c>
      <c r="F10602">
        <v>23.82</v>
      </c>
      <c r="G10602">
        <v>20.34</v>
      </c>
      <c r="H10602" t="s">
        <v>17</v>
      </c>
      <c r="I10602" t="str">
        <f>"062271003471"</f>
        <v>062271003471</v>
      </c>
    </row>
    <row r="10603" spans="1:9" x14ac:dyDescent="0.25">
      <c r="A10603" t="s">
        <v>9201</v>
      </c>
      <c r="B10603" t="s">
        <v>13</v>
      </c>
      <c r="C10603">
        <v>16.75</v>
      </c>
      <c r="D10603">
        <v>18</v>
      </c>
      <c r="E10603" t="s">
        <v>17</v>
      </c>
      <c r="F10603">
        <v>27.16</v>
      </c>
      <c r="G10603">
        <v>25.67</v>
      </c>
      <c r="H10603" t="s">
        <v>17</v>
      </c>
      <c r="I10603" t="str">
        <f>"060846002585"</f>
        <v>060846002585</v>
      </c>
    </row>
    <row r="10604" spans="1:9" x14ac:dyDescent="0.25">
      <c r="A10604" t="s">
        <v>9202</v>
      </c>
      <c r="B10604" t="s">
        <v>13</v>
      </c>
      <c r="C10604" t="s">
        <v>14</v>
      </c>
      <c r="D10604">
        <v>1</v>
      </c>
      <c r="E10604" t="s">
        <v>17</v>
      </c>
      <c r="F10604" t="s">
        <v>14</v>
      </c>
      <c r="G10604">
        <v>15</v>
      </c>
      <c r="H10604" t="s">
        <v>17</v>
      </c>
      <c r="I10604" t="str">
        <f>"064305008664"</f>
        <v>064305008664</v>
      </c>
    </row>
    <row r="10605" spans="1:9" x14ac:dyDescent="0.25">
      <c r="A10605" t="s">
        <v>9202</v>
      </c>
      <c r="B10605" t="s">
        <v>13</v>
      </c>
      <c r="C10605" t="s">
        <v>17</v>
      </c>
      <c r="D10605" t="s">
        <v>14</v>
      </c>
      <c r="E10605" t="s">
        <v>14</v>
      </c>
      <c r="F10605" t="s">
        <v>17</v>
      </c>
      <c r="G10605" t="s">
        <v>14</v>
      </c>
      <c r="H10605" t="s">
        <v>14</v>
      </c>
      <c r="I10605" t="str">
        <f>"060141808664"</f>
        <v>060141808664</v>
      </c>
    </row>
    <row r="10606" spans="1:9" x14ac:dyDescent="0.25">
      <c r="A10606" t="s">
        <v>9203</v>
      </c>
      <c r="B10606" t="s">
        <v>13</v>
      </c>
      <c r="C10606">
        <v>18</v>
      </c>
      <c r="D10606">
        <v>18</v>
      </c>
      <c r="E10606" t="s">
        <v>17</v>
      </c>
      <c r="F10606">
        <v>26.11</v>
      </c>
      <c r="G10606">
        <v>25.83</v>
      </c>
      <c r="H10606" t="s">
        <v>17</v>
      </c>
      <c r="I10606" t="str">
        <f>"060133204157"</f>
        <v>060133204157</v>
      </c>
    </row>
    <row r="10607" spans="1:9" x14ac:dyDescent="0.25">
      <c r="A10607" t="s">
        <v>9204</v>
      </c>
      <c r="B10607" t="s">
        <v>13</v>
      </c>
      <c r="C10607">
        <v>23</v>
      </c>
      <c r="D10607">
        <v>23.51</v>
      </c>
      <c r="E10607" t="s">
        <v>17</v>
      </c>
      <c r="F10607">
        <v>24.96</v>
      </c>
      <c r="G10607">
        <v>24.12</v>
      </c>
      <c r="H10607" t="s">
        <v>17</v>
      </c>
      <c r="I10607" t="str">
        <f>"062271003472"</f>
        <v>062271003472</v>
      </c>
    </row>
    <row r="10608" spans="1:9" x14ac:dyDescent="0.25">
      <c r="A10608" t="s">
        <v>9205</v>
      </c>
      <c r="B10608" t="s">
        <v>13</v>
      </c>
      <c r="C10608" t="s">
        <v>14</v>
      </c>
      <c r="D10608">
        <v>29.8</v>
      </c>
      <c r="E10608" t="s">
        <v>17</v>
      </c>
      <c r="F10608" t="s">
        <v>14</v>
      </c>
      <c r="G10608">
        <v>25.2</v>
      </c>
      <c r="H10608" t="s">
        <v>17</v>
      </c>
      <c r="I10608" t="str">
        <f>"064305006996"</f>
        <v>064305006996</v>
      </c>
    </row>
    <row r="10609" spans="1:9" x14ac:dyDescent="0.25">
      <c r="A10609" t="s">
        <v>9205</v>
      </c>
      <c r="B10609" t="s">
        <v>13</v>
      </c>
      <c r="C10609" t="s">
        <v>17</v>
      </c>
      <c r="D10609" t="s">
        <v>14</v>
      </c>
      <c r="E10609" t="s">
        <v>14</v>
      </c>
      <c r="F10609" t="s">
        <v>17</v>
      </c>
      <c r="G10609" t="s">
        <v>14</v>
      </c>
      <c r="H10609" t="s">
        <v>14</v>
      </c>
      <c r="I10609" t="str">
        <f>"060141806996"</f>
        <v>060141806996</v>
      </c>
    </row>
    <row r="10610" spans="1:9" x14ac:dyDescent="0.25">
      <c r="A10610" t="s">
        <v>9206</v>
      </c>
      <c r="B10610" t="s">
        <v>13</v>
      </c>
      <c r="C10610" t="s">
        <v>17</v>
      </c>
      <c r="D10610" t="s">
        <v>14</v>
      </c>
      <c r="E10610" t="s">
        <v>14</v>
      </c>
      <c r="F10610" t="s">
        <v>17</v>
      </c>
      <c r="G10610" t="s">
        <v>14</v>
      </c>
      <c r="H10610" t="s">
        <v>14</v>
      </c>
      <c r="I10610" t="str">
        <f>"060141806995"</f>
        <v>060141806995</v>
      </c>
    </row>
    <row r="10611" spans="1:9" x14ac:dyDescent="0.25">
      <c r="A10611" t="s">
        <v>9206</v>
      </c>
      <c r="B10611" t="s">
        <v>13</v>
      </c>
      <c r="C10611" t="s">
        <v>14</v>
      </c>
      <c r="D10611">
        <v>24.29</v>
      </c>
      <c r="E10611" t="s">
        <v>17</v>
      </c>
      <c r="F10611" t="s">
        <v>14</v>
      </c>
      <c r="G10611">
        <v>21.04</v>
      </c>
      <c r="H10611" t="s">
        <v>17</v>
      </c>
      <c r="I10611" t="str">
        <f>"064302006995"</f>
        <v>064302006995</v>
      </c>
    </row>
    <row r="10612" spans="1:9" x14ac:dyDescent="0.25">
      <c r="A10612" t="s">
        <v>9207</v>
      </c>
      <c r="B10612" t="s">
        <v>13</v>
      </c>
      <c r="C10612" t="s">
        <v>14</v>
      </c>
      <c r="D10612" t="s">
        <v>17</v>
      </c>
      <c r="E10612" t="s">
        <v>17</v>
      </c>
      <c r="F10612" t="s">
        <v>17</v>
      </c>
      <c r="G10612" t="s">
        <v>17</v>
      </c>
      <c r="H10612" t="s">
        <v>17</v>
      </c>
      <c r="I10612" t="str">
        <f>"064308012605"</f>
        <v>064308012605</v>
      </c>
    </row>
    <row r="10613" spans="1:9" x14ac:dyDescent="0.25">
      <c r="A10613" t="s">
        <v>9208</v>
      </c>
      <c r="B10613" t="s">
        <v>13</v>
      </c>
      <c r="C10613">
        <v>1</v>
      </c>
      <c r="D10613">
        <v>1</v>
      </c>
      <c r="E10613" t="s">
        <v>17</v>
      </c>
      <c r="F10613">
        <v>12</v>
      </c>
      <c r="G10613">
        <v>3</v>
      </c>
      <c r="H10613" t="s">
        <v>17</v>
      </c>
      <c r="I10613" t="str">
        <f>"064308008434"</f>
        <v>064308008434</v>
      </c>
    </row>
    <row r="10614" spans="1:9" x14ac:dyDescent="0.25">
      <c r="A10614" t="s">
        <v>9209</v>
      </c>
      <c r="B10614" t="s">
        <v>13</v>
      </c>
      <c r="C10614">
        <v>24</v>
      </c>
      <c r="D10614">
        <v>23.6</v>
      </c>
      <c r="E10614" t="s">
        <v>17</v>
      </c>
      <c r="F10614">
        <v>21.58</v>
      </c>
      <c r="G10614">
        <v>21.1</v>
      </c>
      <c r="H10614" t="s">
        <v>17</v>
      </c>
      <c r="I10614" t="str">
        <f>"062724009594"</f>
        <v>062724009594</v>
      </c>
    </row>
    <row r="10615" spans="1:9" x14ac:dyDescent="0.25">
      <c r="A10615" t="s">
        <v>9209</v>
      </c>
      <c r="B10615" t="s">
        <v>13</v>
      </c>
      <c r="C10615">
        <v>17</v>
      </c>
      <c r="D10615">
        <v>15</v>
      </c>
      <c r="E10615" t="s">
        <v>17</v>
      </c>
      <c r="F10615">
        <v>25.29</v>
      </c>
      <c r="G10615">
        <v>24.73</v>
      </c>
      <c r="H10615" t="s">
        <v>17</v>
      </c>
      <c r="I10615" t="str">
        <f>"062394003607"</f>
        <v>062394003607</v>
      </c>
    </row>
    <row r="10616" spans="1:9" x14ac:dyDescent="0.25">
      <c r="A10616" t="s">
        <v>9210</v>
      </c>
      <c r="B10616" t="s">
        <v>13</v>
      </c>
      <c r="C10616">
        <v>43.51</v>
      </c>
      <c r="D10616">
        <v>44.87</v>
      </c>
      <c r="E10616" t="s">
        <v>17</v>
      </c>
      <c r="F10616">
        <v>27.86</v>
      </c>
      <c r="G10616">
        <v>29.15</v>
      </c>
      <c r="H10616" t="s">
        <v>17</v>
      </c>
      <c r="I10616" t="str">
        <f>"062271003271"</f>
        <v>062271003271</v>
      </c>
    </row>
    <row r="10617" spans="1:9" x14ac:dyDescent="0.25">
      <c r="A10617" t="s">
        <v>9211</v>
      </c>
      <c r="B10617" t="s">
        <v>13</v>
      </c>
      <c r="C10617">
        <v>28.5</v>
      </c>
      <c r="D10617">
        <v>27</v>
      </c>
      <c r="E10617" t="s">
        <v>17</v>
      </c>
      <c r="F10617">
        <v>24.14</v>
      </c>
      <c r="G10617">
        <v>25.85</v>
      </c>
      <c r="H10617" t="s">
        <v>17</v>
      </c>
      <c r="I10617" t="str">
        <f>"062271003473"</f>
        <v>062271003473</v>
      </c>
    </row>
    <row r="10618" spans="1:9" x14ac:dyDescent="0.25">
      <c r="A10618" t="s">
        <v>9212</v>
      </c>
      <c r="B10618" t="s">
        <v>13</v>
      </c>
      <c r="C10618">
        <v>41.91</v>
      </c>
      <c r="D10618">
        <v>39.67</v>
      </c>
      <c r="E10618" t="s">
        <v>17</v>
      </c>
      <c r="F10618">
        <v>29.63</v>
      </c>
      <c r="G10618">
        <v>33.450000000000003</v>
      </c>
      <c r="H10618" t="s">
        <v>17</v>
      </c>
      <c r="I10618" t="str">
        <f>"063488005895"</f>
        <v>063488005895</v>
      </c>
    </row>
    <row r="10619" spans="1:9" x14ac:dyDescent="0.25">
      <c r="A10619" t="s">
        <v>9213</v>
      </c>
      <c r="B10619" t="s">
        <v>13</v>
      </c>
      <c r="C10619">
        <v>2.33</v>
      </c>
      <c r="D10619" t="s">
        <v>17</v>
      </c>
      <c r="E10619" t="s">
        <v>14</v>
      </c>
      <c r="F10619">
        <v>48.93</v>
      </c>
      <c r="G10619" t="s">
        <v>17</v>
      </c>
      <c r="H10619" t="s">
        <v>14</v>
      </c>
      <c r="I10619" t="str">
        <f>"069104912919"</f>
        <v>069104912919</v>
      </c>
    </row>
    <row r="10620" spans="1:9" x14ac:dyDescent="0.25">
      <c r="A10620" t="s">
        <v>9214</v>
      </c>
      <c r="B10620" t="s">
        <v>13</v>
      </c>
      <c r="C10620">
        <v>28.42</v>
      </c>
      <c r="D10620">
        <v>27.57</v>
      </c>
      <c r="E10620" t="s">
        <v>17</v>
      </c>
      <c r="F10620">
        <v>22.7</v>
      </c>
      <c r="G10620">
        <v>23.79</v>
      </c>
      <c r="H10620" t="s">
        <v>17</v>
      </c>
      <c r="I10620" t="str">
        <f>"064308009466"</f>
        <v>064308009466</v>
      </c>
    </row>
    <row r="10621" spans="1:9" x14ac:dyDescent="0.25">
      <c r="A10621" t="s">
        <v>9215</v>
      </c>
      <c r="B10621" t="s">
        <v>13</v>
      </c>
      <c r="C10621">
        <v>59.95</v>
      </c>
      <c r="D10621">
        <v>64.11</v>
      </c>
      <c r="E10621" t="s">
        <v>17</v>
      </c>
      <c r="F10621">
        <v>21.63</v>
      </c>
      <c r="G10621">
        <v>21.18</v>
      </c>
      <c r="H10621" t="s">
        <v>17</v>
      </c>
      <c r="I10621" t="str">
        <f>"064308007011"</f>
        <v>064308007011</v>
      </c>
    </row>
    <row r="10622" spans="1:9" x14ac:dyDescent="0.25">
      <c r="A10622" t="s">
        <v>9216</v>
      </c>
      <c r="B10622" t="s">
        <v>13</v>
      </c>
      <c r="C10622">
        <v>10</v>
      </c>
      <c r="D10622">
        <v>11</v>
      </c>
      <c r="E10622" t="s">
        <v>17</v>
      </c>
      <c r="F10622">
        <v>22.2</v>
      </c>
      <c r="G10622">
        <v>20</v>
      </c>
      <c r="H10622" t="s">
        <v>17</v>
      </c>
      <c r="I10622" t="str">
        <f>"063720011484"</f>
        <v>063720011484</v>
      </c>
    </row>
    <row r="10623" spans="1:9" x14ac:dyDescent="0.25">
      <c r="A10623" t="s">
        <v>9217</v>
      </c>
      <c r="B10623" t="s">
        <v>13</v>
      </c>
      <c r="C10623">
        <v>36</v>
      </c>
      <c r="D10623">
        <v>37</v>
      </c>
      <c r="E10623" t="s">
        <v>17</v>
      </c>
      <c r="F10623">
        <v>23.42</v>
      </c>
      <c r="G10623">
        <v>23.14</v>
      </c>
      <c r="H10623" t="s">
        <v>17</v>
      </c>
      <c r="I10623" t="str">
        <f>"062271003474"</f>
        <v>062271003474</v>
      </c>
    </row>
    <row r="10624" spans="1:9" x14ac:dyDescent="0.25">
      <c r="A10624" t="s">
        <v>9218</v>
      </c>
      <c r="B10624" t="s">
        <v>13</v>
      </c>
      <c r="C10624">
        <v>19</v>
      </c>
      <c r="D10624">
        <v>20</v>
      </c>
      <c r="E10624" t="s">
        <v>17</v>
      </c>
      <c r="F10624">
        <v>26.42</v>
      </c>
      <c r="G10624">
        <v>24.3</v>
      </c>
      <c r="H10624" t="s">
        <v>17</v>
      </c>
      <c r="I10624" t="str">
        <f>"060133205109"</f>
        <v>060133205109</v>
      </c>
    </row>
    <row r="10625" spans="1:9" x14ac:dyDescent="0.25">
      <c r="A10625" t="s">
        <v>9219</v>
      </c>
      <c r="B10625" t="s">
        <v>13</v>
      </c>
      <c r="C10625">
        <v>14.48</v>
      </c>
      <c r="D10625">
        <v>14.48</v>
      </c>
      <c r="E10625" t="s">
        <v>17</v>
      </c>
      <c r="F10625">
        <v>26.8</v>
      </c>
      <c r="G10625">
        <v>27</v>
      </c>
      <c r="H10625" t="s">
        <v>17</v>
      </c>
      <c r="I10625" t="str">
        <f>"063867006503"</f>
        <v>063867006503</v>
      </c>
    </row>
    <row r="10626" spans="1:9" x14ac:dyDescent="0.25">
      <c r="A10626" t="s">
        <v>9220</v>
      </c>
      <c r="B10626" t="s">
        <v>13</v>
      </c>
      <c r="C10626">
        <v>14.25</v>
      </c>
      <c r="D10626">
        <v>13.28</v>
      </c>
      <c r="E10626" t="s">
        <v>17</v>
      </c>
      <c r="F10626">
        <v>22.11</v>
      </c>
      <c r="G10626">
        <v>25.3</v>
      </c>
      <c r="H10626" t="s">
        <v>17</v>
      </c>
      <c r="I10626" t="str">
        <f>"061959002358"</f>
        <v>061959002358</v>
      </c>
    </row>
    <row r="10627" spans="1:9" x14ac:dyDescent="0.25">
      <c r="A10627" t="s">
        <v>9221</v>
      </c>
      <c r="B10627" t="s">
        <v>13</v>
      </c>
      <c r="C10627">
        <v>12.75</v>
      </c>
      <c r="D10627">
        <v>14.36</v>
      </c>
      <c r="E10627" t="s">
        <v>17</v>
      </c>
      <c r="F10627">
        <v>26.75</v>
      </c>
      <c r="G10627">
        <v>23.54</v>
      </c>
      <c r="H10627" t="s">
        <v>17</v>
      </c>
      <c r="I10627" t="str">
        <f>"061959012638"</f>
        <v>061959012638</v>
      </c>
    </row>
    <row r="10628" spans="1:9" x14ac:dyDescent="0.25">
      <c r="A10628" t="s">
        <v>9222</v>
      </c>
      <c r="B10628" t="s">
        <v>13</v>
      </c>
      <c r="C10628">
        <v>15.57</v>
      </c>
      <c r="D10628">
        <v>16.62</v>
      </c>
      <c r="E10628" t="s">
        <v>17</v>
      </c>
      <c r="F10628">
        <v>24.41</v>
      </c>
      <c r="G10628">
        <v>23.89</v>
      </c>
      <c r="H10628" t="s">
        <v>17</v>
      </c>
      <c r="I10628" t="str">
        <f>"063627006191"</f>
        <v>063627006191</v>
      </c>
    </row>
    <row r="10629" spans="1:9" x14ac:dyDescent="0.25">
      <c r="A10629" t="s">
        <v>9222</v>
      </c>
      <c r="B10629" t="s">
        <v>13</v>
      </c>
      <c r="C10629">
        <v>17.5</v>
      </c>
      <c r="D10629">
        <v>16.25</v>
      </c>
      <c r="E10629" t="s">
        <v>17</v>
      </c>
      <c r="F10629">
        <v>22.63</v>
      </c>
      <c r="G10629">
        <v>23.69</v>
      </c>
      <c r="H10629" t="s">
        <v>17</v>
      </c>
      <c r="I10629" t="str">
        <f>"061887002292"</f>
        <v>061887002292</v>
      </c>
    </row>
    <row r="10630" spans="1:9" x14ac:dyDescent="0.25">
      <c r="A10630" t="s">
        <v>9222</v>
      </c>
      <c r="B10630" t="s">
        <v>13</v>
      </c>
      <c r="C10630">
        <v>31</v>
      </c>
      <c r="D10630">
        <v>31</v>
      </c>
      <c r="E10630" t="s">
        <v>17</v>
      </c>
      <c r="F10630">
        <v>21.45</v>
      </c>
      <c r="G10630">
        <v>22.19</v>
      </c>
      <c r="H10630" t="s">
        <v>17</v>
      </c>
      <c r="I10630" t="str">
        <f>"060939000960"</f>
        <v>060939000960</v>
      </c>
    </row>
    <row r="10631" spans="1:9" x14ac:dyDescent="0.25">
      <c r="A10631" t="s">
        <v>9222</v>
      </c>
      <c r="B10631" t="s">
        <v>13</v>
      </c>
      <c r="C10631">
        <v>36</v>
      </c>
      <c r="D10631">
        <v>38</v>
      </c>
      <c r="E10631" t="s">
        <v>17</v>
      </c>
      <c r="F10631">
        <v>28.03</v>
      </c>
      <c r="G10631">
        <v>27.16</v>
      </c>
      <c r="H10631" t="s">
        <v>17</v>
      </c>
      <c r="I10631" t="str">
        <f>"060985008559"</f>
        <v>060985008559</v>
      </c>
    </row>
    <row r="10632" spans="1:9" x14ac:dyDescent="0.25">
      <c r="A10632" t="s">
        <v>9223</v>
      </c>
      <c r="B10632" t="s">
        <v>13</v>
      </c>
      <c r="C10632">
        <v>25.68</v>
      </c>
      <c r="D10632">
        <v>25.58</v>
      </c>
      <c r="E10632" t="s">
        <v>17</v>
      </c>
      <c r="F10632">
        <v>22.82</v>
      </c>
      <c r="G10632">
        <v>23.53</v>
      </c>
      <c r="H10632" t="s">
        <v>17</v>
      </c>
      <c r="I10632" t="str">
        <f>"061647002084"</f>
        <v>061647002084</v>
      </c>
    </row>
    <row r="10633" spans="1:9" x14ac:dyDescent="0.25">
      <c r="A10633" t="s">
        <v>9224</v>
      </c>
      <c r="B10633" t="s">
        <v>13</v>
      </c>
      <c r="C10633">
        <v>51.8</v>
      </c>
      <c r="D10633">
        <v>53.8</v>
      </c>
      <c r="E10633" t="s">
        <v>17</v>
      </c>
      <c r="F10633">
        <v>25.6</v>
      </c>
      <c r="G10633">
        <v>25.86</v>
      </c>
      <c r="H10633" t="s">
        <v>17</v>
      </c>
      <c r="I10633" t="str">
        <f>"061524001950"</f>
        <v>061524001950</v>
      </c>
    </row>
    <row r="10634" spans="1:9" x14ac:dyDescent="0.25">
      <c r="A10634" t="s">
        <v>9224</v>
      </c>
      <c r="B10634" t="s">
        <v>13</v>
      </c>
      <c r="C10634">
        <v>30.24</v>
      </c>
      <c r="D10634">
        <v>35.799999999999997</v>
      </c>
      <c r="E10634" t="s">
        <v>17</v>
      </c>
      <c r="F10634">
        <v>22.06</v>
      </c>
      <c r="G10634">
        <v>19.39</v>
      </c>
      <c r="H10634" t="s">
        <v>17</v>
      </c>
      <c r="I10634" t="str">
        <f>"062994004692"</f>
        <v>062994004692</v>
      </c>
    </row>
    <row r="10635" spans="1:9" x14ac:dyDescent="0.25">
      <c r="A10635" t="s">
        <v>9225</v>
      </c>
      <c r="B10635" t="s">
        <v>13</v>
      </c>
      <c r="C10635">
        <v>101.52</v>
      </c>
      <c r="D10635">
        <v>128.81</v>
      </c>
      <c r="E10635" t="s">
        <v>17</v>
      </c>
      <c r="F10635">
        <v>18.5</v>
      </c>
      <c r="G10635">
        <v>15.84</v>
      </c>
      <c r="H10635" t="s">
        <v>17</v>
      </c>
      <c r="I10635" t="str">
        <f>"062271003466"</f>
        <v>062271003466</v>
      </c>
    </row>
    <row r="10636" spans="1:9" x14ac:dyDescent="0.25">
      <c r="A10636" t="s">
        <v>9226</v>
      </c>
      <c r="B10636" t="s">
        <v>13</v>
      </c>
      <c r="C10636">
        <v>28</v>
      </c>
      <c r="D10636">
        <v>28</v>
      </c>
      <c r="E10636" t="s">
        <v>17</v>
      </c>
      <c r="F10636">
        <v>28.79</v>
      </c>
      <c r="G10636">
        <v>26.43</v>
      </c>
      <c r="H10636" t="s">
        <v>17</v>
      </c>
      <c r="I10636" t="str">
        <f>"060903010772"</f>
        <v>060903010772</v>
      </c>
    </row>
    <row r="10637" spans="1:9" x14ac:dyDescent="0.25">
      <c r="A10637" t="s">
        <v>9227</v>
      </c>
      <c r="B10637" t="s">
        <v>13</v>
      </c>
      <c r="C10637">
        <v>17</v>
      </c>
      <c r="D10637">
        <v>17</v>
      </c>
      <c r="E10637" t="s">
        <v>17</v>
      </c>
      <c r="F10637">
        <v>30.18</v>
      </c>
      <c r="G10637">
        <v>29.94</v>
      </c>
      <c r="H10637" t="s">
        <v>17</v>
      </c>
      <c r="I10637" t="str">
        <f>"063066004776"</f>
        <v>063066004776</v>
      </c>
    </row>
    <row r="10638" spans="1:9" x14ac:dyDescent="0.25">
      <c r="A10638" t="s">
        <v>9228</v>
      </c>
      <c r="B10638" t="s">
        <v>13</v>
      </c>
      <c r="C10638">
        <v>33.94</v>
      </c>
      <c r="D10638">
        <v>35.880000000000003</v>
      </c>
      <c r="E10638" t="s">
        <v>17</v>
      </c>
      <c r="F10638">
        <v>13.35</v>
      </c>
      <c r="G10638">
        <v>12.43</v>
      </c>
      <c r="H10638" t="s">
        <v>17</v>
      </c>
      <c r="I10638" t="str">
        <f>"064314007013"</f>
        <v>064314007013</v>
      </c>
    </row>
    <row r="10639" spans="1:9" x14ac:dyDescent="0.25">
      <c r="A10639" t="s">
        <v>9228</v>
      </c>
      <c r="B10639" t="s">
        <v>13</v>
      </c>
      <c r="C10639">
        <v>19.100000000000001</v>
      </c>
      <c r="D10639">
        <v>20.8</v>
      </c>
      <c r="E10639" t="s">
        <v>17</v>
      </c>
      <c r="F10639">
        <v>23.04</v>
      </c>
      <c r="G10639">
        <v>23.61</v>
      </c>
      <c r="H10639" t="s">
        <v>17</v>
      </c>
      <c r="I10639" t="str">
        <f>"062637003983"</f>
        <v>062637003983</v>
      </c>
    </row>
    <row r="10640" spans="1:9" x14ac:dyDescent="0.25">
      <c r="A10640" t="s">
        <v>9229</v>
      </c>
      <c r="B10640" t="s">
        <v>13</v>
      </c>
      <c r="C10640">
        <v>99.35</v>
      </c>
      <c r="D10640">
        <v>95.05</v>
      </c>
      <c r="E10640" t="s">
        <v>17</v>
      </c>
      <c r="F10640">
        <v>17.57</v>
      </c>
      <c r="G10640">
        <v>18.559999999999999</v>
      </c>
      <c r="H10640" t="s">
        <v>17</v>
      </c>
      <c r="I10640" t="str">
        <f>"063639006199"</f>
        <v>063639006199</v>
      </c>
    </row>
    <row r="10641" spans="1:9" x14ac:dyDescent="0.25">
      <c r="A10641" t="s">
        <v>9230</v>
      </c>
      <c r="B10641" t="s">
        <v>13</v>
      </c>
      <c r="C10641">
        <v>21.53</v>
      </c>
      <c r="D10641">
        <v>18</v>
      </c>
      <c r="E10641" t="s">
        <v>17</v>
      </c>
      <c r="F10641">
        <v>28.05</v>
      </c>
      <c r="G10641">
        <v>33</v>
      </c>
      <c r="H10641" t="s">
        <v>17</v>
      </c>
      <c r="I10641" t="str">
        <f>"063462005828"</f>
        <v>063462005828</v>
      </c>
    </row>
    <row r="10642" spans="1:9" x14ac:dyDescent="0.25">
      <c r="A10642" t="s">
        <v>9231</v>
      </c>
      <c r="B10642" t="s">
        <v>13</v>
      </c>
      <c r="C10642">
        <v>18.2</v>
      </c>
      <c r="D10642">
        <v>16.3</v>
      </c>
      <c r="E10642" t="s">
        <v>17</v>
      </c>
      <c r="F10642">
        <v>28.85</v>
      </c>
      <c r="G10642">
        <v>26.01</v>
      </c>
      <c r="H10642" t="s">
        <v>17</v>
      </c>
      <c r="I10642" t="str">
        <f>"060978011523"</f>
        <v>060978011523</v>
      </c>
    </row>
    <row r="10643" spans="1:9" x14ac:dyDescent="0.25">
      <c r="A10643" t="s">
        <v>9232</v>
      </c>
      <c r="B10643" t="s">
        <v>13</v>
      </c>
      <c r="C10643">
        <v>26.66</v>
      </c>
      <c r="D10643">
        <v>24</v>
      </c>
      <c r="E10643" t="s">
        <v>17</v>
      </c>
      <c r="F10643">
        <v>18.600000000000001</v>
      </c>
      <c r="G10643">
        <v>20.420000000000002</v>
      </c>
      <c r="H10643" t="s">
        <v>17</v>
      </c>
      <c r="I10643" t="str">
        <f>"064317007014"</f>
        <v>064317007014</v>
      </c>
    </row>
    <row r="10644" spans="1:9" x14ac:dyDescent="0.25">
      <c r="A10644" t="s">
        <v>9233</v>
      </c>
      <c r="B10644" t="s">
        <v>13</v>
      </c>
      <c r="C10644">
        <v>8</v>
      </c>
      <c r="D10644" t="s">
        <v>14</v>
      </c>
      <c r="E10644" t="s">
        <v>14</v>
      </c>
      <c r="F10644">
        <v>15</v>
      </c>
      <c r="G10644" t="s">
        <v>14</v>
      </c>
      <c r="H10644" t="s">
        <v>14</v>
      </c>
      <c r="I10644" t="str">
        <f>"063417013063"</f>
        <v>063417013063</v>
      </c>
    </row>
    <row r="10645" spans="1:9" x14ac:dyDescent="0.25">
      <c r="A10645" t="s">
        <v>9234</v>
      </c>
      <c r="B10645" t="s">
        <v>13</v>
      </c>
      <c r="C10645">
        <v>18</v>
      </c>
      <c r="D10645">
        <v>23</v>
      </c>
      <c r="E10645" t="s">
        <v>17</v>
      </c>
      <c r="F10645">
        <v>27.22</v>
      </c>
      <c r="G10645">
        <v>26.17</v>
      </c>
      <c r="H10645" t="s">
        <v>17</v>
      </c>
      <c r="I10645" t="str">
        <f>"061839002264"</f>
        <v>061839002264</v>
      </c>
    </row>
    <row r="10646" spans="1:9" x14ac:dyDescent="0.25">
      <c r="A10646" t="s">
        <v>9235</v>
      </c>
      <c r="B10646" t="s">
        <v>13</v>
      </c>
      <c r="C10646" t="s">
        <v>14</v>
      </c>
      <c r="D10646">
        <v>4</v>
      </c>
      <c r="E10646" t="s">
        <v>17</v>
      </c>
      <c r="F10646" t="s">
        <v>17</v>
      </c>
      <c r="G10646">
        <v>9.25</v>
      </c>
      <c r="H10646" t="s">
        <v>17</v>
      </c>
      <c r="I10646" t="str">
        <f>"061623010629"</f>
        <v>061623010629</v>
      </c>
    </row>
    <row r="10647" spans="1:9" x14ac:dyDescent="0.25">
      <c r="A10647" t="s">
        <v>9236</v>
      </c>
      <c r="B10647" t="s">
        <v>13</v>
      </c>
      <c r="C10647" t="s">
        <v>17</v>
      </c>
      <c r="D10647" t="s">
        <v>17</v>
      </c>
      <c r="E10647" t="s">
        <v>17</v>
      </c>
      <c r="F10647" t="s">
        <v>17</v>
      </c>
      <c r="G10647" t="s">
        <v>17</v>
      </c>
      <c r="H10647" t="s">
        <v>17</v>
      </c>
      <c r="I10647" t="str">
        <f>"069100612293"</f>
        <v>069100612293</v>
      </c>
    </row>
    <row r="10648" spans="1:9" x14ac:dyDescent="0.25">
      <c r="A10648" t="s">
        <v>9237</v>
      </c>
      <c r="B10648" t="s">
        <v>13</v>
      </c>
      <c r="C10648">
        <v>22</v>
      </c>
      <c r="D10648">
        <v>21.5</v>
      </c>
      <c r="E10648" t="s">
        <v>17</v>
      </c>
      <c r="F10648">
        <v>24.55</v>
      </c>
      <c r="G10648">
        <v>24.51</v>
      </c>
      <c r="H10648" t="s">
        <v>17</v>
      </c>
      <c r="I10648" t="str">
        <f>"061005007690"</f>
        <v>061005007690</v>
      </c>
    </row>
    <row r="10649" spans="1:9" x14ac:dyDescent="0.25">
      <c r="A10649" t="s">
        <v>9238</v>
      </c>
      <c r="B10649" t="s">
        <v>13</v>
      </c>
      <c r="C10649">
        <v>21</v>
      </c>
      <c r="D10649">
        <v>21</v>
      </c>
      <c r="E10649" t="s">
        <v>17</v>
      </c>
      <c r="F10649">
        <v>21.52</v>
      </c>
      <c r="G10649">
        <v>21.81</v>
      </c>
      <c r="H10649" t="s">
        <v>17</v>
      </c>
      <c r="I10649" t="str">
        <f>"061632502075"</f>
        <v>061632502075</v>
      </c>
    </row>
    <row r="10650" spans="1:9" x14ac:dyDescent="0.25">
      <c r="A10650" t="s">
        <v>9239</v>
      </c>
      <c r="B10650" t="s">
        <v>13</v>
      </c>
      <c r="C10650">
        <v>21.72</v>
      </c>
      <c r="D10650">
        <v>22.66</v>
      </c>
      <c r="E10650" t="s">
        <v>17</v>
      </c>
      <c r="F10650">
        <v>20.21</v>
      </c>
      <c r="G10650">
        <v>20.96</v>
      </c>
      <c r="H10650" t="s">
        <v>17</v>
      </c>
      <c r="I10650" t="str">
        <f>"062805010728"</f>
        <v>062805010728</v>
      </c>
    </row>
    <row r="10651" spans="1:9" x14ac:dyDescent="0.25">
      <c r="A10651" t="s">
        <v>9240</v>
      </c>
      <c r="B10651" t="s">
        <v>13</v>
      </c>
      <c r="C10651">
        <v>22</v>
      </c>
      <c r="D10651">
        <v>23</v>
      </c>
      <c r="E10651" t="s">
        <v>17</v>
      </c>
      <c r="F10651">
        <v>29.77</v>
      </c>
      <c r="G10651">
        <v>29.17</v>
      </c>
      <c r="H10651" t="s">
        <v>17</v>
      </c>
      <c r="I10651" t="str">
        <f>"061839002265"</f>
        <v>061839002265</v>
      </c>
    </row>
    <row r="10652" spans="1:9" x14ac:dyDescent="0.25">
      <c r="A10652" t="s">
        <v>9241</v>
      </c>
      <c r="B10652" t="s">
        <v>13</v>
      </c>
      <c r="C10652">
        <v>21.43</v>
      </c>
      <c r="D10652">
        <v>19.600000000000001</v>
      </c>
      <c r="E10652" t="s">
        <v>17</v>
      </c>
      <c r="F10652">
        <v>25.43</v>
      </c>
      <c r="G10652">
        <v>27.6</v>
      </c>
      <c r="H10652" t="s">
        <v>17</v>
      </c>
      <c r="I10652" t="str">
        <f>"062637003984"</f>
        <v>062637003984</v>
      </c>
    </row>
    <row r="10653" spans="1:9" x14ac:dyDescent="0.25">
      <c r="A10653" t="s">
        <v>9242</v>
      </c>
      <c r="B10653" t="s">
        <v>13</v>
      </c>
      <c r="C10653">
        <v>23.45</v>
      </c>
      <c r="D10653">
        <v>25.77</v>
      </c>
      <c r="E10653" t="s">
        <v>17</v>
      </c>
      <c r="F10653">
        <v>20.98</v>
      </c>
      <c r="G10653">
        <v>20.57</v>
      </c>
      <c r="H10653" t="s">
        <v>17</v>
      </c>
      <c r="I10653" t="str">
        <f>"064320007016"</f>
        <v>064320007016</v>
      </c>
    </row>
    <row r="10654" spans="1:9" x14ac:dyDescent="0.25">
      <c r="A10654" t="s">
        <v>9243</v>
      </c>
      <c r="B10654" t="s">
        <v>13</v>
      </c>
      <c r="C10654">
        <v>40</v>
      </c>
      <c r="D10654">
        <v>39.4</v>
      </c>
      <c r="E10654" t="s">
        <v>17</v>
      </c>
      <c r="F10654">
        <v>25.25</v>
      </c>
      <c r="G10654">
        <v>25.33</v>
      </c>
      <c r="H10654" t="s">
        <v>17</v>
      </c>
      <c r="I10654" t="str">
        <f>"061209001362"</f>
        <v>061209001362</v>
      </c>
    </row>
    <row r="10655" spans="1:9" x14ac:dyDescent="0.25">
      <c r="A10655" t="s">
        <v>9244</v>
      </c>
      <c r="B10655" t="s">
        <v>13</v>
      </c>
      <c r="C10655">
        <v>11</v>
      </c>
      <c r="D10655">
        <v>11</v>
      </c>
      <c r="E10655" t="s">
        <v>17</v>
      </c>
      <c r="F10655">
        <v>28.27</v>
      </c>
      <c r="G10655">
        <v>27.91</v>
      </c>
      <c r="H10655" t="s">
        <v>17</v>
      </c>
      <c r="I10655" t="str">
        <f>"063697007877"</f>
        <v>063697007877</v>
      </c>
    </row>
    <row r="10656" spans="1:9" x14ac:dyDescent="0.25">
      <c r="A10656" t="s">
        <v>9245</v>
      </c>
      <c r="B10656" t="s">
        <v>13</v>
      </c>
      <c r="C10656">
        <v>1</v>
      </c>
      <c r="D10656">
        <v>1</v>
      </c>
      <c r="E10656" t="s">
        <v>17</v>
      </c>
      <c r="F10656">
        <v>6</v>
      </c>
      <c r="G10656">
        <v>3</v>
      </c>
      <c r="H10656" t="s">
        <v>17</v>
      </c>
      <c r="I10656" t="str">
        <f>"060267012096"</f>
        <v>060267012096</v>
      </c>
    </row>
    <row r="10657" spans="1:9" x14ac:dyDescent="0.25">
      <c r="A10657" t="s">
        <v>9246</v>
      </c>
      <c r="B10657" t="s">
        <v>13</v>
      </c>
      <c r="C10657">
        <v>16.12</v>
      </c>
      <c r="D10657">
        <v>17.12</v>
      </c>
      <c r="E10657" t="s">
        <v>17</v>
      </c>
      <c r="F10657">
        <v>17.62</v>
      </c>
      <c r="G10657">
        <v>17.579999999999998</v>
      </c>
      <c r="H10657" t="s">
        <v>17</v>
      </c>
      <c r="I10657" t="str">
        <f>"062910004494"</f>
        <v>062910004494</v>
      </c>
    </row>
    <row r="10658" spans="1:9" x14ac:dyDescent="0.25">
      <c r="A10658" t="s">
        <v>9247</v>
      </c>
      <c r="B10658" t="s">
        <v>13</v>
      </c>
      <c r="C10658" t="s">
        <v>17</v>
      </c>
      <c r="D10658">
        <v>1</v>
      </c>
      <c r="E10658" t="s">
        <v>17</v>
      </c>
      <c r="F10658" t="s">
        <v>17</v>
      </c>
      <c r="G10658">
        <v>8</v>
      </c>
      <c r="H10658" t="s">
        <v>17</v>
      </c>
      <c r="I10658" t="str">
        <f>"064198007451"</f>
        <v>064198007451</v>
      </c>
    </row>
    <row r="10659" spans="1:9" x14ac:dyDescent="0.25">
      <c r="A10659" t="s">
        <v>9248</v>
      </c>
      <c r="B10659" t="s">
        <v>13</v>
      </c>
      <c r="C10659" t="s">
        <v>14</v>
      </c>
      <c r="D10659" t="s">
        <v>14</v>
      </c>
      <c r="E10659" t="s">
        <v>17</v>
      </c>
      <c r="F10659" t="s">
        <v>14</v>
      </c>
      <c r="G10659" t="s">
        <v>14</v>
      </c>
      <c r="H10659" t="s">
        <v>17</v>
      </c>
      <c r="I10659" t="str">
        <f>"064198012296"</f>
        <v>064198012296</v>
      </c>
    </row>
    <row r="10660" spans="1:9" x14ac:dyDescent="0.25">
      <c r="A10660" t="s">
        <v>9249</v>
      </c>
      <c r="B10660" t="s">
        <v>13</v>
      </c>
      <c r="C10660" t="s">
        <v>14</v>
      </c>
      <c r="D10660" t="s">
        <v>14</v>
      </c>
      <c r="E10660" t="s">
        <v>17</v>
      </c>
      <c r="F10660" t="s">
        <v>14</v>
      </c>
      <c r="G10660" t="s">
        <v>14</v>
      </c>
      <c r="H10660" t="s">
        <v>17</v>
      </c>
      <c r="I10660" t="str">
        <f>"062079012405"</f>
        <v>062079012405</v>
      </c>
    </row>
    <row r="10661" spans="1:9" x14ac:dyDescent="0.25">
      <c r="A10661" t="s">
        <v>9250</v>
      </c>
      <c r="B10661" t="s">
        <v>13</v>
      </c>
      <c r="C10661">
        <v>14</v>
      </c>
      <c r="D10661">
        <v>11.5</v>
      </c>
      <c r="E10661" t="s">
        <v>17</v>
      </c>
      <c r="F10661">
        <v>24</v>
      </c>
      <c r="G10661">
        <v>27.22</v>
      </c>
      <c r="H10661" t="s">
        <v>17</v>
      </c>
      <c r="I10661" t="str">
        <f>"062271010523"</f>
        <v>062271010523</v>
      </c>
    </row>
    <row r="10662" spans="1:9" x14ac:dyDescent="0.25">
      <c r="A10662" t="s">
        <v>9251</v>
      </c>
      <c r="B10662" t="s">
        <v>13</v>
      </c>
      <c r="C10662">
        <v>24</v>
      </c>
      <c r="D10662">
        <v>28</v>
      </c>
      <c r="E10662" t="s">
        <v>17</v>
      </c>
      <c r="F10662">
        <v>22.79</v>
      </c>
      <c r="G10662">
        <v>20.89</v>
      </c>
      <c r="H10662" t="s">
        <v>17</v>
      </c>
      <c r="I10662" t="str">
        <f>"062217009893"</f>
        <v>062217009893</v>
      </c>
    </row>
    <row r="10663" spans="1:9" x14ac:dyDescent="0.25">
      <c r="A10663" t="s">
        <v>9252</v>
      </c>
      <c r="B10663" t="s">
        <v>13</v>
      </c>
      <c r="C10663">
        <v>18</v>
      </c>
      <c r="D10663">
        <v>13</v>
      </c>
      <c r="E10663" t="s">
        <v>17</v>
      </c>
      <c r="F10663">
        <v>23.33</v>
      </c>
      <c r="G10663">
        <v>26.77</v>
      </c>
      <c r="H10663" t="s">
        <v>17</v>
      </c>
      <c r="I10663" t="str">
        <f>"063384012652"</f>
        <v>063384012652</v>
      </c>
    </row>
    <row r="10664" spans="1:9" x14ac:dyDescent="0.25">
      <c r="A10664" t="s">
        <v>9253</v>
      </c>
      <c r="B10664" t="s">
        <v>13</v>
      </c>
      <c r="C10664">
        <v>28</v>
      </c>
      <c r="D10664">
        <v>26</v>
      </c>
      <c r="E10664" t="s">
        <v>17</v>
      </c>
      <c r="F10664">
        <v>22.89</v>
      </c>
      <c r="G10664">
        <v>23.5</v>
      </c>
      <c r="H10664" t="s">
        <v>17</v>
      </c>
      <c r="I10664" t="str">
        <f>"063375005215"</f>
        <v>063375005215</v>
      </c>
    </row>
    <row r="10665" spans="1:9" x14ac:dyDescent="0.25">
      <c r="A10665" t="s">
        <v>9254</v>
      </c>
      <c r="B10665" t="s">
        <v>13</v>
      </c>
      <c r="C10665">
        <v>9</v>
      </c>
      <c r="D10665">
        <v>10</v>
      </c>
      <c r="E10665" t="s">
        <v>17</v>
      </c>
      <c r="F10665">
        <v>10.33</v>
      </c>
      <c r="G10665">
        <v>9.1</v>
      </c>
      <c r="H10665" t="s">
        <v>17</v>
      </c>
      <c r="I10665" t="str">
        <f>"062958011305"</f>
        <v>062958011305</v>
      </c>
    </row>
    <row r="10666" spans="1:9" x14ac:dyDescent="0.25">
      <c r="A10666" t="s">
        <v>9255</v>
      </c>
      <c r="B10666" t="s">
        <v>13</v>
      </c>
      <c r="C10666">
        <v>20.149999999999999</v>
      </c>
      <c r="D10666">
        <v>19.149999999999999</v>
      </c>
      <c r="E10666" t="s">
        <v>17</v>
      </c>
      <c r="F10666">
        <v>23.67</v>
      </c>
      <c r="G10666">
        <v>22.56</v>
      </c>
      <c r="H10666" t="s">
        <v>17</v>
      </c>
      <c r="I10666" t="str">
        <f>"062100002529"</f>
        <v>062100002529</v>
      </c>
    </row>
    <row r="10667" spans="1:9" x14ac:dyDescent="0.25">
      <c r="A10667" t="s">
        <v>9256</v>
      </c>
      <c r="B10667" t="s">
        <v>13</v>
      </c>
      <c r="C10667">
        <v>74.06</v>
      </c>
      <c r="D10667">
        <v>73.67</v>
      </c>
      <c r="E10667" t="s">
        <v>17</v>
      </c>
      <c r="F10667">
        <v>22.6</v>
      </c>
      <c r="G10667">
        <v>22.55</v>
      </c>
      <c r="H10667" t="s">
        <v>17</v>
      </c>
      <c r="I10667" t="str">
        <f>"061182001310"</f>
        <v>061182001310</v>
      </c>
    </row>
    <row r="10668" spans="1:9" x14ac:dyDescent="0.25">
      <c r="A10668" t="s">
        <v>9257</v>
      </c>
      <c r="B10668" t="s">
        <v>13</v>
      </c>
      <c r="C10668">
        <v>17.2</v>
      </c>
      <c r="D10668">
        <v>19</v>
      </c>
      <c r="E10668" t="s">
        <v>17</v>
      </c>
      <c r="F10668">
        <v>17.79</v>
      </c>
      <c r="G10668">
        <v>15.68</v>
      </c>
      <c r="H10668" t="s">
        <v>17</v>
      </c>
      <c r="I10668" t="str">
        <f>"063682007258"</f>
        <v>063682007258</v>
      </c>
    </row>
    <row r="10669" spans="1:9" x14ac:dyDescent="0.25">
      <c r="A10669" t="s">
        <v>9258</v>
      </c>
      <c r="B10669" t="s">
        <v>13</v>
      </c>
      <c r="C10669">
        <v>36</v>
      </c>
      <c r="D10669">
        <v>36</v>
      </c>
      <c r="E10669" t="s">
        <v>17</v>
      </c>
      <c r="F10669">
        <v>19.03</v>
      </c>
      <c r="G10669">
        <v>18.190000000000001</v>
      </c>
      <c r="H10669" t="s">
        <v>17</v>
      </c>
      <c r="I10669" t="str">
        <f>"062271003099"</f>
        <v>062271003099</v>
      </c>
    </row>
    <row r="10670" spans="1:9" x14ac:dyDescent="0.25">
      <c r="A10670" t="s">
        <v>9259</v>
      </c>
      <c r="B10670" t="s">
        <v>13</v>
      </c>
      <c r="C10670" t="s">
        <v>14</v>
      </c>
      <c r="D10670" t="s">
        <v>14</v>
      </c>
      <c r="E10670" t="s">
        <v>17</v>
      </c>
      <c r="F10670" t="s">
        <v>14</v>
      </c>
      <c r="G10670" t="s">
        <v>14</v>
      </c>
      <c r="H10670" t="s">
        <v>17</v>
      </c>
      <c r="I10670" t="str">
        <f>"062805011290"</f>
        <v>062805011290</v>
      </c>
    </row>
    <row r="10671" spans="1:9" x14ac:dyDescent="0.25">
      <c r="A10671" t="s">
        <v>9260</v>
      </c>
      <c r="B10671" t="s">
        <v>13</v>
      </c>
      <c r="C10671" t="s">
        <v>17</v>
      </c>
      <c r="D10671">
        <v>2</v>
      </c>
      <c r="E10671" t="s">
        <v>17</v>
      </c>
      <c r="F10671" t="s">
        <v>17</v>
      </c>
      <c r="G10671">
        <v>8</v>
      </c>
      <c r="H10671" t="s">
        <v>17</v>
      </c>
      <c r="I10671" t="str">
        <f>"061035001845"</f>
        <v>061035001845</v>
      </c>
    </row>
    <row r="10672" spans="1:9" x14ac:dyDescent="0.25">
      <c r="A10672" t="s">
        <v>9261</v>
      </c>
      <c r="B10672" t="s">
        <v>13</v>
      </c>
      <c r="C10672">
        <v>30.7</v>
      </c>
      <c r="D10672">
        <v>29.84</v>
      </c>
      <c r="E10672" t="s">
        <v>17</v>
      </c>
      <c r="F10672">
        <v>16.809999999999999</v>
      </c>
      <c r="G10672">
        <v>17.190000000000001</v>
      </c>
      <c r="H10672" t="s">
        <v>17</v>
      </c>
      <c r="I10672" t="str">
        <f>"062637003985"</f>
        <v>062637003985</v>
      </c>
    </row>
    <row r="10673" spans="1:9" x14ac:dyDescent="0.25">
      <c r="A10673" t="s">
        <v>9262</v>
      </c>
      <c r="B10673" t="s">
        <v>13</v>
      </c>
      <c r="C10673">
        <v>60.99</v>
      </c>
      <c r="D10673">
        <v>57.59</v>
      </c>
      <c r="E10673" t="s">
        <v>17</v>
      </c>
      <c r="F10673">
        <v>19.79</v>
      </c>
      <c r="G10673">
        <v>21.24</v>
      </c>
      <c r="H10673" t="s">
        <v>17</v>
      </c>
      <c r="I10673" t="str">
        <f>"062637003986"</f>
        <v>062637003986</v>
      </c>
    </row>
    <row r="10674" spans="1:9" x14ac:dyDescent="0.25">
      <c r="A10674" t="s">
        <v>9263</v>
      </c>
      <c r="B10674" t="s">
        <v>13</v>
      </c>
      <c r="C10674">
        <v>14</v>
      </c>
      <c r="D10674">
        <v>13</v>
      </c>
      <c r="E10674" t="s">
        <v>17</v>
      </c>
      <c r="F10674">
        <v>19.57</v>
      </c>
      <c r="G10674">
        <v>20.85</v>
      </c>
      <c r="H10674" t="s">
        <v>17</v>
      </c>
      <c r="I10674" t="str">
        <f>"063441008967"</f>
        <v>063441008967</v>
      </c>
    </row>
    <row r="10675" spans="1:9" x14ac:dyDescent="0.25">
      <c r="A10675" t="s">
        <v>9264</v>
      </c>
      <c r="B10675" t="s">
        <v>13</v>
      </c>
      <c r="C10675">
        <v>32.83</v>
      </c>
      <c r="D10675">
        <v>35.33</v>
      </c>
      <c r="E10675" t="s">
        <v>17</v>
      </c>
      <c r="F10675">
        <v>27.47</v>
      </c>
      <c r="G10675">
        <v>25.76</v>
      </c>
      <c r="H10675" t="s">
        <v>17</v>
      </c>
      <c r="I10675" t="str">
        <f>"060015310946"</f>
        <v>060015310946</v>
      </c>
    </row>
    <row r="10676" spans="1:9" x14ac:dyDescent="0.25">
      <c r="A10676" t="s">
        <v>9265</v>
      </c>
      <c r="B10676" t="s">
        <v>13</v>
      </c>
      <c r="C10676">
        <v>19.690000000000001</v>
      </c>
      <c r="D10676">
        <v>18.489999999999998</v>
      </c>
      <c r="E10676" t="s">
        <v>17</v>
      </c>
      <c r="F10676">
        <v>24.73</v>
      </c>
      <c r="G10676">
        <v>26.18</v>
      </c>
      <c r="H10676" t="s">
        <v>17</v>
      </c>
      <c r="I10676" t="str">
        <f>"064030006666"</f>
        <v>064030006666</v>
      </c>
    </row>
    <row r="10677" spans="1:9" x14ac:dyDescent="0.25">
      <c r="A10677" t="s">
        <v>9266</v>
      </c>
      <c r="B10677" t="s">
        <v>13</v>
      </c>
      <c r="C10677" t="s">
        <v>17</v>
      </c>
      <c r="D10677" t="s">
        <v>17</v>
      </c>
      <c r="E10677" t="s">
        <v>17</v>
      </c>
      <c r="F10677" t="s">
        <v>17</v>
      </c>
      <c r="G10677" t="s">
        <v>17</v>
      </c>
      <c r="H10677" t="s">
        <v>17</v>
      </c>
      <c r="I10677" t="str">
        <f>"060014911544"</f>
        <v>060014911544</v>
      </c>
    </row>
    <row r="10678" spans="1:9" x14ac:dyDescent="0.25">
      <c r="A10678" t="s">
        <v>9267</v>
      </c>
      <c r="B10678" t="s">
        <v>13</v>
      </c>
      <c r="C10678">
        <v>15</v>
      </c>
      <c r="D10678">
        <v>15</v>
      </c>
      <c r="E10678" t="s">
        <v>17</v>
      </c>
      <c r="F10678">
        <v>7.8</v>
      </c>
      <c r="G10678">
        <v>6.73</v>
      </c>
      <c r="H10678" t="s">
        <v>17</v>
      </c>
      <c r="I10678" t="str">
        <f>"069104907243"</f>
        <v>069104907243</v>
      </c>
    </row>
    <row r="10679" spans="1:9" x14ac:dyDescent="0.25">
      <c r="A10679" t="s">
        <v>9268</v>
      </c>
      <c r="B10679" t="s">
        <v>13</v>
      </c>
      <c r="C10679">
        <v>7.4</v>
      </c>
      <c r="D10679">
        <v>6.6</v>
      </c>
      <c r="E10679" t="s">
        <v>17</v>
      </c>
      <c r="F10679">
        <v>15.14</v>
      </c>
      <c r="G10679">
        <v>20.45</v>
      </c>
      <c r="H10679" t="s">
        <v>17</v>
      </c>
      <c r="I10679" t="str">
        <f>"064158006860"</f>
        <v>064158006860</v>
      </c>
    </row>
    <row r="10680" spans="1:9" x14ac:dyDescent="0.25">
      <c r="A10680" t="s">
        <v>9269</v>
      </c>
      <c r="B10680" t="s">
        <v>13</v>
      </c>
      <c r="C10680">
        <v>29.3</v>
      </c>
      <c r="D10680">
        <v>30.3</v>
      </c>
      <c r="E10680" t="s">
        <v>17</v>
      </c>
      <c r="F10680">
        <v>22.29</v>
      </c>
      <c r="G10680">
        <v>21.35</v>
      </c>
      <c r="H10680" t="s">
        <v>17</v>
      </c>
      <c r="I10680" t="str">
        <f>"062720004102"</f>
        <v>062720004102</v>
      </c>
    </row>
    <row r="10681" spans="1:9" x14ac:dyDescent="0.25">
      <c r="A10681" t="s">
        <v>9270</v>
      </c>
      <c r="B10681" t="s">
        <v>13</v>
      </c>
      <c r="C10681">
        <v>65.150000000000006</v>
      </c>
      <c r="D10681">
        <v>62.57</v>
      </c>
      <c r="E10681" t="s">
        <v>17</v>
      </c>
      <c r="F10681">
        <v>27.86</v>
      </c>
      <c r="G10681">
        <v>28.11</v>
      </c>
      <c r="H10681" t="s">
        <v>17</v>
      </c>
      <c r="I10681" t="str">
        <f>"063066012429"</f>
        <v>063066012429</v>
      </c>
    </row>
    <row r="10682" spans="1:9" x14ac:dyDescent="0.25">
      <c r="A10682" t="s">
        <v>9271</v>
      </c>
      <c r="B10682" t="s">
        <v>13</v>
      </c>
      <c r="C10682">
        <v>34.869999999999997</v>
      </c>
      <c r="D10682">
        <v>34.49</v>
      </c>
      <c r="E10682" t="s">
        <v>17</v>
      </c>
      <c r="F10682">
        <v>25.98</v>
      </c>
      <c r="G10682">
        <v>26.88</v>
      </c>
      <c r="H10682" t="s">
        <v>17</v>
      </c>
      <c r="I10682" t="str">
        <f>"063066009615"</f>
        <v>063066009615</v>
      </c>
    </row>
    <row r="10683" spans="1:9" x14ac:dyDescent="0.25">
      <c r="A10683" t="s">
        <v>9272</v>
      </c>
      <c r="B10683" t="s">
        <v>13</v>
      </c>
      <c r="C10683">
        <v>26.4</v>
      </c>
      <c r="D10683">
        <v>25.4</v>
      </c>
      <c r="E10683" t="s">
        <v>17</v>
      </c>
      <c r="F10683">
        <v>25.23</v>
      </c>
      <c r="G10683">
        <v>25</v>
      </c>
      <c r="H10683" t="s">
        <v>17</v>
      </c>
      <c r="I10683" t="str">
        <f>"062865004459"</f>
        <v>062865004459</v>
      </c>
    </row>
    <row r="10684" spans="1:9" x14ac:dyDescent="0.25">
      <c r="A10684" t="s">
        <v>9273</v>
      </c>
      <c r="B10684" t="s">
        <v>13</v>
      </c>
      <c r="C10684">
        <v>25</v>
      </c>
      <c r="D10684">
        <v>28</v>
      </c>
      <c r="E10684" t="s">
        <v>17</v>
      </c>
      <c r="F10684">
        <v>24.4</v>
      </c>
      <c r="G10684">
        <v>24.29</v>
      </c>
      <c r="H10684" t="s">
        <v>17</v>
      </c>
      <c r="I10684" t="str">
        <f>"063375005216"</f>
        <v>063375005216</v>
      </c>
    </row>
    <row r="10685" spans="1:9" x14ac:dyDescent="0.25">
      <c r="A10685" t="s">
        <v>9274</v>
      </c>
      <c r="B10685" t="s">
        <v>13</v>
      </c>
      <c r="C10685">
        <v>21.65</v>
      </c>
      <c r="D10685">
        <v>26.5</v>
      </c>
      <c r="E10685" t="s">
        <v>17</v>
      </c>
      <c r="F10685">
        <v>26.65</v>
      </c>
      <c r="G10685">
        <v>22.49</v>
      </c>
      <c r="H10685" t="s">
        <v>17</v>
      </c>
      <c r="I10685" t="str">
        <f>"061668002099"</f>
        <v>061668002099</v>
      </c>
    </row>
    <row r="10686" spans="1:9" x14ac:dyDescent="0.25">
      <c r="A10686" t="s">
        <v>9275</v>
      </c>
      <c r="B10686" t="s">
        <v>13</v>
      </c>
      <c r="C10686">
        <v>16</v>
      </c>
      <c r="D10686">
        <v>20</v>
      </c>
      <c r="E10686" t="s">
        <v>17</v>
      </c>
      <c r="F10686">
        <v>21.94</v>
      </c>
      <c r="G10686">
        <v>19.55</v>
      </c>
      <c r="H10686" t="s">
        <v>17</v>
      </c>
      <c r="I10686" t="str">
        <f>"062271003476"</f>
        <v>062271003476</v>
      </c>
    </row>
    <row r="10687" spans="1:9" x14ac:dyDescent="0.25">
      <c r="A10687" t="s">
        <v>9276</v>
      </c>
      <c r="B10687" t="s">
        <v>13</v>
      </c>
      <c r="C10687">
        <v>1.32</v>
      </c>
      <c r="D10687">
        <v>2.0699999999999998</v>
      </c>
      <c r="E10687" t="s">
        <v>17</v>
      </c>
      <c r="F10687">
        <v>9.09</v>
      </c>
      <c r="G10687">
        <v>8.6999999999999993</v>
      </c>
      <c r="H10687" t="s">
        <v>17</v>
      </c>
      <c r="I10687" t="str">
        <f>"060016012074"</f>
        <v>060016012074</v>
      </c>
    </row>
    <row r="10688" spans="1:9" x14ac:dyDescent="0.25">
      <c r="A10688" t="s">
        <v>9277</v>
      </c>
      <c r="B10688" t="s">
        <v>13</v>
      </c>
      <c r="C10688">
        <v>29.32</v>
      </c>
      <c r="D10688">
        <v>30.64</v>
      </c>
      <c r="E10688" t="s">
        <v>17</v>
      </c>
      <c r="F10688">
        <v>23.33</v>
      </c>
      <c r="G10688">
        <v>25.62</v>
      </c>
      <c r="H10688" t="s">
        <v>17</v>
      </c>
      <c r="I10688" t="str">
        <f>"060016007023"</f>
        <v>060016007023</v>
      </c>
    </row>
    <row r="10689" spans="1:9" x14ac:dyDescent="0.25">
      <c r="A10689" t="s">
        <v>9278</v>
      </c>
      <c r="B10689" t="s">
        <v>13</v>
      </c>
      <c r="C10689">
        <v>22.3</v>
      </c>
      <c r="D10689">
        <v>20.9</v>
      </c>
      <c r="E10689" t="s">
        <v>17</v>
      </c>
      <c r="F10689">
        <v>15.16</v>
      </c>
      <c r="G10689">
        <v>16.22</v>
      </c>
      <c r="H10689" t="s">
        <v>17</v>
      </c>
      <c r="I10689" t="str">
        <f>"062466003703"</f>
        <v>062466003703</v>
      </c>
    </row>
    <row r="10690" spans="1:9" x14ac:dyDescent="0.25">
      <c r="A10690" t="s">
        <v>9279</v>
      </c>
      <c r="B10690" t="s">
        <v>13</v>
      </c>
      <c r="C10690">
        <v>31</v>
      </c>
      <c r="D10690">
        <v>31.01</v>
      </c>
      <c r="E10690" t="s">
        <v>17</v>
      </c>
      <c r="F10690">
        <v>20.190000000000001</v>
      </c>
      <c r="G10690">
        <v>19.350000000000001</v>
      </c>
      <c r="H10690" t="s">
        <v>17</v>
      </c>
      <c r="I10690" t="str">
        <f>"061455001783"</f>
        <v>061455001783</v>
      </c>
    </row>
    <row r="10691" spans="1:9" x14ac:dyDescent="0.25">
      <c r="A10691" t="s">
        <v>9280</v>
      </c>
      <c r="B10691" t="s">
        <v>13</v>
      </c>
      <c r="C10691">
        <v>3.95</v>
      </c>
      <c r="D10691">
        <v>3.85</v>
      </c>
      <c r="E10691" t="s">
        <v>17</v>
      </c>
      <c r="F10691">
        <v>19.489999999999998</v>
      </c>
      <c r="G10691">
        <v>16.88</v>
      </c>
      <c r="H10691" t="s">
        <v>17</v>
      </c>
      <c r="I10691" t="str">
        <f>"062394003600"</f>
        <v>062394003600</v>
      </c>
    </row>
    <row r="10692" spans="1:9" x14ac:dyDescent="0.25">
      <c r="A10692" t="s">
        <v>9281</v>
      </c>
      <c r="B10692" t="s">
        <v>13</v>
      </c>
      <c r="C10692">
        <v>1.8</v>
      </c>
      <c r="D10692">
        <v>2.75</v>
      </c>
      <c r="E10692" t="s">
        <v>17</v>
      </c>
      <c r="F10692">
        <v>16.11</v>
      </c>
      <c r="G10692">
        <v>12.73</v>
      </c>
      <c r="H10692" t="s">
        <v>17</v>
      </c>
      <c r="I10692" t="str">
        <f>"062394003608"</f>
        <v>062394003608</v>
      </c>
    </row>
    <row r="10693" spans="1:9" x14ac:dyDescent="0.25">
      <c r="A10693" t="s">
        <v>9282</v>
      </c>
      <c r="B10693" t="s">
        <v>13</v>
      </c>
      <c r="C10693">
        <v>1.9</v>
      </c>
      <c r="D10693">
        <v>2</v>
      </c>
      <c r="E10693" t="s">
        <v>17</v>
      </c>
      <c r="F10693">
        <v>2.63</v>
      </c>
      <c r="G10693">
        <v>1</v>
      </c>
      <c r="H10693" t="s">
        <v>17</v>
      </c>
      <c r="I10693" t="str">
        <f>"062394009577"</f>
        <v>062394009577</v>
      </c>
    </row>
    <row r="10694" spans="1:9" x14ac:dyDescent="0.25">
      <c r="A10694" t="s">
        <v>9283</v>
      </c>
      <c r="B10694" t="s">
        <v>13</v>
      </c>
      <c r="C10694" t="s">
        <v>17</v>
      </c>
      <c r="D10694" t="s">
        <v>17</v>
      </c>
      <c r="E10694" t="s">
        <v>17</v>
      </c>
      <c r="F10694" t="s">
        <v>17</v>
      </c>
      <c r="G10694" t="s">
        <v>17</v>
      </c>
      <c r="H10694" t="s">
        <v>17</v>
      </c>
      <c r="I10694" t="str">
        <f>"060014411499"</f>
        <v>060014411499</v>
      </c>
    </row>
    <row r="10695" spans="1:9" x14ac:dyDescent="0.25">
      <c r="A10695" t="s">
        <v>9284</v>
      </c>
      <c r="B10695" t="s">
        <v>13</v>
      </c>
      <c r="C10695" t="s">
        <v>17</v>
      </c>
      <c r="D10695" t="str">
        <f>"0.01"</f>
        <v>0.01</v>
      </c>
      <c r="E10695" t="s">
        <v>17</v>
      </c>
      <c r="F10695" t="s">
        <v>17</v>
      </c>
      <c r="G10695" t="s">
        <v>17</v>
      </c>
      <c r="H10695" t="s">
        <v>17</v>
      </c>
      <c r="I10695" t="str">
        <f>"062805012611"</f>
        <v>062805012611</v>
      </c>
    </row>
    <row r="10696" spans="1:9" x14ac:dyDescent="0.25">
      <c r="A10696" t="s">
        <v>9284</v>
      </c>
      <c r="B10696" t="s">
        <v>13</v>
      </c>
      <c r="C10696">
        <v>2</v>
      </c>
      <c r="D10696" t="s">
        <v>14</v>
      </c>
      <c r="E10696" t="s">
        <v>14</v>
      </c>
      <c r="F10696" t="str">
        <f>"0.00"</f>
        <v>0.00</v>
      </c>
      <c r="G10696" t="s">
        <v>14</v>
      </c>
      <c r="H10696" t="s">
        <v>14</v>
      </c>
      <c r="I10696" t="str">
        <f>"061440013083"</f>
        <v>061440013083</v>
      </c>
    </row>
    <row r="10697" spans="1:9" x14ac:dyDescent="0.25">
      <c r="A10697" t="s">
        <v>9285</v>
      </c>
      <c r="B10697" t="s">
        <v>13</v>
      </c>
      <c r="C10697">
        <v>31</v>
      </c>
      <c r="D10697">
        <v>37.01</v>
      </c>
      <c r="E10697" t="s">
        <v>17</v>
      </c>
      <c r="F10697">
        <v>28.55</v>
      </c>
      <c r="G10697">
        <v>23.8</v>
      </c>
      <c r="H10697" t="s">
        <v>17</v>
      </c>
      <c r="I10697" t="str">
        <f>"062271012440"</f>
        <v>062271012440</v>
      </c>
    </row>
    <row r="10698" spans="1:9" x14ac:dyDescent="0.25">
      <c r="A10698" t="s">
        <v>9286</v>
      </c>
      <c r="B10698" t="s">
        <v>13</v>
      </c>
      <c r="C10698">
        <v>5.6</v>
      </c>
      <c r="D10698">
        <v>5.6</v>
      </c>
      <c r="E10698" t="s">
        <v>17</v>
      </c>
      <c r="F10698">
        <v>25.71</v>
      </c>
      <c r="G10698">
        <v>27.68</v>
      </c>
      <c r="H10698" t="s">
        <v>17</v>
      </c>
      <c r="I10698" t="str">
        <f>"062664004041"</f>
        <v>062664004041</v>
      </c>
    </row>
    <row r="10699" spans="1:9" x14ac:dyDescent="0.25">
      <c r="A10699" t="s">
        <v>9287</v>
      </c>
      <c r="B10699" t="s">
        <v>13</v>
      </c>
      <c r="C10699">
        <v>16.5</v>
      </c>
      <c r="D10699">
        <v>16.87</v>
      </c>
      <c r="E10699" t="s">
        <v>17</v>
      </c>
      <c r="F10699">
        <v>18.36</v>
      </c>
      <c r="G10699">
        <v>18.91</v>
      </c>
      <c r="H10699" t="s">
        <v>17</v>
      </c>
      <c r="I10699" t="str">
        <f>"062271002128"</f>
        <v>062271002128</v>
      </c>
    </row>
    <row r="10700" spans="1:9" x14ac:dyDescent="0.25">
      <c r="A10700" t="s">
        <v>9288</v>
      </c>
      <c r="B10700" t="s">
        <v>13</v>
      </c>
      <c r="C10700">
        <v>36.619999999999997</v>
      </c>
      <c r="D10700">
        <v>23.6</v>
      </c>
      <c r="E10700" t="s">
        <v>17</v>
      </c>
      <c r="F10700">
        <v>22.61</v>
      </c>
      <c r="G10700">
        <v>29.58</v>
      </c>
      <c r="H10700" t="s">
        <v>17</v>
      </c>
      <c r="I10700" t="str">
        <f>"069101112197"</f>
        <v>069101112197</v>
      </c>
    </row>
    <row r="10701" spans="1:9" x14ac:dyDescent="0.25">
      <c r="A10701" t="s">
        <v>9289</v>
      </c>
      <c r="B10701" t="s">
        <v>13</v>
      </c>
      <c r="C10701">
        <v>25.7</v>
      </c>
      <c r="D10701">
        <v>21</v>
      </c>
      <c r="E10701" t="s">
        <v>17</v>
      </c>
      <c r="F10701">
        <v>30.89</v>
      </c>
      <c r="G10701">
        <v>34.479999999999997</v>
      </c>
      <c r="H10701" t="s">
        <v>17</v>
      </c>
      <c r="I10701" t="str">
        <f>"069101112555"</f>
        <v>069101112555</v>
      </c>
    </row>
    <row r="10702" spans="1:9" x14ac:dyDescent="0.25">
      <c r="A10702" t="s">
        <v>9290</v>
      </c>
      <c r="B10702" t="s">
        <v>13</v>
      </c>
      <c r="C10702">
        <v>1</v>
      </c>
      <c r="D10702">
        <v>1</v>
      </c>
      <c r="E10702" t="s">
        <v>17</v>
      </c>
      <c r="F10702">
        <v>7</v>
      </c>
      <c r="G10702">
        <v>6</v>
      </c>
      <c r="H10702" t="s">
        <v>17</v>
      </c>
      <c r="I10702" t="str">
        <f>"064338010427"</f>
        <v>064338010427</v>
      </c>
    </row>
    <row r="10703" spans="1:9" x14ac:dyDescent="0.25">
      <c r="A10703" t="s">
        <v>9291</v>
      </c>
      <c r="B10703" t="s">
        <v>13</v>
      </c>
      <c r="C10703">
        <v>32.700000000000003</v>
      </c>
      <c r="D10703">
        <v>34.54</v>
      </c>
      <c r="E10703" t="s">
        <v>17</v>
      </c>
      <c r="F10703">
        <v>21.16</v>
      </c>
      <c r="G10703">
        <v>19.63</v>
      </c>
      <c r="H10703" t="s">
        <v>17</v>
      </c>
      <c r="I10703" t="str">
        <f>"064341007027"</f>
        <v>064341007027</v>
      </c>
    </row>
    <row r="10704" spans="1:9" x14ac:dyDescent="0.25">
      <c r="A10704" t="s">
        <v>9292</v>
      </c>
      <c r="B10704" t="s">
        <v>13</v>
      </c>
      <c r="C10704">
        <v>1.2</v>
      </c>
      <c r="D10704">
        <v>1.2</v>
      </c>
      <c r="E10704" t="s">
        <v>17</v>
      </c>
      <c r="F10704">
        <v>4.17</v>
      </c>
      <c r="G10704">
        <v>5.83</v>
      </c>
      <c r="H10704" t="s">
        <v>17</v>
      </c>
      <c r="I10704" t="str">
        <f>"064341007452"</f>
        <v>064341007452</v>
      </c>
    </row>
    <row r="10705" spans="1:9" x14ac:dyDescent="0.25">
      <c r="A10705" t="s">
        <v>9293</v>
      </c>
      <c r="B10705" t="s">
        <v>13</v>
      </c>
      <c r="C10705">
        <v>32</v>
      </c>
      <c r="D10705">
        <v>36</v>
      </c>
      <c r="E10705" t="s">
        <v>17</v>
      </c>
      <c r="F10705">
        <v>28.5</v>
      </c>
      <c r="G10705">
        <v>24.08</v>
      </c>
      <c r="H10705" t="s">
        <v>17</v>
      </c>
      <c r="I10705" t="str">
        <f>"060002810353"</f>
        <v>060002810353</v>
      </c>
    </row>
    <row r="10706" spans="1:9" x14ac:dyDescent="0.25">
      <c r="A10706" t="s">
        <v>9294</v>
      </c>
      <c r="B10706" t="s">
        <v>13</v>
      </c>
      <c r="C10706">
        <v>51.4</v>
      </c>
      <c r="D10706">
        <v>51.4</v>
      </c>
      <c r="E10706" t="s">
        <v>17</v>
      </c>
      <c r="F10706">
        <v>25.56</v>
      </c>
      <c r="G10706">
        <v>26.48</v>
      </c>
      <c r="H10706" t="s">
        <v>17</v>
      </c>
      <c r="I10706" t="str">
        <f>"060243010578"</f>
        <v>060243010578</v>
      </c>
    </row>
    <row r="10707" spans="1:9" x14ac:dyDescent="0.25">
      <c r="A10707" t="s">
        <v>9295</v>
      </c>
      <c r="B10707" t="s">
        <v>13</v>
      </c>
      <c r="C10707">
        <v>25</v>
      </c>
      <c r="D10707">
        <v>24</v>
      </c>
      <c r="E10707" t="s">
        <v>17</v>
      </c>
      <c r="F10707">
        <v>22.96</v>
      </c>
      <c r="G10707">
        <v>23.25</v>
      </c>
      <c r="H10707" t="s">
        <v>17</v>
      </c>
      <c r="I10707" t="str">
        <f>"063441005360"</f>
        <v>063441005360</v>
      </c>
    </row>
    <row r="10708" spans="1:9" x14ac:dyDescent="0.25">
      <c r="A10708" t="s">
        <v>9296</v>
      </c>
      <c r="B10708" t="s">
        <v>13</v>
      </c>
      <c r="C10708">
        <v>8</v>
      </c>
      <c r="D10708">
        <v>4</v>
      </c>
      <c r="E10708" t="s">
        <v>14</v>
      </c>
      <c r="F10708">
        <v>19.88</v>
      </c>
      <c r="G10708">
        <v>26.25</v>
      </c>
      <c r="H10708" t="s">
        <v>14</v>
      </c>
      <c r="I10708" t="str">
        <f>"069105112901"</f>
        <v>069105112901</v>
      </c>
    </row>
    <row r="10709" spans="1:9" x14ac:dyDescent="0.25">
      <c r="A10709" t="s">
        <v>9297</v>
      </c>
      <c r="B10709" t="s">
        <v>13</v>
      </c>
      <c r="C10709">
        <v>9.6</v>
      </c>
      <c r="D10709">
        <v>8.34</v>
      </c>
      <c r="E10709" t="s">
        <v>17</v>
      </c>
      <c r="F10709">
        <v>16.46</v>
      </c>
      <c r="G10709">
        <v>19.3</v>
      </c>
      <c r="H10709" t="s">
        <v>17</v>
      </c>
      <c r="I10709" t="str">
        <f>"064347008658"</f>
        <v>064347008658</v>
      </c>
    </row>
    <row r="10710" spans="1:9" x14ac:dyDescent="0.25">
      <c r="A10710" t="s">
        <v>9298</v>
      </c>
      <c r="B10710" t="s">
        <v>13</v>
      </c>
      <c r="C10710">
        <v>84.8</v>
      </c>
      <c r="D10710">
        <v>81.3</v>
      </c>
      <c r="E10710" t="s">
        <v>17</v>
      </c>
      <c r="F10710">
        <v>20.440000000000001</v>
      </c>
      <c r="G10710">
        <v>21.75</v>
      </c>
      <c r="H10710" t="s">
        <v>17</v>
      </c>
      <c r="I10710" t="str">
        <f>"064347007041"</f>
        <v>064347007041</v>
      </c>
    </row>
    <row r="10711" spans="1:9" x14ac:dyDescent="0.25">
      <c r="A10711" t="s">
        <v>9299</v>
      </c>
      <c r="B10711" t="s">
        <v>13</v>
      </c>
      <c r="C10711">
        <v>4.5999999999999996</v>
      </c>
      <c r="D10711">
        <v>4.0999999999999996</v>
      </c>
      <c r="E10711" t="s">
        <v>17</v>
      </c>
      <c r="F10711">
        <v>21.3</v>
      </c>
      <c r="G10711">
        <v>22.44</v>
      </c>
      <c r="H10711" t="s">
        <v>17</v>
      </c>
      <c r="I10711" t="str">
        <f>"064347010154"</f>
        <v>064347010154</v>
      </c>
    </row>
    <row r="10712" spans="1:9" x14ac:dyDescent="0.25">
      <c r="A10712" t="s">
        <v>9300</v>
      </c>
      <c r="B10712" t="s">
        <v>13</v>
      </c>
      <c r="C10712">
        <v>27.01</v>
      </c>
      <c r="D10712">
        <v>30</v>
      </c>
      <c r="E10712" t="s">
        <v>17</v>
      </c>
      <c r="F10712">
        <v>11.07</v>
      </c>
      <c r="G10712">
        <v>12.03</v>
      </c>
      <c r="H10712" t="s">
        <v>17</v>
      </c>
      <c r="I10712" t="str">
        <f>"069104805572"</f>
        <v>069104805572</v>
      </c>
    </row>
    <row r="10713" spans="1:9" x14ac:dyDescent="0.25">
      <c r="A10713" t="s">
        <v>9301</v>
      </c>
      <c r="B10713" t="s">
        <v>13</v>
      </c>
      <c r="C10713">
        <v>3</v>
      </c>
      <c r="D10713">
        <v>1.8</v>
      </c>
      <c r="E10713" t="s">
        <v>17</v>
      </c>
      <c r="F10713">
        <v>16</v>
      </c>
      <c r="G10713">
        <v>17.22</v>
      </c>
      <c r="H10713" t="s">
        <v>17</v>
      </c>
      <c r="I10713" t="str">
        <f>"069104809261"</f>
        <v>069104809261</v>
      </c>
    </row>
    <row r="10714" spans="1:9" x14ac:dyDescent="0.25">
      <c r="A10714" t="s">
        <v>9302</v>
      </c>
      <c r="B10714" t="s">
        <v>13</v>
      </c>
      <c r="C10714">
        <v>2</v>
      </c>
      <c r="D10714">
        <v>2</v>
      </c>
      <c r="E10714" t="s">
        <v>17</v>
      </c>
      <c r="F10714">
        <v>4</v>
      </c>
      <c r="G10714">
        <v>4</v>
      </c>
      <c r="H10714" t="s">
        <v>17</v>
      </c>
      <c r="I10714" t="str">
        <f>"069104807478"</f>
        <v>069104807478</v>
      </c>
    </row>
    <row r="10715" spans="1:9" x14ac:dyDescent="0.25">
      <c r="A10715" t="s">
        <v>9303</v>
      </c>
      <c r="B10715" t="s">
        <v>13</v>
      </c>
      <c r="C10715">
        <v>20</v>
      </c>
      <c r="D10715">
        <v>19</v>
      </c>
      <c r="E10715" t="s">
        <v>17</v>
      </c>
      <c r="F10715">
        <v>7.55</v>
      </c>
      <c r="G10715">
        <v>7.95</v>
      </c>
      <c r="H10715" t="s">
        <v>17</v>
      </c>
      <c r="I10715" t="str">
        <f>"069104809262"</f>
        <v>069104809262</v>
      </c>
    </row>
    <row r="10716" spans="1:9" x14ac:dyDescent="0.25">
      <c r="A10716" t="s">
        <v>9304</v>
      </c>
      <c r="B10716" t="s">
        <v>13</v>
      </c>
      <c r="C10716" t="s">
        <v>17</v>
      </c>
      <c r="D10716">
        <v>4.2</v>
      </c>
      <c r="E10716" t="s">
        <v>17</v>
      </c>
      <c r="F10716" t="s">
        <v>17</v>
      </c>
      <c r="G10716">
        <v>19.760000000000002</v>
      </c>
      <c r="H10716" t="s">
        <v>17</v>
      </c>
      <c r="I10716" t="str">
        <f>"062409012258"</f>
        <v>062409012258</v>
      </c>
    </row>
    <row r="10717" spans="1:9" x14ac:dyDescent="0.25">
      <c r="A10717" t="s">
        <v>9305</v>
      </c>
      <c r="B10717" t="s">
        <v>13</v>
      </c>
      <c r="C10717">
        <v>7</v>
      </c>
      <c r="D10717">
        <v>7</v>
      </c>
      <c r="E10717" t="s">
        <v>17</v>
      </c>
      <c r="F10717">
        <v>17</v>
      </c>
      <c r="G10717">
        <v>18.43</v>
      </c>
      <c r="H10717" t="s">
        <v>17</v>
      </c>
      <c r="I10717" t="str">
        <f>"062409003638"</f>
        <v>062409003638</v>
      </c>
    </row>
    <row r="10718" spans="1:9" x14ac:dyDescent="0.25">
      <c r="A10718" t="s">
        <v>9306</v>
      </c>
      <c r="B10718" t="s">
        <v>13</v>
      </c>
      <c r="C10718">
        <v>31.11</v>
      </c>
      <c r="D10718">
        <v>30.9</v>
      </c>
      <c r="E10718" t="s">
        <v>17</v>
      </c>
      <c r="F10718">
        <v>22.08</v>
      </c>
      <c r="G10718">
        <v>23.88</v>
      </c>
      <c r="H10718" t="s">
        <v>17</v>
      </c>
      <c r="I10718" t="str">
        <f>"062409003639"</f>
        <v>062409003639</v>
      </c>
    </row>
    <row r="10719" spans="1:9" x14ac:dyDescent="0.25">
      <c r="A10719" t="s">
        <v>9307</v>
      </c>
      <c r="B10719" t="s">
        <v>13</v>
      </c>
      <c r="C10719">
        <v>12.38</v>
      </c>
      <c r="D10719">
        <v>11.75</v>
      </c>
      <c r="E10719" t="s">
        <v>17</v>
      </c>
      <c r="F10719">
        <v>25.2</v>
      </c>
      <c r="G10719">
        <v>24.94</v>
      </c>
      <c r="H10719" t="s">
        <v>17</v>
      </c>
      <c r="I10719" t="str">
        <f>"069102311992"</f>
        <v>069102311992</v>
      </c>
    </row>
    <row r="10720" spans="1:9" x14ac:dyDescent="0.25">
      <c r="A10720" t="s">
        <v>9308</v>
      </c>
      <c r="B10720" t="s">
        <v>13</v>
      </c>
      <c r="C10720" t="s">
        <v>17</v>
      </c>
      <c r="D10720" t="s">
        <v>17</v>
      </c>
      <c r="E10720" t="s">
        <v>14</v>
      </c>
      <c r="F10720" t="s">
        <v>17</v>
      </c>
      <c r="G10720" t="s">
        <v>17</v>
      </c>
      <c r="H10720" t="s">
        <v>14</v>
      </c>
      <c r="I10720" t="str">
        <f>"064356012831"</f>
        <v>064356012831</v>
      </c>
    </row>
    <row r="10721" spans="1:9" x14ac:dyDescent="0.25">
      <c r="A10721" t="s">
        <v>9309</v>
      </c>
      <c r="B10721" t="s">
        <v>13</v>
      </c>
      <c r="C10721" t="s">
        <v>14</v>
      </c>
      <c r="D10721" t="s">
        <v>14</v>
      </c>
      <c r="E10721" t="s">
        <v>17</v>
      </c>
      <c r="F10721" t="s">
        <v>14</v>
      </c>
      <c r="G10721" t="s">
        <v>14</v>
      </c>
      <c r="H10721" t="s">
        <v>17</v>
      </c>
      <c r="I10721" t="str">
        <f>"064356007047"</f>
        <v>064356007047</v>
      </c>
    </row>
    <row r="10722" spans="1:9" x14ac:dyDescent="0.25">
      <c r="A10722" t="s">
        <v>9310</v>
      </c>
      <c r="B10722" t="s">
        <v>13</v>
      </c>
      <c r="C10722">
        <v>107.79</v>
      </c>
      <c r="D10722">
        <v>114.66</v>
      </c>
      <c r="E10722" t="s">
        <v>17</v>
      </c>
      <c r="F10722">
        <v>24.95</v>
      </c>
      <c r="G10722">
        <v>24.72</v>
      </c>
      <c r="H10722" t="s">
        <v>17</v>
      </c>
      <c r="I10722" t="str">
        <f>"064356007048"</f>
        <v>064356007048</v>
      </c>
    </row>
    <row r="10723" spans="1:9" x14ac:dyDescent="0.25">
      <c r="A10723" t="s">
        <v>9311</v>
      </c>
      <c r="B10723" t="s">
        <v>13</v>
      </c>
      <c r="C10723">
        <v>32.049999999999997</v>
      </c>
      <c r="D10723">
        <v>34.04</v>
      </c>
      <c r="E10723" t="s">
        <v>17</v>
      </c>
      <c r="F10723">
        <v>27.64</v>
      </c>
      <c r="G10723">
        <v>27.35</v>
      </c>
      <c r="H10723" t="s">
        <v>17</v>
      </c>
      <c r="I10723" t="str">
        <f>"062958004578"</f>
        <v>062958004578</v>
      </c>
    </row>
    <row r="10724" spans="1:9" x14ac:dyDescent="0.25">
      <c r="A10724" t="s">
        <v>9312</v>
      </c>
      <c r="B10724" t="s">
        <v>13</v>
      </c>
      <c r="C10724">
        <v>27</v>
      </c>
      <c r="D10724">
        <v>25</v>
      </c>
      <c r="E10724" t="s">
        <v>17</v>
      </c>
      <c r="F10724">
        <v>25.52</v>
      </c>
      <c r="G10724">
        <v>26.08</v>
      </c>
      <c r="H10724" t="s">
        <v>17</v>
      </c>
      <c r="I10724" t="str">
        <f>"060001709102"</f>
        <v>060001709102</v>
      </c>
    </row>
    <row r="10725" spans="1:9" x14ac:dyDescent="0.25">
      <c r="A10725" t="s">
        <v>9313</v>
      </c>
      <c r="B10725" t="s">
        <v>13</v>
      </c>
      <c r="C10725">
        <v>18.649999999999999</v>
      </c>
      <c r="D10725">
        <v>23.88</v>
      </c>
      <c r="E10725" t="s">
        <v>17</v>
      </c>
      <c r="F10725">
        <v>23.06</v>
      </c>
      <c r="G10725">
        <v>19.68</v>
      </c>
      <c r="H10725" t="s">
        <v>17</v>
      </c>
      <c r="I10725" t="str">
        <f>"062586008912"</f>
        <v>062586008912</v>
      </c>
    </row>
    <row r="10726" spans="1:9" x14ac:dyDescent="0.25">
      <c r="A10726" t="s">
        <v>9314</v>
      </c>
      <c r="B10726" t="s">
        <v>13</v>
      </c>
      <c r="C10726">
        <v>22.75</v>
      </c>
      <c r="D10726">
        <v>23.73</v>
      </c>
      <c r="E10726" t="s">
        <v>17</v>
      </c>
      <c r="F10726">
        <v>25.8</v>
      </c>
      <c r="G10726">
        <v>23.3</v>
      </c>
      <c r="H10726" t="s">
        <v>17</v>
      </c>
      <c r="I10726" t="str">
        <f>"062586003894"</f>
        <v>062586003894</v>
      </c>
    </row>
    <row r="10727" spans="1:9" x14ac:dyDescent="0.25">
      <c r="A10727" t="s">
        <v>9315</v>
      </c>
      <c r="B10727" t="s">
        <v>13</v>
      </c>
      <c r="C10727">
        <v>60.16</v>
      </c>
      <c r="D10727">
        <v>58.69</v>
      </c>
      <c r="E10727" t="s">
        <v>17</v>
      </c>
      <c r="F10727">
        <v>23.27</v>
      </c>
      <c r="G10727">
        <v>24.96</v>
      </c>
      <c r="H10727" t="s">
        <v>17</v>
      </c>
      <c r="I10727" t="str">
        <f>"062586003895"</f>
        <v>062586003895</v>
      </c>
    </row>
    <row r="10728" spans="1:9" x14ac:dyDescent="0.25">
      <c r="A10728" t="s">
        <v>9316</v>
      </c>
      <c r="B10728" t="s">
        <v>13</v>
      </c>
      <c r="C10728">
        <v>16.440000000000001</v>
      </c>
      <c r="D10728">
        <v>16.010000000000002</v>
      </c>
      <c r="E10728" t="s">
        <v>17</v>
      </c>
      <c r="F10728">
        <v>21.96</v>
      </c>
      <c r="G10728">
        <v>20.8</v>
      </c>
      <c r="H10728" t="s">
        <v>17</v>
      </c>
      <c r="I10728" t="str">
        <f>"063942006582"</f>
        <v>063942006582</v>
      </c>
    </row>
    <row r="10729" spans="1:9" x14ac:dyDescent="0.25">
      <c r="A10729" t="s">
        <v>9317</v>
      </c>
      <c r="B10729" t="s">
        <v>13</v>
      </c>
      <c r="C10729">
        <v>29</v>
      </c>
      <c r="D10729">
        <v>28</v>
      </c>
      <c r="E10729" t="s">
        <v>17</v>
      </c>
      <c r="F10729">
        <v>20.72</v>
      </c>
      <c r="G10729">
        <v>21.89</v>
      </c>
      <c r="H10729" t="s">
        <v>17</v>
      </c>
      <c r="I10729" t="str">
        <f>"060465000430"</f>
        <v>060465000430</v>
      </c>
    </row>
    <row r="10730" spans="1:9" x14ac:dyDescent="0.25">
      <c r="A10730" t="s">
        <v>9318</v>
      </c>
      <c r="B10730" t="s">
        <v>13</v>
      </c>
      <c r="C10730">
        <v>6</v>
      </c>
      <c r="D10730">
        <v>7</v>
      </c>
      <c r="E10730" t="s">
        <v>17</v>
      </c>
      <c r="F10730">
        <v>2.17</v>
      </c>
      <c r="G10730">
        <v>1.1399999999999999</v>
      </c>
      <c r="H10730" t="s">
        <v>17</v>
      </c>
      <c r="I10730" t="str">
        <f>"063417007346"</f>
        <v>063417007346</v>
      </c>
    </row>
    <row r="10731" spans="1:9" x14ac:dyDescent="0.25">
      <c r="A10731" t="s">
        <v>9319</v>
      </c>
      <c r="B10731" t="s">
        <v>13</v>
      </c>
      <c r="C10731">
        <v>23.04</v>
      </c>
      <c r="D10731">
        <v>22.1</v>
      </c>
      <c r="E10731" t="s">
        <v>17</v>
      </c>
      <c r="F10731">
        <v>24.96</v>
      </c>
      <c r="G10731">
        <v>25.43</v>
      </c>
      <c r="H10731" t="s">
        <v>17</v>
      </c>
      <c r="I10731" t="str">
        <f>"064308007012"</f>
        <v>064308007012</v>
      </c>
    </row>
    <row r="10732" spans="1:9" x14ac:dyDescent="0.25">
      <c r="A10732" t="s">
        <v>9320</v>
      </c>
      <c r="B10732" t="s">
        <v>13</v>
      </c>
      <c r="C10732">
        <v>60.6</v>
      </c>
      <c r="D10732">
        <v>63</v>
      </c>
      <c r="E10732" t="s">
        <v>17</v>
      </c>
      <c r="F10732">
        <v>21.22</v>
      </c>
      <c r="G10732">
        <v>21.25</v>
      </c>
      <c r="H10732" t="s">
        <v>17</v>
      </c>
      <c r="I10732" t="str">
        <f>"063432008965"</f>
        <v>063432008965</v>
      </c>
    </row>
    <row r="10733" spans="1:9" x14ac:dyDescent="0.25">
      <c r="A10733" t="s">
        <v>9321</v>
      </c>
      <c r="B10733" t="s">
        <v>13</v>
      </c>
      <c r="C10733">
        <v>8.5</v>
      </c>
      <c r="D10733">
        <v>8.02</v>
      </c>
      <c r="E10733" t="s">
        <v>17</v>
      </c>
      <c r="F10733">
        <v>25.65</v>
      </c>
      <c r="G10733">
        <v>20.7</v>
      </c>
      <c r="H10733" t="s">
        <v>17</v>
      </c>
      <c r="I10733" t="str">
        <f>"062271003055"</f>
        <v>062271003055</v>
      </c>
    </row>
    <row r="10734" spans="1:9" x14ac:dyDescent="0.25">
      <c r="A10734" t="s">
        <v>9322</v>
      </c>
      <c r="B10734" t="s">
        <v>13</v>
      </c>
      <c r="C10734">
        <v>45</v>
      </c>
      <c r="D10734">
        <v>49</v>
      </c>
      <c r="E10734" t="s">
        <v>17</v>
      </c>
      <c r="F10734">
        <v>28.67</v>
      </c>
      <c r="G10734">
        <v>24.1</v>
      </c>
      <c r="H10734" t="s">
        <v>17</v>
      </c>
      <c r="I10734" t="str">
        <f>"061668002101"</f>
        <v>061668002101</v>
      </c>
    </row>
    <row r="10735" spans="1:9" x14ac:dyDescent="0.25">
      <c r="A10735" t="s">
        <v>9323</v>
      </c>
      <c r="B10735" t="s">
        <v>13</v>
      </c>
      <c r="C10735">
        <v>5.6</v>
      </c>
      <c r="D10735">
        <v>5.6</v>
      </c>
      <c r="E10735" t="s">
        <v>17</v>
      </c>
      <c r="F10735">
        <v>14.11</v>
      </c>
      <c r="G10735">
        <v>14.82</v>
      </c>
      <c r="H10735" t="s">
        <v>17</v>
      </c>
      <c r="I10735" t="str">
        <f>"060005201487"</f>
        <v>060005201487</v>
      </c>
    </row>
    <row r="10736" spans="1:9" x14ac:dyDescent="0.25">
      <c r="A10736" t="s">
        <v>9324</v>
      </c>
      <c r="B10736" t="s">
        <v>13</v>
      </c>
      <c r="C10736">
        <v>4</v>
      </c>
      <c r="D10736">
        <v>5</v>
      </c>
      <c r="E10736" t="s">
        <v>17</v>
      </c>
      <c r="F10736">
        <v>30.25</v>
      </c>
      <c r="G10736">
        <v>29.2</v>
      </c>
      <c r="H10736" t="s">
        <v>17</v>
      </c>
      <c r="I10736" t="str">
        <f>"063237010019"</f>
        <v>063237010019</v>
      </c>
    </row>
    <row r="10737" spans="1:9" x14ac:dyDescent="0.25">
      <c r="A10737" t="s">
        <v>9325</v>
      </c>
      <c r="B10737" t="s">
        <v>9326</v>
      </c>
      <c r="C10737">
        <v>259863</v>
      </c>
      <c r="D10737">
        <v>263425</v>
      </c>
      <c r="E10737" t="s">
        <v>14</v>
      </c>
      <c r="F10737" t="s">
        <v>9326</v>
      </c>
      <c r="G10737" t="s">
        <v>9326</v>
      </c>
      <c r="H10737" t="s">
        <v>9326</v>
      </c>
      <c r="I10737" t="s">
        <v>9326</v>
      </c>
    </row>
    <row r="10739" spans="1:9" x14ac:dyDescent="0.25">
      <c r="A10739" t="s">
        <v>9327</v>
      </c>
    </row>
    <row r="10741" spans="1:9" x14ac:dyDescent="0.25">
      <c r="A10741" t="s">
        <v>9328</v>
      </c>
    </row>
    <row r="10742" spans="1:9" x14ac:dyDescent="0.25">
      <c r="A10742" t="s">
        <v>9329</v>
      </c>
    </row>
    <row r="10743" spans="1:9" x14ac:dyDescent="0.25">
      <c r="A10743" t="s">
        <v>9330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ELSI_csv_export_636291746868638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JoanWang</dc:creator>
  <cp:lastModifiedBy>JoanWang</cp:lastModifiedBy>
  <dcterms:created xsi:type="dcterms:W3CDTF">2017-04-30T22:45:40Z</dcterms:created>
  <dcterms:modified xsi:type="dcterms:W3CDTF">2017-04-30T22:45:40Z</dcterms:modified>
</cp:coreProperties>
</file>