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6"/>
  <workbookPr filterPrivacy="1" codeName="Šios_darbaknygės" defaultThemeVersion="124226"/>
  <xr:revisionPtr revIDLastSave="0" documentId="13_ncr:1_{211292BA-BE6A-C14C-8EFE-99BF2CAE9610}" xr6:coauthVersionLast="47" xr6:coauthVersionMax="47" xr10:uidLastSave="{00000000-0000-0000-0000-000000000000}"/>
  <bookViews>
    <workbookView xWindow="440" yWindow="1480" windowWidth="42400" windowHeight="28780" xr2:uid="{00000000-000D-0000-FFFF-FFFF00000000}"/>
  </bookViews>
  <sheets>
    <sheet name="Payloa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7" i="2" l="1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A35" i="2" l="1"/>
  <c r="A57" i="2" l="1"/>
  <c r="B58" i="2" s="1"/>
  <c r="A44" i="2"/>
  <c r="B45" i="2" s="1"/>
  <c r="A42" i="2"/>
  <c r="E42" i="2" s="1"/>
  <c r="A14" i="2" s="1"/>
  <c r="C14" i="2" s="1"/>
  <c r="A37" i="2"/>
  <c r="B39" i="2" s="1"/>
  <c r="A52" i="2"/>
  <c r="A62" i="2"/>
  <c r="A79" i="2" s="1"/>
  <c r="A49" i="2"/>
  <c r="B50" i="2" s="1"/>
  <c r="B60" i="2"/>
  <c r="B59" i="2"/>
  <c r="B57" i="2"/>
  <c r="B49" i="2" l="1"/>
  <c r="C49" i="2" s="1"/>
  <c r="D49" i="2" s="1"/>
  <c r="E49" i="2" s="1"/>
  <c r="A16" i="2" s="1"/>
  <c r="B47" i="2"/>
  <c r="B44" i="2"/>
  <c r="B46" i="2"/>
  <c r="A91" i="2"/>
  <c r="A69" i="2"/>
  <c r="A76" i="2"/>
  <c r="B76" i="2" s="1"/>
  <c r="C76" i="2" s="1"/>
  <c r="D76" i="2" s="1"/>
  <c r="C25" i="2" s="1"/>
  <c r="A78" i="2"/>
  <c r="B78" i="2" s="1"/>
  <c r="C78" i="2" s="1"/>
  <c r="D78" i="2" s="1"/>
  <c r="C26" i="2" s="1"/>
  <c r="A67" i="2"/>
  <c r="A74" i="2"/>
  <c r="A85" i="2"/>
  <c r="A88" i="2"/>
  <c r="A72" i="2"/>
  <c r="A86" i="2"/>
  <c r="A70" i="2"/>
  <c r="A77" i="2"/>
  <c r="A90" i="2"/>
  <c r="B90" i="2" s="1"/>
  <c r="C90" i="2" s="1"/>
  <c r="D90" i="2" s="1"/>
  <c r="C32" i="2" s="1"/>
  <c r="A68" i="2"/>
  <c r="B68" i="2" s="1"/>
  <c r="C68" i="2" s="1"/>
  <c r="D68" i="2" s="1"/>
  <c r="C21" i="2" s="1"/>
  <c r="A83" i="2"/>
  <c r="A89" i="2"/>
  <c r="A73" i="2"/>
  <c r="A84" i="2"/>
  <c r="A75" i="2"/>
  <c r="A71" i="2"/>
  <c r="B37" i="2"/>
  <c r="B38" i="2"/>
  <c r="B40" i="2"/>
  <c r="A82" i="2"/>
  <c r="A66" i="2"/>
  <c r="A81" i="2"/>
  <c r="A65" i="2"/>
  <c r="A80" i="2"/>
  <c r="A64" i="2"/>
  <c r="A87" i="2"/>
  <c r="B55" i="2"/>
  <c r="B52" i="2"/>
  <c r="B54" i="2"/>
  <c r="B53" i="2"/>
  <c r="C57" i="2"/>
  <c r="D57" i="2" s="1"/>
  <c r="E57" i="2" s="1"/>
  <c r="A18" i="2" s="1"/>
  <c r="C37" i="2" l="1"/>
  <c r="D37" i="2" s="1"/>
  <c r="E37" i="2" s="1"/>
  <c r="A13" i="2" s="1"/>
  <c r="B82" i="2"/>
  <c r="C82" i="2" s="1"/>
  <c r="D82" i="2" s="1"/>
  <c r="C28" i="2" s="1"/>
  <c r="C44" i="2"/>
  <c r="D44" i="2" s="1"/>
  <c r="E44" i="2" s="1"/>
  <c r="A15" i="2" s="1"/>
  <c r="B84" i="2"/>
  <c r="C84" i="2" s="1"/>
  <c r="D84" i="2" s="1"/>
  <c r="C29" i="2" s="1"/>
  <c r="B70" i="2"/>
  <c r="C70" i="2" s="1"/>
  <c r="D70" i="2" s="1"/>
  <c r="C22" i="2" s="1"/>
  <c r="B80" i="2"/>
  <c r="C80" i="2" s="1"/>
  <c r="D80" i="2" s="1"/>
  <c r="C27" i="2" s="1"/>
  <c r="B72" i="2"/>
  <c r="C72" i="2" s="1"/>
  <c r="D72" i="2" s="1"/>
  <c r="C23" i="2" s="1"/>
  <c r="B66" i="2"/>
  <c r="C66" i="2" s="1"/>
  <c r="D66" i="2" s="1"/>
  <c r="C20" i="2" s="1"/>
  <c r="B64" i="2"/>
  <c r="C64" i="2" s="1"/>
  <c r="D64" i="2" s="1"/>
  <c r="E64" i="2" s="1"/>
  <c r="B74" i="2"/>
  <c r="C74" i="2" s="1"/>
  <c r="D74" i="2" s="1"/>
  <c r="C24" i="2" s="1"/>
  <c r="B86" i="2"/>
  <c r="C86" i="2" s="1"/>
  <c r="D86" i="2" s="1"/>
  <c r="C30" i="2" s="1"/>
  <c r="B88" i="2"/>
  <c r="C88" i="2" s="1"/>
  <c r="D88" i="2" s="1"/>
  <c r="C31" i="2" s="1"/>
  <c r="C52" i="2"/>
  <c r="D52" i="2" s="1"/>
  <c r="C19" i="2" l="1"/>
  <c r="E66" i="2"/>
  <c r="A19" i="2"/>
  <c r="G84" i="2"/>
  <c r="H84" i="2" s="1"/>
  <c r="D29" i="2" s="1"/>
  <c r="G86" i="2"/>
  <c r="H86" i="2" s="1"/>
  <c r="D30" i="2" s="1"/>
  <c r="G88" i="2"/>
  <c r="H88" i="2" s="1"/>
  <c r="D31" i="2" s="1"/>
  <c r="G90" i="2"/>
  <c r="H90" i="2" s="1"/>
  <c r="D32" i="2" s="1"/>
  <c r="G64" i="2"/>
  <c r="H64" i="2" s="1"/>
  <c r="D19" i="2" s="1"/>
  <c r="E52" i="2"/>
  <c r="A17" i="2" s="1"/>
  <c r="G66" i="2"/>
  <c r="H66" i="2" s="1"/>
  <c r="D20" i="2" s="1"/>
  <c r="G68" i="2"/>
  <c r="H68" i="2" s="1"/>
  <c r="D21" i="2" s="1"/>
  <c r="G70" i="2"/>
  <c r="H70" i="2" s="1"/>
  <c r="D22" i="2" s="1"/>
  <c r="G72" i="2"/>
  <c r="H72" i="2" s="1"/>
  <c r="D23" i="2" s="1"/>
  <c r="G74" i="2"/>
  <c r="H74" i="2" s="1"/>
  <c r="D24" i="2" s="1"/>
  <c r="G76" i="2"/>
  <c r="H76" i="2" s="1"/>
  <c r="D25" i="2" s="1"/>
  <c r="G78" i="2"/>
  <c r="H78" i="2" s="1"/>
  <c r="D26" i="2" s="1"/>
  <c r="G80" i="2"/>
  <c r="H80" i="2" s="1"/>
  <c r="D27" i="2" s="1"/>
  <c r="G82" i="2"/>
  <c r="H82" i="2" s="1"/>
  <c r="D28" i="2" s="1"/>
  <c r="A20" i="2" l="1"/>
  <c r="E68" i="2"/>
  <c r="A21" i="2" l="1"/>
  <c r="E70" i="2"/>
  <c r="E72" i="2" l="1"/>
  <c r="A22" i="2"/>
  <c r="E74" i="2" l="1"/>
  <c r="A23" i="2"/>
  <c r="E76" i="2" l="1"/>
  <c r="A24" i="2"/>
  <c r="A25" i="2" l="1"/>
  <c r="E78" i="2"/>
  <c r="E80" i="2" l="1"/>
  <c r="A26" i="2"/>
  <c r="E82" i="2" l="1"/>
  <c r="A27" i="2"/>
  <c r="A28" i="2" l="1"/>
  <c r="E84" i="2"/>
  <c r="E86" i="2" l="1"/>
  <c r="A29" i="2"/>
  <c r="E88" i="2" l="1"/>
  <c r="A30" i="2"/>
  <c r="E90" i="2" l="1"/>
  <c r="A32" i="2" s="1"/>
  <c r="A31" i="2"/>
</calcChain>
</file>

<file path=xl/sharedStrings.xml><?xml version="1.0" encoding="utf-8"?>
<sst xmlns="http://schemas.openxmlformats.org/spreadsheetml/2006/main" count="72" uniqueCount="68">
  <si>
    <t>Payload:</t>
  </si>
  <si>
    <t>Current volume</t>
  </si>
  <si>
    <t>Delta volume 2</t>
  </si>
  <si>
    <t>Delta volume 3</t>
  </si>
  <si>
    <t>Delta volume 4</t>
  </si>
  <si>
    <t>Delta volume 5</t>
  </si>
  <si>
    <t>Delta volume 6</t>
  </si>
  <si>
    <t>Delta volume 7</t>
  </si>
  <si>
    <t>Delta volume 8</t>
  </si>
  <si>
    <t>Delta volume 9</t>
  </si>
  <si>
    <t>Delta volume 10</t>
  </si>
  <si>
    <t>Delta volume 11</t>
  </si>
  <si>
    <t>Delta volume 12</t>
  </si>
  <si>
    <t>Delta volume 13</t>
  </si>
  <si>
    <t>Delta volume 14</t>
  </si>
  <si>
    <t>Delta volume 15</t>
  </si>
  <si>
    <t>Current time</t>
  </si>
  <si>
    <t>Date:</t>
  </si>
  <si>
    <t>Document name:</t>
  </si>
  <si>
    <t>Axioma Metering</t>
  </si>
  <si>
    <t>Release: 1.0</t>
  </si>
  <si>
    <t>2020 09 23</t>
  </si>
  <si>
    <t>Status byte</t>
  </si>
  <si>
    <t>Water temperature</t>
  </si>
  <si>
    <t>Last historical value</t>
  </si>
  <si>
    <t>Prepared by: Daumantas Matulis</t>
  </si>
  <si>
    <t>Status</t>
  </si>
  <si>
    <t>Last log value date</t>
  </si>
  <si>
    <t>Last log value (delta volume 1)</t>
  </si>
  <si>
    <t>Delta Volume</t>
  </si>
  <si>
    <t>Decoding Lora Payload Ambiductor AB</t>
  </si>
  <si>
    <t>ERROR COMBINATION:</t>
  </si>
  <si>
    <t>STATUS:</t>
  </si>
  <si>
    <t>DEC</t>
  </si>
  <si>
    <t>POWER LOW</t>
  </si>
  <si>
    <t>PERMANENT ERROR</t>
  </si>
  <si>
    <t>EMPTY SPOOL + TEMPORARY ERROR</t>
  </si>
  <si>
    <t>NEGATIVE FLOW + TEMPORARY ERROR</t>
  </si>
  <si>
    <t>LEAKAGE + TEMPORARY ERROR</t>
  </si>
  <si>
    <t>BURST + TEMPORARY ERROR</t>
  </si>
  <si>
    <t>B0</t>
  </si>
  <si>
    <t>FREEZE + TEMPORARY ERROR</t>
  </si>
  <si>
    <t>POWER LOW + TEMPORARY ERROR + EMPTY SPOOL</t>
  </si>
  <si>
    <t>POWER LOW + TEMPORARY ERROR + NEGATIVE FLOW</t>
  </si>
  <si>
    <t>POWER LOW + TEMPORARY ERROR + LEAKAGE</t>
  </si>
  <si>
    <t>POWER LOW + TEMPORARY ERROR + BURST</t>
  </si>
  <si>
    <t>B4</t>
  </si>
  <si>
    <t>POWER LOW + TEMPORARY ERROR + FREEZE</t>
  </si>
  <si>
    <t>PERMANENT ERROR + POWER LOW</t>
  </si>
  <si>
    <t>0C</t>
  </si>
  <si>
    <t>EMPTY SPOOL + TEMPORARY ERROR + PERMANENT ERROR</t>
  </si>
  <si>
    <t>NEGATIVE FLOW + TEMPORARY ERROR + PERMANENT ERROR</t>
  </si>
  <si>
    <t>LEAKAGE + TEMPORARY ERROR + PERMANENT ERROR</t>
  </si>
  <si>
    <t>BURST + TEMPORARY ERROR + PERMANENT ERROR</t>
  </si>
  <si>
    <t>B8</t>
  </si>
  <si>
    <t>FREEZE + TEMPORARY ERROR + PERMANENT ERROR</t>
  </si>
  <si>
    <t>EMPTY SPOOL + TEMPORARY ERROR + PERMANENT ERROR + POWER LOW</t>
  </si>
  <si>
    <t>1C</t>
  </si>
  <si>
    <t>NEGATIVE FLOW + TEMPORARY ERROR + PERMANENT ERROR + POWER LOW</t>
  </si>
  <si>
    <t>7C</t>
  </si>
  <si>
    <t>LEAKAGE + TEMPORARY ERROR + PERMANENT ERROR + POWER LOW</t>
  </si>
  <si>
    <t>3C</t>
  </si>
  <si>
    <t>BURST + TEMPORARY ERROR + PERMANENT ERROR + POWER LOW</t>
  </si>
  <si>
    <t>BC</t>
  </si>
  <si>
    <t>FREEZE + TEMPORARY ERROR + PERMANENT ERROR + POWER LOW</t>
  </si>
  <si>
    <t>9C</t>
  </si>
  <si>
    <t>NO ERROR</t>
  </si>
  <si>
    <t>55cb585f7cf29d0400120ae0fe575f8a570400cd04cb04cc04cd04ca04c404c504c404f004e604dc04d604b9057905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</si>
</sst>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&quot; m3&quot;"/>
    <numFmt numFmtId="165" formatCode="0.000"/>
    <numFmt numFmtId="166" formatCode="yyyy/mm/dd\ hh:mm:ss"/>
    <numFmt numFmtId="167" formatCode="General&quot; °C&quot;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1"/>
      <name val="Arial"/>
      <family val="2"/>
      <charset val="186"/>
    </font>
    <font>
      <sz val="9"/>
      <color theme="1"/>
      <name val="Arial"/>
      <family val="2"/>
      <charset val="186"/>
    </font>
    <font>
      <b/>
      <sz val="11"/>
      <color theme="1"/>
      <name val="Arial"/>
      <family val="2"/>
      <charset val="186"/>
    </font>
    <font>
      <b/>
      <i/>
      <sz val="14"/>
      <color theme="1"/>
      <name val="Arial"/>
      <family val="2"/>
      <charset val="186"/>
    </font>
    <font>
      <b/>
      <sz val="18"/>
      <color theme="3"/>
      <name val="Cambria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65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sz val="9"/>
      <color theme="1"/>
      <name val="Calibri"/>
      <family val="2"/>
      <charset val="186"/>
      <scheme val="minor"/>
    </font>
    <font>
      <sz val="12"/>
      <color theme="1"/>
      <name val="Calibri"/>
      <family val="2"/>
      <charset val="186"/>
      <scheme val="minor"/>
    </font>
    <font>
      <sz val="8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7">
    <xf numFmtId="0" fontId="0" fillId="0" borderId="0"/>
    <xf numFmtId="0" fontId="8" fillId="0" borderId="0" applyNumberFormat="0" applyFill="0" applyBorder="0" applyAlignment="0" applyProtection="0"/>
    <xf numFmtId="0" fontId="9" fillId="0" borderId="11" applyNumberFormat="0" applyFill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14" applyNumberFormat="0" applyAlignment="0" applyProtection="0"/>
    <xf numFmtId="0" fontId="16" fillId="6" borderId="15" applyNumberFormat="0" applyAlignment="0" applyProtection="0"/>
    <xf numFmtId="0" fontId="17" fillId="6" borderId="14" applyNumberFormat="0" applyAlignment="0" applyProtection="0"/>
    <xf numFmtId="0" fontId="18" fillId="0" borderId="16" applyNumberFormat="0" applyFill="0" applyAlignment="0" applyProtection="0"/>
    <xf numFmtId="0" fontId="19" fillId="7" borderId="17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" fillId="0" borderId="19" applyNumberFormat="0" applyFill="0" applyAlignment="0" applyProtection="0"/>
    <xf numFmtId="0" fontId="2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2" fillId="32" borderId="0" applyNumberFormat="0" applyBorder="0" applyAlignment="0" applyProtection="0"/>
    <xf numFmtId="0" fontId="2" fillId="0" borderId="0"/>
    <xf numFmtId="0" fontId="2" fillId="8" borderId="18" applyNumberFormat="0" applyFont="0" applyAlignment="0" applyProtection="0"/>
    <xf numFmtId="0" fontId="1" fillId="0" borderId="0"/>
    <xf numFmtId="0" fontId="1" fillId="8" borderId="1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5" xfId="0" applyBorder="1"/>
    <xf numFmtId="165" fontId="0" fillId="0" borderId="0" xfId="0" applyNumberFormat="1"/>
    <xf numFmtId="0" fontId="0" fillId="0" borderId="3" xfId="0" applyBorder="1"/>
    <xf numFmtId="0" fontId="5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4" fillId="0" borderId="6" xfId="0" applyFont="1" applyBorder="1" applyAlignment="1">
      <alignment horizontal="left" vertical="center" wrapText="1"/>
    </xf>
    <xf numFmtId="0" fontId="0" fillId="0" borderId="7" xfId="0" applyBorder="1"/>
    <xf numFmtId="0" fontId="5" fillId="0" borderId="1" xfId="0" applyFont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4" fillId="0" borderId="1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164" fontId="0" fillId="0" borderId="0" xfId="0" applyNumberFormat="1"/>
    <xf numFmtId="0" fontId="0" fillId="0" borderId="4" xfId="0" applyBorder="1" applyAlignment="1">
      <alignment vertical="center"/>
    </xf>
    <xf numFmtId="166" fontId="0" fillId="0" borderId="0" xfId="0" applyNumberFormat="1"/>
    <xf numFmtId="167" fontId="0" fillId="0" borderId="0" xfId="0" applyNumberFormat="1"/>
    <xf numFmtId="0" fontId="0" fillId="0" borderId="2" xfId="0" applyBorder="1"/>
    <xf numFmtId="0" fontId="3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20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33" borderId="1" xfId="0" applyFont="1" applyFill="1" applyBorder="1"/>
    <xf numFmtId="0" fontId="0" fillId="33" borderId="2" xfId="0" applyFill="1" applyBorder="1"/>
    <xf numFmtId="0" fontId="0" fillId="33" borderId="3" xfId="0" applyFill="1" applyBorder="1"/>
    <xf numFmtId="164" fontId="0" fillId="34" borderId="9" xfId="0" applyNumberForma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8" xfId="0" applyNumberFormat="1" applyFill="1" applyBorder="1" applyAlignment="1">
      <alignment horizontal="center"/>
    </xf>
    <xf numFmtId="166" fontId="0" fillId="0" borderId="28" xfId="0" applyNumberFormat="1" applyBorder="1" applyAlignment="1">
      <alignment horizontal="right"/>
    </xf>
    <xf numFmtId="0" fontId="0" fillId="0" borderId="29" xfId="0" applyBorder="1" applyAlignment="1">
      <alignment horizontal="right"/>
    </xf>
    <xf numFmtId="164" fontId="0" fillId="0" borderId="29" xfId="0" applyNumberFormat="1" applyBorder="1" applyAlignment="1">
      <alignment horizontal="right"/>
    </xf>
    <xf numFmtId="167" fontId="0" fillId="0" borderId="29" xfId="0" applyNumberFormat="1" applyBorder="1" applyAlignment="1">
      <alignment horizontal="right"/>
    </xf>
    <xf numFmtId="166" fontId="0" fillId="0" borderId="29" xfId="0" applyNumberFormat="1" applyBorder="1" applyAlignment="1">
      <alignment horizontal="right"/>
    </xf>
    <xf numFmtId="164" fontId="0" fillId="0" borderId="30" xfId="0" applyNumberFormat="1" applyBorder="1" applyAlignment="1">
      <alignment horizontal="right"/>
    </xf>
    <xf numFmtId="164" fontId="0" fillId="0" borderId="28" xfId="0" applyNumberFormat="1" applyBorder="1" applyAlignment="1">
      <alignment horizontal="right"/>
    </xf>
    <xf numFmtId="164" fontId="0" fillId="0" borderId="31" xfId="0" applyNumberFormat="1" applyBorder="1" applyAlignment="1">
      <alignment horizontal="right"/>
    </xf>
    <xf numFmtId="0" fontId="3" fillId="0" borderId="21" xfId="0" applyFont="1" applyBorder="1" applyAlignment="1">
      <alignment vertical="center"/>
    </xf>
    <xf numFmtId="0" fontId="3" fillId="35" borderId="21" xfId="0" applyFont="1" applyFill="1" applyBorder="1" applyAlignment="1">
      <alignment vertical="center"/>
    </xf>
    <xf numFmtId="0" fontId="0" fillId="0" borderId="32" xfId="0" applyBorder="1" applyAlignment="1">
      <alignment horizontal="center"/>
    </xf>
    <xf numFmtId="0" fontId="23" fillId="0" borderId="21" xfId="0" applyFont="1" applyBorder="1" applyAlignment="1">
      <alignment vertical="center"/>
    </xf>
    <xf numFmtId="0" fontId="24" fillId="0" borderId="21" xfId="0" quotePrefix="1" applyFont="1" applyBorder="1" applyAlignment="1">
      <alignment horizontal="center" vertical="center"/>
    </xf>
    <xf numFmtId="0" fontId="0" fillId="0" borderId="32" xfId="0" applyBorder="1"/>
    <xf numFmtId="0" fontId="23" fillId="0" borderId="8" xfId="0" applyFont="1" applyBorder="1" applyAlignment="1">
      <alignment vertical="center"/>
    </xf>
    <xf numFmtId="0" fontId="24" fillId="0" borderId="8" xfId="0" quotePrefix="1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166" fontId="0" fillId="0" borderId="5" xfId="0" applyNumberFormat="1" applyBorder="1" applyAlignment="1">
      <alignment horizontal="left"/>
    </xf>
    <xf numFmtId="166" fontId="0" fillId="0" borderId="7" xfId="0" applyNumberFormat="1" applyBorder="1" applyAlignment="1">
      <alignment horizontal="left"/>
    </xf>
    <xf numFmtId="0" fontId="0" fillId="36" borderId="22" xfId="0" applyFill="1" applyBorder="1"/>
    <xf numFmtId="0" fontId="0" fillId="36" borderId="23" xfId="0" applyFill="1" applyBorder="1"/>
    <xf numFmtId="0" fontId="0" fillId="36" borderId="24" xfId="0" applyFill="1" applyBorder="1"/>
    <xf numFmtId="0" fontId="0" fillId="36" borderId="25" xfId="0" applyFill="1" applyBorder="1"/>
    <xf numFmtId="0" fontId="0" fillId="36" borderId="26" xfId="0" applyFill="1" applyBorder="1"/>
    <xf numFmtId="0" fontId="0" fillId="36" borderId="27" xfId="0" applyFill="1" applyBorder="1"/>
    <xf numFmtId="0" fontId="25" fillId="0" borderId="4" xfId="0" applyFont="1" applyBorder="1" applyAlignment="1">
      <alignment horizontal="center"/>
    </xf>
    <xf numFmtId="0" fontId="25" fillId="0" borderId="5" xfId="0" applyFont="1" applyBorder="1" applyAlignment="1">
      <alignment horizontal="center"/>
    </xf>
  </cellXfs>
  <cellStyles count="57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20% – paryškinimas 1 2" xfId="45" xr:uid="{00000000-0005-0000-0000-000003000000}"/>
    <cellStyle name="20% – paryškinimas 2 2" xfId="47" xr:uid="{00000000-0005-0000-0000-000005000000}"/>
    <cellStyle name="20% – paryškinimas 3 2" xfId="49" xr:uid="{00000000-0005-0000-0000-000007000000}"/>
    <cellStyle name="20% – paryškinimas 4 2" xfId="51" xr:uid="{00000000-0005-0000-0000-000009000000}"/>
    <cellStyle name="20% – paryškinimas 5 2" xfId="53" xr:uid="{00000000-0005-0000-0000-00000B000000}"/>
    <cellStyle name="20% – paryškinimas 6 2" xfId="55" xr:uid="{00000000-0005-0000-0000-00000D000000}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40% – paryškinimas 1 2" xfId="46" xr:uid="{00000000-0005-0000-0000-000011000000}"/>
    <cellStyle name="40% – paryškinimas 2 2" xfId="48" xr:uid="{00000000-0005-0000-0000-000013000000}"/>
    <cellStyle name="40% – paryškinimas 3 2" xfId="50" xr:uid="{00000000-0005-0000-0000-000015000000}"/>
    <cellStyle name="40% – paryškinimas 4 2" xfId="52" xr:uid="{00000000-0005-0000-0000-000017000000}"/>
    <cellStyle name="40% – paryškinimas 5 2" xfId="54" xr:uid="{00000000-0005-0000-0000-000019000000}"/>
    <cellStyle name="40% – paryškinimas 6 2" xfId="56" xr:uid="{00000000-0005-0000-0000-00001B000000}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Įprastas 2" xfId="41" xr:uid="{00000000-0005-0000-0000-000026000000}"/>
    <cellStyle name="Įprastas 3" xfId="43" xr:uid="{00000000-0005-0000-0000-000027000000}"/>
    <cellStyle name="Linked Cell" xfId="12" builtinId="24" customBuiltin="1"/>
    <cellStyle name="Neutral" xfId="8" builtinId="28" customBuiltin="1"/>
    <cellStyle name="Normal" xfId="0" builtinId="0"/>
    <cellStyle name="Output" xfId="10" builtinId="21" customBuiltin="1"/>
    <cellStyle name="Pastaba 2" xfId="42" xr:uid="{00000000-0005-0000-0000-000032000000}"/>
    <cellStyle name="Pastaba 3" xfId="44" xr:uid="{00000000-0005-0000-0000-000033000000}"/>
    <cellStyle name="Title" xfId="1" builtinId="15" customBuiltin="1"/>
    <cellStyle name="Total" xfId="16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apas2"/>
  <dimension ref="A1:H118"/>
  <sheetViews>
    <sheetView tabSelected="1" zoomScale="107" zoomScaleNormal="107" workbookViewId="0">
      <selection activeCell="A12" sqref="A12"/>
    </sheetView>
  </sheetViews>
  <sheetFormatPr baseColWidth="10" defaultColWidth="8.83203125" defaultRowHeight="15" x14ac:dyDescent="0.2"/>
  <cols>
    <col min="1" max="1" width="38.83203125" customWidth="1"/>
    <col min="2" max="2" width="39.83203125" customWidth="1"/>
    <col min="3" max="3" width="13.5" customWidth="1"/>
    <col min="4" max="4" width="34.1640625" customWidth="1"/>
    <col min="5" max="5" width="38.83203125" customWidth="1"/>
    <col min="6" max="6" width="19.83203125" customWidth="1"/>
    <col min="7" max="7" width="22.1640625" customWidth="1"/>
    <col min="8" max="8" width="22.33203125" customWidth="1"/>
  </cols>
  <sheetData>
    <row r="1" spans="1:4" ht="28.25" customHeight="1" x14ac:dyDescent="0.2">
      <c r="A1" s="15"/>
      <c r="B1" s="17"/>
    </row>
    <row r="2" spans="1:4" ht="43.75" customHeight="1" thickBot="1" x14ac:dyDescent="0.25">
      <c r="A2" s="16"/>
      <c r="B2" s="18"/>
    </row>
    <row r="3" spans="1:4" x14ac:dyDescent="0.2">
      <c r="A3" s="11" t="s">
        <v>17</v>
      </c>
      <c r="B3" s="6"/>
    </row>
    <row r="4" spans="1:4" ht="16" thickBot="1" x14ac:dyDescent="0.25">
      <c r="A4" s="12" t="s">
        <v>21</v>
      </c>
      <c r="B4" s="10"/>
    </row>
    <row r="5" spans="1:4" x14ac:dyDescent="0.2">
      <c r="A5" s="13" t="s">
        <v>18</v>
      </c>
      <c r="B5" s="6"/>
    </row>
    <row r="6" spans="1:4" ht="34.75" customHeight="1" thickBot="1" x14ac:dyDescent="0.25">
      <c r="A6" s="14" t="s">
        <v>30</v>
      </c>
      <c r="B6" s="10"/>
    </row>
    <row r="7" spans="1:4" ht="24.5" customHeight="1" x14ac:dyDescent="0.2">
      <c r="A7" s="8" t="s">
        <v>19</v>
      </c>
      <c r="B7" s="4"/>
    </row>
    <row r="8" spans="1:4" ht="18" customHeight="1" x14ac:dyDescent="0.2">
      <c r="A8" s="7" t="s">
        <v>25</v>
      </c>
      <c r="B8" s="4"/>
    </row>
    <row r="9" spans="1:4" ht="16" thickBot="1" x14ac:dyDescent="0.25">
      <c r="A9" s="9" t="s">
        <v>20</v>
      </c>
      <c r="B9" s="10"/>
    </row>
    <row r="10" spans="1:4" ht="16" thickBot="1" x14ac:dyDescent="0.25"/>
    <row r="11" spans="1:4" x14ac:dyDescent="0.2">
      <c r="A11" s="28" t="s">
        <v>0</v>
      </c>
      <c r="B11" s="29"/>
      <c r="C11" s="29"/>
      <c r="D11" s="30"/>
    </row>
    <row r="12" spans="1:4" ht="29.5" customHeight="1" thickBot="1" x14ac:dyDescent="0.25">
      <c r="A12" s="20" t="s">
        <v>67</v>
      </c>
      <c r="B12" s="25"/>
      <c r="C12" s="26"/>
      <c r="D12" s="27"/>
    </row>
    <row r="13" spans="1:4" x14ac:dyDescent="0.2">
      <c r="A13" s="34">
        <f>E37</f>
        <v>44083.522465277776</v>
      </c>
      <c r="B13" s="54" t="s">
        <v>16</v>
      </c>
      <c r="C13" s="23"/>
      <c r="D13" s="6"/>
    </row>
    <row r="14" spans="1:4" x14ac:dyDescent="0.2">
      <c r="A14" s="35" t="str">
        <f>E42</f>
        <v>7c</v>
      </c>
      <c r="B14" s="55" t="s">
        <v>26</v>
      </c>
      <c r="C14" s="60" t="str">
        <f>INDEX(A95:A118,MATCH(HEX2DEC(A14),C95:C118,0))</f>
        <v>NEGATIVE FLOW + TEMPORARY ERROR + PERMANENT ERROR + POWER LOW</v>
      </c>
      <c r="D14" s="61"/>
    </row>
    <row r="15" spans="1:4" x14ac:dyDescent="0.2">
      <c r="A15" s="36">
        <f>E44</f>
        <v>302.57799999999997</v>
      </c>
      <c r="B15" s="55" t="s">
        <v>1</v>
      </c>
      <c r="D15" s="4"/>
    </row>
    <row r="16" spans="1:4" x14ac:dyDescent="0.2">
      <c r="A16" s="37">
        <f>E49</f>
        <v>25.78</v>
      </c>
      <c r="B16" s="55" t="s">
        <v>23</v>
      </c>
      <c r="D16" s="4"/>
    </row>
    <row r="17" spans="1:4" x14ac:dyDescent="0.2">
      <c r="A17" s="38">
        <f>E52</f>
        <v>44082.916666666672</v>
      </c>
      <c r="B17" s="55" t="s">
        <v>27</v>
      </c>
      <c r="D17" s="4"/>
    </row>
    <row r="18" spans="1:4" ht="16" thickBot="1" x14ac:dyDescent="0.25">
      <c r="A18" s="39">
        <f>E57</f>
        <v>284.55399999999997</v>
      </c>
      <c r="B18" s="56" t="s">
        <v>28</v>
      </c>
      <c r="C18" s="24" t="s">
        <v>29</v>
      </c>
      <c r="D18" s="4"/>
    </row>
    <row r="19" spans="1:4" x14ac:dyDescent="0.2">
      <c r="A19" s="40">
        <f>E64</f>
        <v>285.78299999999996</v>
      </c>
      <c r="B19" s="57" t="s">
        <v>2</v>
      </c>
      <c r="C19" s="31">
        <f>D64</f>
        <v>1.2290000000000001</v>
      </c>
      <c r="D19" s="52">
        <f>H64</f>
        <v>44082.958333333328</v>
      </c>
    </row>
    <row r="20" spans="1:4" x14ac:dyDescent="0.2">
      <c r="A20" s="36">
        <f>E66</f>
        <v>287.00999999999993</v>
      </c>
      <c r="B20" s="58" t="s">
        <v>3</v>
      </c>
      <c r="C20" s="32">
        <f>D66</f>
        <v>1.2270000000000001</v>
      </c>
      <c r="D20" s="52">
        <f>H66</f>
        <v>44083</v>
      </c>
    </row>
    <row r="21" spans="1:4" x14ac:dyDescent="0.2">
      <c r="A21" s="36">
        <f>E68</f>
        <v>288.23799999999994</v>
      </c>
      <c r="B21" s="58" t="s">
        <v>4</v>
      </c>
      <c r="C21" s="32">
        <f>D68</f>
        <v>1.228</v>
      </c>
      <c r="D21" s="52">
        <f>H68</f>
        <v>44083.041666666672</v>
      </c>
    </row>
    <row r="22" spans="1:4" x14ac:dyDescent="0.2">
      <c r="A22" s="36">
        <f>E70</f>
        <v>289.46699999999993</v>
      </c>
      <c r="B22" s="58" t="s">
        <v>5</v>
      </c>
      <c r="C22" s="32">
        <f>D70</f>
        <v>1.2290000000000001</v>
      </c>
      <c r="D22" s="52">
        <f>H70</f>
        <v>44083.083333333328</v>
      </c>
    </row>
    <row r="23" spans="1:4" x14ac:dyDescent="0.2">
      <c r="A23" s="36">
        <f>E72</f>
        <v>290.69299999999993</v>
      </c>
      <c r="B23" s="58" t="s">
        <v>6</v>
      </c>
      <c r="C23" s="32">
        <f>D72</f>
        <v>1.226</v>
      </c>
      <c r="D23" s="52">
        <f>H72</f>
        <v>44083.125</v>
      </c>
    </row>
    <row r="24" spans="1:4" x14ac:dyDescent="0.2">
      <c r="A24" s="36">
        <f>E74</f>
        <v>291.91299999999995</v>
      </c>
      <c r="B24" s="58" t="s">
        <v>7</v>
      </c>
      <c r="C24" s="32">
        <f>D74</f>
        <v>1.22</v>
      </c>
      <c r="D24" s="52">
        <f>H74</f>
        <v>44083.166666666672</v>
      </c>
    </row>
    <row r="25" spans="1:4" x14ac:dyDescent="0.2">
      <c r="A25" s="36">
        <f>E76</f>
        <v>293.13399999999996</v>
      </c>
      <c r="B25" s="58" t="s">
        <v>8</v>
      </c>
      <c r="C25" s="32">
        <f>D76</f>
        <v>1.2210000000000001</v>
      </c>
      <c r="D25" s="52">
        <f>H76</f>
        <v>44083.208333333328</v>
      </c>
    </row>
    <row r="26" spans="1:4" x14ac:dyDescent="0.2">
      <c r="A26" s="36">
        <f>E78</f>
        <v>294.35399999999998</v>
      </c>
      <c r="B26" s="58" t="s">
        <v>9</v>
      </c>
      <c r="C26" s="32">
        <f>D78</f>
        <v>1.22</v>
      </c>
      <c r="D26" s="52">
        <f>H78</f>
        <v>44083.25</v>
      </c>
    </row>
    <row r="27" spans="1:4" x14ac:dyDescent="0.2">
      <c r="A27" s="36">
        <f>E80</f>
        <v>295.61799999999999</v>
      </c>
      <c r="B27" s="58" t="s">
        <v>10</v>
      </c>
      <c r="C27" s="32">
        <f>D80</f>
        <v>1.264</v>
      </c>
      <c r="D27" s="52">
        <f>H80</f>
        <v>44083.291666666672</v>
      </c>
    </row>
    <row r="28" spans="1:4" x14ac:dyDescent="0.2">
      <c r="A28" s="36">
        <f>E82</f>
        <v>296.87200000000001</v>
      </c>
      <c r="B28" s="58" t="s">
        <v>11</v>
      </c>
      <c r="C28" s="32">
        <f>D82</f>
        <v>1.254</v>
      </c>
      <c r="D28" s="52">
        <f>H82</f>
        <v>44083.333333333328</v>
      </c>
    </row>
    <row r="29" spans="1:4" x14ac:dyDescent="0.2">
      <c r="A29" s="36">
        <f>E84</f>
        <v>298.11600000000004</v>
      </c>
      <c r="B29" s="58" t="s">
        <v>12</v>
      </c>
      <c r="C29" s="32">
        <f>D84</f>
        <v>1.244</v>
      </c>
      <c r="D29" s="52">
        <f>H84</f>
        <v>44083.375</v>
      </c>
    </row>
    <row r="30" spans="1:4" x14ac:dyDescent="0.2">
      <c r="A30" s="36">
        <f>E86</f>
        <v>299.35400000000004</v>
      </c>
      <c r="B30" s="58" t="s">
        <v>13</v>
      </c>
      <c r="C30" s="32">
        <f>D86</f>
        <v>1.238</v>
      </c>
      <c r="D30" s="52">
        <f>H86</f>
        <v>44083.416666666672</v>
      </c>
    </row>
    <row r="31" spans="1:4" x14ac:dyDescent="0.2">
      <c r="A31" s="36">
        <f>E88</f>
        <v>300.81900000000002</v>
      </c>
      <c r="B31" s="58" t="s">
        <v>14</v>
      </c>
      <c r="C31" s="32">
        <f>D88</f>
        <v>1.4650000000000001</v>
      </c>
      <c r="D31" s="52">
        <f>H88</f>
        <v>44083.458333333328</v>
      </c>
    </row>
    <row r="32" spans="1:4" ht="16" thickBot="1" x14ac:dyDescent="0.25">
      <c r="A32" s="41">
        <f>E90</f>
        <v>302.22000000000003</v>
      </c>
      <c r="B32" s="59" t="s">
        <v>15</v>
      </c>
      <c r="C32" s="33">
        <f>D90</f>
        <v>1.401</v>
      </c>
      <c r="D32" s="53">
        <f>H90</f>
        <v>44083.5</v>
      </c>
    </row>
    <row r="35" spans="1:6" x14ac:dyDescent="0.2">
      <c r="A35" t="str">
        <f>A12</f>
        <v>55cb585f7cf29d0400120ae0fe575f8a570400cd04cb04cc04cd04ca04c404c504c404f004e604dc04d604b9057905</v>
      </c>
      <c r="B35" s="3"/>
      <c r="C35" s="3"/>
    </row>
    <row r="36" spans="1:6" x14ac:dyDescent="0.2">
      <c r="B36" s="3"/>
      <c r="C36" s="3"/>
    </row>
    <row r="37" spans="1:6" x14ac:dyDescent="0.2">
      <c r="A37" t="str">
        <f>MID(A35,1,8)</f>
        <v>55cb585f</v>
      </c>
      <c r="B37" s="3" t="str">
        <f>MID($A$37,7,2)</f>
        <v>5f</v>
      </c>
      <c r="C37" s="3" t="str">
        <f>B37&amp;B38&amp;B39&amp;B40</f>
        <v>5f58cb55</v>
      </c>
      <c r="D37">
        <f>HEX2DEC(C37)</f>
        <v>1599654741</v>
      </c>
      <c r="E37" s="21">
        <f>D37/86400+DATE(1970,1,1)</f>
        <v>44083.522465277776</v>
      </c>
      <c r="F37" t="s">
        <v>16</v>
      </c>
    </row>
    <row r="38" spans="1:6" x14ac:dyDescent="0.2">
      <c r="B38" s="3" t="str">
        <f>MID($A$37,5,2)</f>
        <v>58</v>
      </c>
    </row>
    <row r="39" spans="1:6" x14ac:dyDescent="0.2">
      <c r="B39" s="3" t="str">
        <f>MID($A$37,3,2)</f>
        <v>cb</v>
      </c>
    </row>
    <row r="40" spans="1:6" x14ac:dyDescent="0.2">
      <c r="B40" s="3" t="str">
        <f>MID($A$37,1,2)</f>
        <v>55</v>
      </c>
      <c r="C40" s="3"/>
    </row>
    <row r="41" spans="1:6" x14ac:dyDescent="0.2">
      <c r="C41" s="3"/>
    </row>
    <row r="42" spans="1:6" x14ac:dyDescent="0.2">
      <c r="A42" s="2" t="str">
        <f>MID(A35,9,2)</f>
        <v>7c</v>
      </c>
      <c r="B42" s="3"/>
      <c r="C42" s="3"/>
      <c r="E42" s="1" t="str">
        <f>A42</f>
        <v>7c</v>
      </c>
      <c r="F42" t="s">
        <v>22</v>
      </c>
    </row>
    <row r="43" spans="1:6" x14ac:dyDescent="0.2">
      <c r="A43" s="2"/>
      <c r="B43" s="3"/>
      <c r="C43" s="3"/>
    </row>
    <row r="44" spans="1:6" x14ac:dyDescent="0.2">
      <c r="A44" t="str">
        <f>MID(A35,11,8)</f>
        <v>f29d0400</v>
      </c>
      <c r="B44" s="3" t="str">
        <f>MID($A$44,7,2)</f>
        <v>00</v>
      </c>
      <c r="C44" s="3" t="str">
        <f>B44&amp;B45&amp;B46&amp;B47</f>
        <v>00049df2</v>
      </c>
      <c r="D44">
        <f>HEX2DEC(C44)</f>
        <v>302578</v>
      </c>
      <c r="E44" s="19">
        <f>D44/1000</f>
        <v>302.57799999999997</v>
      </c>
      <c r="F44" t="s">
        <v>1</v>
      </c>
    </row>
    <row r="45" spans="1:6" x14ac:dyDescent="0.2">
      <c r="B45" s="3" t="str">
        <f>MID($A$44,5,2)</f>
        <v>04</v>
      </c>
      <c r="C45" s="3"/>
    </row>
    <row r="46" spans="1:6" x14ac:dyDescent="0.2">
      <c r="B46" s="3" t="str">
        <f>MID($A$44,3,2)</f>
        <v>9d</v>
      </c>
      <c r="C46" s="3"/>
    </row>
    <row r="47" spans="1:6" x14ac:dyDescent="0.2">
      <c r="B47" s="3" t="str">
        <f>MID($A$44,1,2)</f>
        <v>f2</v>
      </c>
      <c r="C47" s="3"/>
    </row>
    <row r="48" spans="1:6" x14ac:dyDescent="0.2">
      <c r="B48" s="3"/>
      <c r="C48" s="3"/>
    </row>
    <row r="49" spans="1:8" x14ac:dyDescent="0.2">
      <c r="A49" t="str">
        <f>MID(A35,19,4)</f>
        <v>120a</v>
      </c>
      <c r="B49" s="3" t="str">
        <f>MID($A$49,3,2)</f>
        <v>0a</v>
      </c>
      <c r="C49" s="3" t="str">
        <f>B49&amp;B50</f>
        <v>0a12</v>
      </c>
      <c r="D49">
        <f>HEX2DEC(C49)</f>
        <v>2578</v>
      </c>
      <c r="E49" s="22">
        <f>D49/100</f>
        <v>25.78</v>
      </c>
      <c r="F49" t="s">
        <v>23</v>
      </c>
    </row>
    <row r="50" spans="1:8" x14ac:dyDescent="0.2">
      <c r="B50" s="3" t="str">
        <f>MID($A$49,1,2)</f>
        <v>12</v>
      </c>
      <c r="C50" s="3"/>
    </row>
    <row r="51" spans="1:8" x14ac:dyDescent="0.2">
      <c r="C51" s="3"/>
    </row>
    <row r="52" spans="1:8" x14ac:dyDescent="0.2">
      <c r="A52" t="str">
        <f>MID(A35,23,8)</f>
        <v>e0fe575f</v>
      </c>
      <c r="B52" s="3" t="str">
        <f>MID($A$52,7,2)</f>
        <v>5f</v>
      </c>
      <c r="C52" s="3" t="str">
        <f>B52&amp;B53&amp;B54&amp;B55</f>
        <v>5f57fee0</v>
      </c>
      <c r="D52">
        <f>HEX2DEC(C52)</f>
        <v>1599602400</v>
      </c>
      <c r="E52" s="21">
        <f>D52/86400+DATE(1970,1,1)</f>
        <v>44082.916666666672</v>
      </c>
      <c r="F52" t="s">
        <v>24</v>
      </c>
    </row>
    <row r="53" spans="1:8" x14ac:dyDescent="0.2">
      <c r="B53" s="3" t="str">
        <f>MID($A$52,5,2)</f>
        <v>57</v>
      </c>
      <c r="C53" s="3"/>
    </row>
    <row r="54" spans="1:8" x14ac:dyDescent="0.2">
      <c r="B54" s="3" t="str">
        <f>MID($A$52,3,2)</f>
        <v>fe</v>
      </c>
      <c r="C54" s="3"/>
    </row>
    <row r="55" spans="1:8" x14ac:dyDescent="0.2">
      <c r="B55" s="3" t="str">
        <f>MID($A$52,1,2)</f>
        <v>e0</v>
      </c>
      <c r="C55" s="3"/>
    </row>
    <row r="56" spans="1:8" x14ac:dyDescent="0.2">
      <c r="B56" s="3"/>
      <c r="C56" s="3"/>
    </row>
    <row r="57" spans="1:8" x14ac:dyDescent="0.2">
      <c r="A57" t="str">
        <f>MID(A35,31,8)</f>
        <v>8a570400</v>
      </c>
      <c r="B57" s="3" t="str">
        <f>MID($A$57,7,2)</f>
        <v>00</v>
      </c>
      <c r="C57" s="3" t="str">
        <f>B57&amp;B58&amp;B59&amp;B60</f>
        <v>0004578a</v>
      </c>
      <c r="D57">
        <f>HEX2DEC(C57)</f>
        <v>284554</v>
      </c>
      <c r="E57" s="19">
        <f>D57/1000</f>
        <v>284.55399999999997</v>
      </c>
      <c r="F57" t="s">
        <v>24</v>
      </c>
    </row>
    <row r="58" spans="1:8" x14ac:dyDescent="0.2">
      <c r="B58" s="3" t="str">
        <f>MID($A$57,5,2)</f>
        <v>04</v>
      </c>
      <c r="C58" s="3"/>
    </row>
    <row r="59" spans="1:8" x14ac:dyDescent="0.2">
      <c r="B59" s="3" t="str">
        <f>MID($A$57,3,2)</f>
        <v>57</v>
      </c>
      <c r="C59" s="3"/>
    </row>
    <row r="60" spans="1:8" x14ac:dyDescent="0.2">
      <c r="B60" s="3" t="str">
        <f>MID($A$57,1,2)</f>
        <v>8a</v>
      </c>
      <c r="C60" s="3"/>
    </row>
    <row r="62" spans="1:8" x14ac:dyDescent="0.2">
      <c r="A62" t="str">
        <f>MID(A35,39,56)</f>
        <v>cd04cb04cc04cd04ca04c404c504c404f004e604dc04d604b9057905</v>
      </c>
      <c r="F62">
        <v>3600</v>
      </c>
    </row>
    <row r="64" spans="1:8" x14ac:dyDescent="0.2">
      <c r="A64" t="str">
        <f>MID($A$62,3,2)</f>
        <v>04</v>
      </c>
      <c r="B64" t="str">
        <f>A64&amp;A65</f>
        <v>04cd</v>
      </c>
      <c r="C64">
        <f>HEX2DEC(B64)</f>
        <v>1229</v>
      </c>
      <c r="D64">
        <f>C64/1000</f>
        <v>1.2290000000000001</v>
      </c>
      <c r="E64" s="5">
        <f>E57+D64</f>
        <v>285.78299999999996</v>
      </c>
      <c r="F64">
        <v>1</v>
      </c>
      <c r="G64">
        <f>$D$52+($F$62*F64)</f>
        <v>1599606000</v>
      </c>
      <c r="H64" s="21">
        <f>G64/86400+DATE(1970,1,1)</f>
        <v>44082.958333333328</v>
      </c>
    </row>
    <row r="65" spans="1:8" x14ac:dyDescent="0.2">
      <c r="A65" t="str">
        <f>MID($A$62,1,2)</f>
        <v>cd</v>
      </c>
    </row>
    <row r="66" spans="1:8" x14ac:dyDescent="0.2">
      <c r="A66" t="str">
        <f>MID($A$62,7,2)</f>
        <v>04</v>
      </c>
      <c r="B66" t="str">
        <f>A66&amp;A67</f>
        <v>04cb</v>
      </c>
      <c r="C66">
        <f>HEX2DEC(B66)</f>
        <v>1227</v>
      </c>
      <c r="D66">
        <f t="shared" ref="D66:D90" si="0">C66/1000</f>
        <v>1.2270000000000001</v>
      </c>
      <c r="E66" s="5">
        <f>E64+D66</f>
        <v>287.00999999999993</v>
      </c>
      <c r="F66">
        <v>2</v>
      </c>
      <c r="G66">
        <f>$D$52+($F$62*F66)</f>
        <v>1599609600</v>
      </c>
      <c r="H66" s="21">
        <f>G66/86400+DATE(1970,1,1)</f>
        <v>44083</v>
      </c>
    </row>
    <row r="67" spans="1:8" x14ac:dyDescent="0.2">
      <c r="A67" t="str">
        <f>MID($A$62,5,2)</f>
        <v>cb</v>
      </c>
      <c r="E67" s="5"/>
    </row>
    <row r="68" spans="1:8" x14ac:dyDescent="0.2">
      <c r="A68" t="str">
        <f>MID($A$62,11,2)</f>
        <v>04</v>
      </c>
      <c r="B68" t="str">
        <f>A68&amp;A69</f>
        <v>04cc</v>
      </c>
      <c r="C68">
        <f>HEX2DEC(B68)</f>
        <v>1228</v>
      </c>
      <c r="D68">
        <f t="shared" si="0"/>
        <v>1.228</v>
      </c>
      <c r="E68" s="5">
        <f t="shared" ref="E68:E90" si="1">E66+D68</f>
        <v>288.23799999999994</v>
      </c>
      <c r="F68">
        <v>3</v>
      </c>
      <c r="G68">
        <f>$D$52+($F$62*F68)</f>
        <v>1599613200</v>
      </c>
      <c r="H68" s="21">
        <f>G68/86400+DATE(1970,1,1)</f>
        <v>44083.041666666672</v>
      </c>
    </row>
    <row r="69" spans="1:8" x14ac:dyDescent="0.2">
      <c r="A69" t="str">
        <f>MID($A$62,9,2)</f>
        <v>cc</v>
      </c>
      <c r="E69" s="5"/>
    </row>
    <row r="70" spans="1:8" x14ac:dyDescent="0.2">
      <c r="A70" t="str">
        <f>MID($A$62,15,2)</f>
        <v>04</v>
      </c>
      <c r="B70" t="str">
        <f>A70&amp;A71</f>
        <v>04cd</v>
      </c>
      <c r="C70">
        <f>HEX2DEC(B70)</f>
        <v>1229</v>
      </c>
      <c r="D70">
        <f t="shared" si="0"/>
        <v>1.2290000000000001</v>
      </c>
      <c r="E70" s="5">
        <f t="shared" si="1"/>
        <v>289.46699999999993</v>
      </c>
      <c r="F70">
        <v>4</v>
      </c>
      <c r="G70">
        <f>$D$52+($F$62*F70)</f>
        <v>1599616800</v>
      </c>
      <c r="H70" s="21">
        <f>G70/86400+DATE(1970,1,1)</f>
        <v>44083.083333333328</v>
      </c>
    </row>
    <row r="71" spans="1:8" x14ac:dyDescent="0.2">
      <c r="A71" t="str">
        <f>MID($A$62,13,2)</f>
        <v>cd</v>
      </c>
      <c r="E71" s="5"/>
    </row>
    <row r="72" spans="1:8" x14ac:dyDescent="0.2">
      <c r="A72" t="str">
        <f>MID($A$62,19,2)</f>
        <v>04</v>
      </c>
      <c r="B72" t="str">
        <f>A72&amp;A73</f>
        <v>04ca</v>
      </c>
      <c r="C72">
        <f>HEX2DEC(B72)</f>
        <v>1226</v>
      </c>
      <c r="D72">
        <f t="shared" si="0"/>
        <v>1.226</v>
      </c>
      <c r="E72" s="5">
        <f t="shared" si="1"/>
        <v>290.69299999999993</v>
      </c>
      <c r="F72">
        <v>5</v>
      </c>
      <c r="G72">
        <f>$D$52+($F$62*F72)</f>
        <v>1599620400</v>
      </c>
      <c r="H72" s="21">
        <f>G72/86400+DATE(1970,1,1)</f>
        <v>44083.125</v>
      </c>
    </row>
    <row r="73" spans="1:8" x14ac:dyDescent="0.2">
      <c r="A73" t="str">
        <f>MID($A$62,17,2)</f>
        <v>ca</v>
      </c>
      <c r="E73" s="5"/>
    </row>
    <row r="74" spans="1:8" x14ac:dyDescent="0.2">
      <c r="A74" t="str">
        <f>MID($A$62,23,2)</f>
        <v>04</v>
      </c>
      <c r="B74" t="str">
        <f>A74&amp;A75</f>
        <v>04c4</v>
      </c>
      <c r="C74">
        <f>HEX2DEC(B74)</f>
        <v>1220</v>
      </c>
      <c r="D74">
        <f t="shared" si="0"/>
        <v>1.22</v>
      </c>
      <c r="E74" s="5">
        <f t="shared" si="1"/>
        <v>291.91299999999995</v>
      </c>
      <c r="F74">
        <v>6</v>
      </c>
      <c r="G74">
        <f>$D$52+($F$62*F74)</f>
        <v>1599624000</v>
      </c>
      <c r="H74" s="21">
        <f>G74/86400+DATE(1970,1,1)</f>
        <v>44083.166666666672</v>
      </c>
    </row>
    <row r="75" spans="1:8" x14ac:dyDescent="0.2">
      <c r="A75" t="str">
        <f>MID($A$62,21,2)</f>
        <v>c4</v>
      </c>
      <c r="E75" s="5"/>
    </row>
    <row r="76" spans="1:8" x14ac:dyDescent="0.2">
      <c r="A76" t="str">
        <f>MID($A$62,27,2)</f>
        <v>04</v>
      </c>
      <c r="B76" t="str">
        <f>A76&amp;A77</f>
        <v>04c5</v>
      </c>
      <c r="C76">
        <f>HEX2DEC(B76)</f>
        <v>1221</v>
      </c>
      <c r="D76">
        <f t="shared" si="0"/>
        <v>1.2210000000000001</v>
      </c>
      <c r="E76" s="5">
        <f t="shared" si="1"/>
        <v>293.13399999999996</v>
      </c>
      <c r="F76">
        <v>7</v>
      </c>
      <c r="G76">
        <f>$D$52+($F$62*F76)</f>
        <v>1599627600</v>
      </c>
      <c r="H76" s="21">
        <f>G76/86400+DATE(1970,1,1)</f>
        <v>44083.208333333328</v>
      </c>
    </row>
    <row r="77" spans="1:8" x14ac:dyDescent="0.2">
      <c r="A77" t="str">
        <f>MID($A$62,25,2)</f>
        <v>c5</v>
      </c>
      <c r="E77" s="5"/>
    </row>
    <row r="78" spans="1:8" x14ac:dyDescent="0.2">
      <c r="A78" t="str">
        <f>MID($A$62,31,2)</f>
        <v>04</v>
      </c>
      <c r="B78" t="str">
        <f>A78&amp;A79</f>
        <v>04c4</v>
      </c>
      <c r="C78">
        <f>HEX2DEC(B78)</f>
        <v>1220</v>
      </c>
      <c r="D78">
        <f t="shared" si="0"/>
        <v>1.22</v>
      </c>
      <c r="E78" s="5">
        <f t="shared" si="1"/>
        <v>294.35399999999998</v>
      </c>
      <c r="F78">
        <v>8</v>
      </c>
      <c r="G78">
        <f>$D$52+($F$62*F78)</f>
        <v>1599631200</v>
      </c>
      <c r="H78" s="21">
        <f>G78/86400+DATE(1970,1,1)</f>
        <v>44083.25</v>
      </c>
    </row>
    <row r="79" spans="1:8" x14ac:dyDescent="0.2">
      <c r="A79" t="str">
        <f>MID($A$62,29,2)</f>
        <v>c4</v>
      </c>
      <c r="E79" s="5"/>
    </row>
    <row r="80" spans="1:8" x14ac:dyDescent="0.2">
      <c r="A80" t="str">
        <f>MID($A$62,35,2)</f>
        <v>04</v>
      </c>
      <c r="B80" t="str">
        <f>A80&amp;A81</f>
        <v>04f0</v>
      </c>
      <c r="C80">
        <f>HEX2DEC(B80)</f>
        <v>1264</v>
      </c>
      <c r="D80">
        <f t="shared" si="0"/>
        <v>1.264</v>
      </c>
      <c r="E80" s="5">
        <f t="shared" si="1"/>
        <v>295.61799999999999</v>
      </c>
      <c r="F80">
        <v>9</v>
      </c>
      <c r="G80">
        <f>$D$52+($F$62*F80)</f>
        <v>1599634800</v>
      </c>
      <c r="H80" s="21">
        <f>G80/86400+DATE(1970,1,1)</f>
        <v>44083.291666666672</v>
      </c>
    </row>
    <row r="81" spans="1:8" x14ac:dyDescent="0.2">
      <c r="A81" t="str">
        <f>MID($A$62,33,2)</f>
        <v>f0</v>
      </c>
      <c r="E81" s="5"/>
    </row>
    <row r="82" spans="1:8" x14ac:dyDescent="0.2">
      <c r="A82" t="str">
        <f>MID($A$62,39,2)</f>
        <v>04</v>
      </c>
      <c r="B82" t="str">
        <f>A82&amp;A83</f>
        <v>04e6</v>
      </c>
      <c r="C82">
        <f>HEX2DEC(B82)</f>
        <v>1254</v>
      </c>
      <c r="D82">
        <f t="shared" si="0"/>
        <v>1.254</v>
      </c>
      <c r="E82" s="5">
        <f t="shared" si="1"/>
        <v>296.87200000000001</v>
      </c>
      <c r="F82">
        <v>10</v>
      </c>
      <c r="G82">
        <f>$D$52+($F$62*F82)</f>
        <v>1599638400</v>
      </c>
      <c r="H82" s="21">
        <f>G82/86400+DATE(1970,1,1)</f>
        <v>44083.333333333328</v>
      </c>
    </row>
    <row r="83" spans="1:8" x14ac:dyDescent="0.2">
      <c r="A83" t="str">
        <f>MID($A$62,37,2)</f>
        <v>e6</v>
      </c>
      <c r="E83" s="5"/>
    </row>
    <row r="84" spans="1:8" x14ac:dyDescent="0.2">
      <c r="A84" t="str">
        <f>MID($A$62,43,2)</f>
        <v>04</v>
      </c>
      <c r="B84" t="str">
        <f>A84&amp;A85</f>
        <v>04dc</v>
      </c>
      <c r="C84">
        <f>HEX2DEC(B84)</f>
        <v>1244</v>
      </c>
      <c r="D84">
        <f t="shared" si="0"/>
        <v>1.244</v>
      </c>
      <c r="E84" s="5">
        <f t="shared" si="1"/>
        <v>298.11600000000004</v>
      </c>
      <c r="F84">
        <v>11</v>
      </c>
      <c r="G84">
        <f>$D$52+($F$62*F84)</f>
        <v>1599642000</v>
      </c>
      <c r="H84" s="21">
        <f>G84/86400+DATE(1970,1,1)</f>
        <v>44083.375</v>
      </c>
    </row>
    <row r="85" spans="1:8" x14ac:dyDescent="0.2">
      <c r="A85" t="str">
        <f>MID($A$62,41,2)</f>
        <v>dc</v>
      </c>
      <c r="E85" s="5"/>
    </row>
    <row r="86" spans="1:8" x14ac:dyDescent="0.2">
      <c r="A86" t="str">
        <f>MID($A$62,47,2)</f>
        <v>04</v>
      </c>
      <c r="B86" t="str">
        <f>A86&amp;A87</f>
        <v>04d6</v>
      </c>
      <c r="C86">
        <f>HEX2DEC(B86)</f>
        <v>1238</v>
      </c>
      <c r="D86">
        <f t="shared" si="0"/>
        <v>1.238</v>
      </c>
      <c r="E86" s="5">
        <f t="shared" si="1"/>
        <v>299.35400000000004</v>
      </c>
      <c r="F86">
        <v>12</v>
      </c>
      <c r="G86">
        <f>$D$52+($F$62*F86)</f>
        <v>1599645600</v>
      </c>
      <c r="H86" s="21">
        <f>G86/86400+DATE(1970,1,1)</f>
        <v>44083.416666666672</v>
      </c>
    </row>
    <row r="87" spans="1:8" x14ac:dyDescent="0.2">
      <c r="A87" t="str">
        <f>MID($A$62,45,2)</f>
        <v>d6</v>
      </c>
      <c r="E87" s="5"/>
    </row>
    <row r="88" spans="1:8" x14ac:dyDescent="0.2">
      <c r="A88" t="str">
        <f>MID($A$62,51,2)</f>
        <v>05</v>
      </c>
      <c r="B88" t="str">
        <f>A88&amp;A89</f>
        <v>05b9</v>
      </c>
      <c r="C88">
        <f>HEX2DEC(B88)</f>
        <v>1465</v>
      </c>
      <c r="D88">
        <f t="shared" si="0"/>
        <v>1.4650000000000001</v>
      </c>
      <c r="E88" s="5">
        <f t="shared" si="1"/>
        <v>300.81900000000002</v>
      </c>
      <c r="F88">
        <v>13</v>
      </c>
      <c r="G88">
        <f>$D$52+($F$62*F88)</f>
        <v>1599649200</v>
      </c>
      <c r="H88" s="21">
        <f>G88/86400+DATE(1970,1,1)</f>
        <v>44083.458333333328</v>
      </c>
    </row>
    <row r="89" spans="1:8" x14ac:dyDescent="0.2">
      <c r="A89" t="str">
        <f>MID($A$62,49,2)</f>
        <v>b9</v>
      </c>
      <c r="E89" s="5"/>
    </row>
    <row r="90" spans="1:8" x14ac:dyDescent="0.2">
      <c r="A90" t="str">
        <f>MID($A$62,55,2)</f>
        <v>05</v>
      </c>
      <c r="B90" t="str">
        <f>A90&amp;A91</f>
        <v>0579</v>
      </c>
      <c r="C90">
        <f>HEX2DEC(B90)</f>
        <v>1401</v>
      </c>
      <c r="D90">
        <f t="shared" si="0"/>
        <v>1.401</v>
      </c>
      <c r="E90" s="5">
        <f t="shared" si="1"/>
        <v>302.22000000000003</v>
      </c>
      <c r="F90">
        <v>14</v>
      </c>
      <c r="G90">
        <f>$D$52+($F$62*F90)</f>
        <v>1599652800</v>
      </c>
      <c r="H90" s="21">
        <f>G90/86400+DATE(1970,1,1)</f>
        <v>44083.5</v>
      </c>
    </row>
    <row r="91" spans="1:8" x14ac:dyDescent="0.2">
      <c r="A91" t="str">
        <f>MID($A$62,53,2)</f>
        <v>79</v>
      </c>
    </row>
    <row r="93" spans="1:8" ht="16" thickBot="1" x14ac:dyDescent="0.25"/>
    <row r="94" spans="1:8" ht="16" thickBot="1" x14ac:dyDescent="0.25">
      <c r="A94" s="42" t="s">
        <v>31</v>
      </c>
      <c r="B94" s="43" t="s">
        <v>32</v>
      </c>
      <c r="C94" s="44" t="s">
        <v>33</v>
      </c>
    </row>
    <row r="95" spans="1:8" ht="17" thickBot="1" x14ac:dyDescent="0.25">
      <c r="A95" s="45" t="s">
        <v>34</v>
      </c>
      <c r="B95" s="46">
        <v>4</v>
      </c>
      <c r="C95" s="47">
        <f>HEX2DEC(B95)</f>
        <v>4</v>
      </c>
    </row>
    <row r="96" spans="1:8" ht="17" thickBot="1" x14ac:dyDescent="0.25">
      <c r="A96" s="48" t="s">
        <v>35</v>
      </c>
      <c r="B96" s="49">
        <v>8</v>
      </c>
      <c r="C96" s="47">
        <f t="shared" ref="C96:C117" si="2">HEX2DEC(B96)</f>
        <v>8</v>
      </c>
    </row>
    <row r="97" spans="1:3" ht="17" thickBot="1" x14ac:dyDescent="0.25">
      <c r="A97" s="48" t="s">
        <v>36</v>
      </c>
      <c r="B97" s="50">
        <v>10</v>
      </c>
      <c r="C97" s="47">
        <f t="shared" si="2"/>
        <v>16</v>
      </c>
    </row>
    <row r="98" spans="1:3" ht="17" thickBot="1" x14ac:dyDescent="0.25">
      <c r="A98" s="48" t="s">
        <v>37</v>
      </c>
      <c r="B98" s="50">
        <v>70</v>
      </c>
      <c r="C98" s="47">
        <f t="shared" si="2"/>
        <v>112</v>
      </c>
    </row>
    <row r="99" spans="1:3" ht="17" thickBot="1" x14ac:dyDescent="0.25">
      <c r="A99" s="48" t="s">
        <v>38</v>
      </c>
      <c r="B99" s="50">
        <v>30</v>
      </c>
      <c r="C99" s="47">
        <f t="shared" si="2"/>
        <v>48</v>
      </c>
    </row>
    <row r="100" spans="1:3" ht="17" thickBot="1" x14ac:dyDescent="0.25">
      <c r="A100" s="48" t="s">
        <v>39</v>
      </c>
      <c r="B100" s="50" t="s">
        <v>40</v>
      </c>
      <c r="C100" s="47">
        <f t="shared" si="2"/>
        <v>176</v>
      </c>
    </row>
    <row r="101" spans="1:3" ht="17" thickBot="1" x14ac:dyDescent="0.25">
      <c r="A101" s="48" t="s">
        <v>41</v>
      </c>
      <c r="B101" s="50">
        <v>90</v>
      </c>
      <c r="C101" s="47">
        <f t="shared" si="2"/>
        <v>144</v>
      </c>
    </row>
    <row r="102" spans="1:3" ht="17" thickBot="1" x14ac:dyDescent="0.25">
      <c r="A102" s="48" t="s">
        <v>42</v>
      </c>
      <c r="B102" s="50">
        <v>14</v>
      </c>
      <c r="C102" s="47">
        <f t="shared" si="2"/>
        <v>20</v>
      </c>
    </row>
    <row r="103" spans="1:3" ht="17" thickBot="1" x14ac:dyDescent="0.25">
      <c r="A103" s="48" t="s">
        <v>43</v>
      </c>
      <c r="B103" s="50">
        <v>74</v>
      </c>
      <c r="C103" s="47">
        <f t="shared" si="2"/>
        <v>116</v>
      </c>
    </row>
    <row r="104" spans="1:3" ht="17" thickBot="1" x14ac:dyDescent="0.25">
      <c r="A104" s="48" t="s">
        <v>44</v>
      </c>
      <c r="B104" s="50">
        <v>34</v>
      </c>
      <c r="C104" s="47">
        <f t="shared" si="2"/>
        <v>52</v>
      </c>
    </row>
    <row r="105" spans="1:3" ht="17" thickBot="1" x14ac:dyDescent="0.25">
      <c r="A105" s="48" t="s">
        <v>45</v>
      </c>
      <c r="B105" s="50" t="s">
        <v>46</v>
      </c>
      <c r="C105" s="47">
        <f t="shared" si="2"/>
        <v>180</v>
      </c>
    </row>
    <row r="106" spans="1:3" ht="17" thickBot="1" x14ac:dyDescent="0.25">
      <c r="A106" s="48" t="s">
        <v>47</v>
      </c>
      <c r="B106" s="50">
        <v>94</v>
      </c>
      <c r="C106" s="47">
        <f t="shared" si="2"/>
        <v>148</v>
      </c>
    </row>
    <row r="107" spans="1:3" ht="17" thickBot="1" x14ac:dyDescent="0.25">
      <c r="A107" s="48" t="s">
        <v>48</v>
      </c>
      <c r="B107" s="50" t="s">
        <v>49</v>
      </c>
      <c r="C107" s="47">
        <f t="shared" si="2"/>
        <v>12</v>
      </c>
    </row>
    <row r="108" spans="1:3" ht="17" thickBot="1" x14ac:dyDescent="0.25">
      <c r="A108" s="48" t="s">
        <v>50</v>
      </c>
      <c r="B108" s="50">
        <v>18</v>
      </c>
      <c r="C108" s="47">
        <f t="shared" si="2"/>
        <v>24</v>
      </c>
    </row>
    <row r="109" spans="1:3" ht="17" thickBot="1" x14ac:dyDescent="0.25">
      <c r="A109" s="48" t="s">
        <v>51</v>
      </c>
      <c r="B109" s="50">
        <v>78</v>
      </c>
      <c r="C109" s="47">
        <f t="shared" si="2"/>
        <v>120</v>
      </c>
    </row>
    <row r="110" spans="1:3" ht="17" thickBot="1" x14ac:dyDescent="0.25">
      <c r="A110" s="48" t="s">
        <v>52</v>
      </c>
      <c r="B110" s="50">
        <v>38</v>
      </c>
      <c r="C110" s="47">
        <f t="shared" si="2"/>
        <v>56</v>
      </c>
    </row>
    <row r="111" spans="1:3" ht="17" thickBot="1" x14ac:dyDescent="0.25">
      <c r="A111" s="48" t="s">
        <v>53</v>
      </c>
      <c r="B111" s="50" t="s">
        <v>54</v>
      </c>
      <c r="C111" s="47">
        <f t="shared" si="2"/>
        <v>184</v>
      </c>
    </row>
    <row r="112" spans="1:3" ht="17" thickBot="1" x14ac:dyDescent="0.25">
      <c r="A112" s="48" t="s">
        <v>55</v>
      </c>
      <c r="B112" s="50">
        <v>98</v>
      </c>
      <c r="C112" s="47">
        <f t="shared" si="2"/>
        <v>152</v>
      </c>
    </row>
    <row r="113" spans="1:3" ht="17" thickBot="1" x14ac:dyDescent="0.25">
      <c r="A113" s="48" t="s">
        <v>56</v>
      </c>
      <c r="B113" s="50" t="s">
        <v>57</v>
      </c>
      <c r="C113" s="47">
        <f t="shared" si="2"/>
        <v>28</v>
      </c>
    </row>
    <row r="114" spans="1:3" ht="17" thickBot="1" x14ac:dyDescent="0.25">
      <c r="A114" s="48" t="s">
        <v>58</v>
      </c>
      <c r="B114" s="50" t="s">
        <v>59</v>
      </c>
      <c r="C114" s="47">
        <f t="shared" si="2"/>
        <v>124</v>
      </c>
    </row>
    <row r="115" spans="1:3" ht="17" thickBot="1" x14ac:dyDescent="0.25">
      <c r="A115" s="48" t="s">
        <v>60</v>
      </c>
      <c r="B115" s="50" t="s">
        <v>61</v>
      </c>
      <c r="C115" s="47">
        <f t="shared" si="2"/>
        <v>60</v>
      </c>
    </row>
    <row r="116" spans="1:3" ht="17" thickBot="1" x14ac:dyDescent="0.25">
      <c r="A116" s="48" t="s">
        <v>62</v>
      </c>
      <c r="B116" s="50" t="s">
        <v>63</v>
      </c>
      <c r="C116" s="47">
        <f t="shared" si="2"/>
        <v>188</v>
      </c>
    </row>
    <row r="117" spans="1:3" ht="17" thickBot="1" x14ac:dyDescent="0.25">
      <c r="A117" s="48" t="s">
        <v>64</v>
      </c>
      <c r="B117" s="50" t="s">
        <v>65</v>
      </c>
      <c r="C117" s="47">
        <f t="shared" si="2"/>
        <v>156</v>
      </c>
    </row>
    <row r="118" spans="1:3" ht="16" thickBot="1" x14ac:dyDescent="0.25">
      <c r="A118" s="48" t="s">
        <v>66</v>
      </c>
      <c r="B118" s="51">
        <v>0</v>
      </c>
      <c r="C118" s="47">
        <v>0</v>
      </c>
    </row>
  </sheetData>
  <mergeCells count="1">
    <mergeCell ref="C14:D14"/>
  </mergeCells>
  <conditionalFormatting sqref="A14 B95:B118">
    <cfRule type="duplicateValues" dxfId="5" priority="2"/>
  </conditionalFormatting>
  <conditionalFormatting sqref="A95:A118">
    <cfRule type="duplicateValues" dxfId="4" priority="3"/>
    <cfRule type="duplicateValues" dxfId="3" priority="4"/>
    <cfRule type="duplicateValues" dxfId="2" priority="5"/>
  </conditionalFormatting>
  <conditionalFormatting sqref="B95:B117">
    <cfRule type="duplicateValues" dxfId="1" priority="6"/>
  </conditionalFormatting>
  <conditionalFormatting sqref="C14:D14 A95:A11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2023-11-23T11:05:06Z</dcterms:modified>
</cp:coreProperties>
</file>