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lan\Desktop\DAs\"/>
    </mc:Choice>
  </mc:AlternateContent>
  <xr:revisionPtr revIDLastSave="0" documentId="13_ncr:1_{9B375A19-4393-43BE-A835-C54ABAB757EC}" xr6:coauthVersionLast="47" xr6:coauthVersionMax="47" xr10:uidLastSave="{00000000-0000-0000-0000-000000000000}"/>
  <bookViews>
    <workbookView xWindow="-108" yWindow="-108" windowWidth="23256" windowHeight="12456" firstSheet="5" activeTab="8" xr2:uid="{BB40D76D-F4C1-494D-9E68-01C5C905F01F}"/>
  </bookViews>
  <sheets>
    <sheet name="data" sheetId="1" r:id="rId1"/>
    <sheet name="staff" sheetId="2" r:id="rId2"/>
    <sheet name="ALL STAFF" sheetId="3" r:id="rId3"/>
    <sheet name="Info Finder v2.0" sheetId="4" r:id="rId4"/>
    <sheet name="Male VS Female" sheetId="5" r:id="rId5"/>
    <sheet name="Salary Spread" sheetId="6" r:id="rId6"/>
    <sheet name="Salary VS Rating" sheetId="7" r:id="rId7"/>
    <sheet name="Sheet9" sheetId="9" r:id="rId8"/>
    <sheet name="New Zeland VS India" sheetId="10" r:id="rId9"/>
    <sheet name="Sheet11" sheetId="11" r:id="rId10"/>
    <sheet name="Sheet8" sheetId="8" r:id="rId11"/>
  </sheets>
  <definedNames>
    <definedName name="_xlchart.v1.0" hidden="1">'ALL STAFF'!$G$1</definedName>
    <definedName name="_xlchart.v1.1" hidden="1">'ALL STAFF'!$G$2:$G$184</definedName>
    <definedName name="_xlchart.v1.2" hidden="1">'ALL STAFF'!$G$1</definedName>
    <definedName name="_xlchart.v1.3" hidden="1">'ALL STAFF'!$G$2:$G$184</definedName>
    <definedName name="_xlchart.v1.4" hidden="1">'ALL STAFF'!$G$1</definedName>
    <definedName name="_xlchart.v1.5" hidden="1">'ALL STAFF'!$G$2:$G$184</definedName>
    <definedName name="_xlcn.WorksheetConnection_Customersdata.xlsxstaff1" hidden="1">staff[]</definedName>
    <definedName name="ExternalData_1" localSheetId="2" hidden="1">'ALL STAFF'!$A$1:$H$184</definedName>
    <definedName name="Slicer_Country">#N/A</definedName>
  </definedNames>
  <calcPr calcId="191029"/>
  <pivotCaches>
    <pivotCache cacheId="88" r:id="rId12"/>
    <pivotCache cacheId="92" r:id="rId13"/>
    <pivotCache cacheId="134" r:id="rId14"/>
    <pivotCache cacheId="175" r:id="rId15"/>
    <pivotCache cacheId="179" r:id="rId16"/>
  </pivotCaches>
  <extLst>
    <ext xmlns:x14="http://schemas.microsoft.com/office/spreadsheetml/2009/9/main" uri="{876F7934-8845-4945-9796-88D515C7AA90}">
      <x14:pivotCaches>
        <pivotCache cacheId="91"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Customers data.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10" l="1"/>
  <c r="I5" i="10"/>
  <c r="K5" i="10" s="1"/>
  <c r="F5" i="10"/>
  <c r="B5" i="10"/>
  <c r="D5" i="10" s="1"/>
  <c r="R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 i="9"/>
  <c r="P3" i="9" a="1"/>
  <c r="P3" i="9" s="1"/>
  <c r="O3" i="9" a="1"/>
  <c r="O3"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8" i="4"/>
  <c r="O11" i="3"/>
  <c r="P5" i="3"/>
  <c r="P4" i="3"/>
  <c r="O8" i="3"/>
  <c r="I2" i="3"/>
  <c r="J2" i="3" s="1"/>
  <c r="I3" i="3"/>
  <c r="J3" i="3" s="1"/>
  <c r="I4" i="3"/>
  <c r="J4" i="3" s="1"/>
  <c r="I5" i="3"/>
  <c r="J5" i="3" s="1"/>
  <c r="I6" i="3"/>
  <c r="J6" i="3" s="1"/>
  <c r="I7" i="3"/>
  <c r="J7" i="3" s="1"/>
  <c r="I8" i="3"/>
  <c r="J8" i="3" s="1"/>
  <c r="I9" i="3"/>
  <c r="N19" i="3" s="1" a="1"/>
  <c r="N1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O5" i="3"/>
  <c r="O4" i="3"/>
  <c r="O3" i="3"/>
  <c r="F103" i="1"/>
  <c r="G103" i="1"/>
  <c r="J9" i="3" l="1"/>
  <c r="B10" i="4" a="1"/>
  <c r="B10" i="4" s="1"/>
  <c r="O22" i="3" a="1"/>
  <c r="O22" i="3" s="1"/>
  <c r="O9" i="3"/>
  <c r="O12" i="3"/>
  <c r="O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E8A322-7E69-43E5-81DF-78A1233427D7}"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CE27D9B7-8062-431B-8AB0-76368EA971D1}" keepAlive="1" name="Query - new_zeland_staff" description="Connection to the 'new_zeland_staff' query in the workbook." type="5" refreshedVersion="0" background="1">
    <dbPr connection="Provider=Microsoft.Mashup.OleDb.1;Data Source=$Workbook$;Location=new_zeland_staff;Extended Properties=&quot;&quot;" command="SELECT * FROM [new_zeland_staff]"/>
  </connection>
  <connection id="3" xr16:uid="{08EC228D-BA13-4615-B94A-44A085BAC90F}" keepAlive="1" name="Query - staff" description="Connection to the 'staff' query in the workbook." type="5" refreshedVersion="7" background="1" saveData="1">
    <dbPr connection="Provider=Microsoft.Mashup.OleDb.1;Data Source=$Workbook$;Location=staff;Extended Properties=&quot;&quot;" command="SELECT * FROM [staff]"/>
  </connection>
  <connection id="4" xr16:uid="{E779103A-1AB4-4D1D-8451-068A83B0E2E1}" keepAlive="1" name="Query - staff (2)" description="Connection to the 'staff (2)' query in the workbook." type="5" refreshedVersion="7" background="1" saveData="1">
    <dbPr connection="Provider=Microsoft.Mashup.OleDb.1;Data Source=$Workbook$;Location=&quot;staff (2)&quot;;Extended Properties=&quot;&quot;" command="SELECT * FROM [staff (2)]"/>
  </connection>
  <connection id="5" xr16:uid="{81BB886A-2066-46F9-B648-4E8055DFB9B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0EE9D736-4FF2-4605-9836-E7859415E3FE}" name="WorksheetConnection_Customers data.xlsx!staff" type="102" refreshedVersion="7" minRefreshableVersion="5">
    <extLst>
      <ext xmlns:x15="http://schemas.microsoft.com/office/spreadsheetml/2010/11/main" uri="{DE250136-89BD-433C-8126-D09CA5730AF9}">
        <x15:connection id="staff" autoDelete="1">
          <x15:rangePr sourceName="_xlcn.WorksheetConnection_Customersdata.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<sst xmlns="http://schemas.openxmlformats.org/spreadsheetml/2006/main" count="1890" uniqueCount="255">
  <si>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</si>
  <si>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</si>
  <si>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</si>
  <si>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</si>
  <si>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</si>
  <si>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</si>
  <si>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</si>
  <si>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</si>
  <si>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</si>
  <si>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</si>
  <si>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</si>
  <si>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</si>
  <si>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</si>
  <si>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</si>
  <si>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</si>
  <si>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</si>
  <si>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</si>
  <si>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</si>
  <si>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</si>
  <si>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</si>
  <si>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</si>
  <si>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</si>
  <si>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</si>
  <si>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</si>
  <si>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</si>
  <si>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</si>
  <si>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</si>
  <si>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</si>
  <si>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</si>
  <si>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</si>
  <si>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</si>
  <si>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</si>
  <si>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</si>
  <si>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</si>
  <si>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</si>
  <si>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</si>
  <si>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</si>
  <si>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</si>
  <si>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</si>
  <si>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</si>
  <si>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</si>
  <si>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</si>
  <si>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</si>
  <si>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</si>
  <si>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</si>
  <si>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</si>
  <si>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</si>
  <si>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</si>
  <si>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</si>
  <si>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</si>
  <si>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</si>
  <si>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</si>
  <si>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</si>
  <si>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</si>
  <si>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</si>
  <si>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</si>
  <si>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</si>
  <si>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</si>
  <si>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</si>
  <si>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</si>
  <si>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</si>
  <si>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</si>
  <si>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</si>
  <si>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</si>
  <si>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</si>
  <si>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</si>
  <si>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</si>
  <si>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</si>
  <si>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</si>
  <si>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</si>
  <si>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</si>
  <si>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</si>
  <si>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</si>
  <si>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</si>
  <si>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</si>
  <si>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</si>
  <si>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</si>
  <si>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</si>
  <si>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</si>
  <si>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</si>
  <si>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</si>
  <si>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</si>
  <si>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</si>
  <si>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</si>
  <si>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</si>
  <si>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</si>
  <si>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</si>
  <si>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</si>
  <si>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</si>
  <si>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</si>
  <si>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</si>
  <si>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</si>
  <si>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</si>
  <si>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</si>
  <si>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</si>
  <si>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</si>
  <si>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</si>
  <si>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</si>
  <si>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</si>
  <si>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</si>
  <si>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</si>
  <si>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</si>
  <si>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</si>
  <si>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</si>
  <si>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</si>
  <si>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</si>
  <si>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</si>
  <si>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</si>
  <si>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</si>
  <si>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</si>
  <si>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</si>
  <si>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</si>
  <si>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</si>
  <si>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</si>
  <si>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</si>
  <si>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</si>
  <si>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</si>
  <si>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</si>
  <si>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</si>
  <si>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</si>
  <si>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</si>
  <si>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</si>
  <si>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</si>
  <si>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</si>
  <si>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</si>
  <si>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</si>
  <si>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</si>
  <si>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</si>
  <si>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</si>
  <si>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</si>
  <si>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</si>
  <si>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</si>
  <si>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</si>
  <si>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</si>
  <si>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</si>
  <si>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</si>
  <si>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</si>
  <si>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</si>
  <si>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</si>
  <si>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</si>
  <si>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</si>
  <si>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</si>
  <si>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</si>
  <si>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</si>
  <si>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</si>
  <si>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</si>
  <si>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</si>
  <si>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</si>
  <si>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</si>
  <si>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</si>
  <si>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</si>
  <si>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</si>
  <si>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</si>
  <si>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</si>
  <si>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</si>
  <si>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</si>
  <si>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</si>
  <si>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</si>
  <si>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</si>
  <si>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</si>
  <si>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</si>
  <si>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</si>
  <si>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</si>
  <si>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</si>
  <si>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</si>
  <si>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</si>
  <si>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</si>
  <si>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</si>
  <si>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</si>
  <si>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</si>
  <si>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</si>
  <si>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</si>
  <si>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</si>
  <si>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</si>
  <si>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</si>
  <si>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</si>
  <si>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</si>
  <si>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</si>
  <si>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</si>
  <si>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</si>
  <si>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</si>
  <si>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</si>
  <si>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</si>
  <si>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</si>
  <si>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</si>
  <si>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</si>
  <si>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</si>
  <si>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</si>
  <si>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</si>
  <si>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</si>
  <si>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</si>
  <si>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</si>
  <si>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</si>
  <si>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</si>
  <si>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</si>
  <si>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</si>
  <si>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</si>
  <si>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</si>
  <si>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</si>
  <si>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</si>
  <si>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</si>
  <si>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</si>
  <si>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Total</t>
  </si>
  <si>
    <t>Country</t>
  </si>
  <si>
    <t>ind</t>
  </si>
  <si>
    <t>Other</t>
  </si>
  <si>
    <t>nz</t>
  </si>
  <si>
    <t>Count Staff</t>
  </si>
  <si>
    <t>Average Sallary</t>
  </si>
  <si>
    <t>Average Age</t>
  </si>
  <si>
    <t>Average Tenure</t>
  </si>
  <si>
    <t>Female Ratio %</t>
  </si>
  <si>
    <t>Tenure</t>
  </si>
  <si>
    <t xml:space="preserve"> </t>
  </si>
  <si>
    <t xml:space="preserve">  </t>
  </si>
  <si>
    <t>Female Count</t>
  </si>
  <si>
    <t>Ratio</t>
  </si>
  <si>
    <t>More than 90k</t>
  </si>
  <si>
    <t>ratio</t>
  </si>
  <si>
    <t>Information finder</t>
  </si>
  <si>
    <t>Department Name</t>
  </si>
  <si>
    <t>Number of people</t>
  </si>
  <si>
    <t>Male vs Female</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</si>
  <si>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</si>
  <si>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</si>
  <si>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</si>
  <si>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</si>
  <si>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</si>
  <si>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</si>
  <si>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</si>
  <si>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</si>
  <si>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</si>
  <si>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</si>
  <si>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</si>
  <si>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</si>
  <si>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</si>
  <si>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</si>
  <si>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</si>
  <si>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</si>
  <si>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</si>
  <si>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</si>
  <si>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</si>
  <si>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</si>
  <si>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</si>
  <si>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</si>
  <si>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</si>
  <si>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</si>
  <si>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</si>
  <si>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</si>
  <si>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Mounth</t>
  </si>
  <si>
    <t>Headcount</t>
  </si>
  <si>
    <t>Running Total</t>
  </si>
  <si>
    <t>HEADCOUNT BY DEPARTMENT</t>
  </si>
  <si>
    <t>New Zeland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</si>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</sst>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75" formatCode="0.0"/>
    <numFmt numFmtId="176" formatCode="&quot;$&quot;#,##0.00"/>
    <numFmt numFmtId="178" formatCode="_(&quot;$&quot;* #,##0_);_(&quot;$&quot;* \(#,##0\);_(&quot;$&quot;* &quot;-&quot;??_);_(@_)"/>
    <numFmt numFmtId="181" formatCode="&quot;$&quot;#,##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36"/>
      <color theme="0"/>
      <name val="Calibri"/>
      <family val="2"/>
      <scheme val="minor"/>
    </font>
    <font>
      <b/>
      <sz val="28"/>
      <color theme="0"/>
      <name val="Calibri"/>
      <family val="2"/>
      <scheme val="minor"/>
    </font>
    <font>
      <sz val="20"/>
      <color theme="4" tint="-0.249977111117893"/>
      <name val="Calibri"/>
      <family val="2"/>
      <scheme val="minor"/>
    </font>
    <font>
      <sz val="28"/>
      <color theme="4" tint="-0.249977111117893"/>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15" fontId="0" fillId="0" borderId="0" xfId="0" applyNumberFormat="1"/>
    <xf numFmtId="8" fontId="0" fillId="0" borderId="0" xfId="0" applyNumberFormat="1"/>
    <xf numFmtId="0" fontId="0" fillId="0" borderId="0" xfId="0" applyNumberFormat="1"/>
    <xf numFmtId="14" fontId="0" fillId="0" borderId="0" xfId="0" applyNumberFormat="1"/>
    <xf numFmtId="2" fontId="0" fillId="0" borderId="0" xfId="0" applyNumberFormat="1"/>
    <xf numFmtId="9" fontId="0" fillId="0" borderId="0" xfId="0" applyNumberFormat="1"/>
    <xf numFmtId="0" fontId="2" fillId="2" borderId="0" xfId="0" applyFont="1" applyFill="1"/>
    <xf numFmtId="0" fontId="0" fillId="3" borderId="0" xfId="0" applyFill="1"/>
    <xf numFmtId="0" fontId="0" fillId="0" borderId="0" xfId="0" applyAlignment="1">
      <alignment horizontal="left"/>
    </xf>
    <xf numFmtId="0" fontId="0" fillId="0" borderId="1" xfId="0" applyBorder="1"/>
    <xf numFmtId="0" fontId="0" fillId="0" borderId="1" xfId="0" applyBorder="1" applyAlignment="1">
      <alignment horizontal="center"/>
    </xf>
    <xf numFmtId="15" fontId="0" fillId="0" borderId="1" xfId="0" applyNumberFormat="1" applyBorder="1" applyAlignment="1">
      <alignment horizontal="center"/>
    </xf>
    <xf numFmtId="2" fontId="0" fillId="0" borderId="1" xfId="0" applyNumberFormat="1" applyBorder="1" applyAlignment="1">
      <alignment horizontal="center"/>
    </xf>
    <xf numFmtId="0" fontId="0" fillId="0" borderId="2" xfId="0" applyBorder="1"/>
    <xf numFmtId="0" fontId="0" fillId="4" borderId="3" xfId="0" applyFill="1" applyBorder="1" applyAlignment="1">
      <alignment horizontal="center"/>
    </xf>
    <xf numFmtId="0" fontId="0" fillId="0" borderId="0" xfId="0" pivotButton="1"/>
    <xf numFmtId="175" fontId="0" fillId="0" borderId="0" xfId="0" applyNumberFormat="1"/>
    <xf numFmtId="176" fontId="0" fillId="0" borderId="0" xfId="0" applyNumberFormat="1"/>
    <xf numFmtId="1" fontId="0" fillId="0" borderId="0" xfId="0" applyNumberFormat="1"/>
    <xf numFmtId="178" fontId="0" fillId="0" borderId="0" xfId="1" applyNumberFormat="1" applyFont="1"/>
    <xf numFmtId="181" fontId="0" fillId="0" borderId="0" xfId="0" applyNumberFormat="1"/>
    <xf numFmtId="0" fontId="0" fillId="0" borderId="1" xfId="0" applyBorder="1" applyAlignment="1">
      <alignment horizontal="left"/>
    </xf>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5" borderId="0" xfId="0" applyFont="1" applyFill="1" applyAlignment="1">
      <alignment horizontal="center" vertical="center"/>
    </xf>
    <xf numFmtId="178" fontId="4" fillId="5" borderId="0" xfId="1" applyNumberFormat="1" applyFont="1" applyFill="1" applyAlignment="1">
      <alignment horizontal="center" vertical="center"/>
    </xf>
    <xf numFmtId="9" fontId="3" fillId="5" borderId="0" xfId="2" applyFont="1" applyFill="1" applyAlignment="1">
      <alignment horizontal="center" vertical="center"/>
    </xf>
    <xf numFmtId="0" fontId="3" fillId="2" borderId="0" xfId="0" applyFont="1" applyFill="1" applyAlignment="1">
      <alignment horizontal="center" vertical="center"/>
    </xf>
    <xf numFmtId="178" fontId="4" fillId="2" borderId="0" xfId="1" applyNumberFormat="1" applyFont="1" applyFill="1" applyAlignment="1">
      <alignment horizontal="center" vertical="center"/>
    </xf>
    <xf numFmtId="9" fontId="3" fillId="2" borderId="0" xfId="2" applyFont="1" applyFill="1" applyAlignment="1">
      <alignment horizontal="center" vertical="center"/>
    </xf>
    <xf numFmtId="0" fontId="5" fillId="6" borderId="0" xfId="0" applyFont="1" applyFill="1" applyAlignment="1">
      <alignment horizontal="center" vertical="center"/>
    </xf>
    <xf numFmtId="0" fontId="6" fillId="0" borderId="0" xfId="0" applyFont="1" applyAlignment="1">
      <alignment horizontal="center" vertical="center"/>
    </xf>
  </cellXfs>
  <cellStyles count="3">
    <cellStyle name="Currency" xfId="1" builtinId="4"/>
    <cellStyle name="Normal" xfId="0" builtinId="0"/>
    <cellStyle name="Percent" xfId="2" builtinId="5"/>
  </cellStyles>
  <dxfs count="19">
    <dxf>
      <numFmt numFmtId="1" formatCode="0"/>
    </dxf>
    <dxf>
      <numFmt numFmtId="178" formatCode="_(&quot;$&quot;* #,##0_);_(&quot;$&quot;* \(#,##0\);_(&quot;$&quot;* &quot;-&quot;??_);_(@_)"/>
    </dxf>
    <dxf>
      <numFmt numFmtId="181" formatCode="&quot;$&quot;#,##0"/>
    </dxf>
    <dxf>
      <numFmt numFmtId="181" formatCode="&quot;$&quot;#,##0"/>
    </dxf>
    <dxf>
      <numFmt numFmtId="181" formatCode="&quot;$&quot;#,##0"/>
    </dxf>
    <dxf>
      <numFmt numFmtId="178" formatCode="_(&quot;$&quot;* #,##0_);_(&quot;$&quot;* \(#,##0\);_(&quot;$&quot;* &quot;-&quot;??_);_(@_)"/>
    </dxf>
    <dxf>
      <numFmt numFmtId="0" formatCode="General"/>
    </dxf>
    <dxf>
      <numFmt numFmtId="2" formatCode="0.00"/>
    </dxf>
    <dxf>
      <numFmt numFmtId="175" formatCode="0.0"/>
    </dxf>
    <dxf>
      <numFmt numFmtId="176" formatCode="&quot;$&quot;#,##0.00"/>
    </dxf>
    <dxf>
      <numFmt numFmtId="175" formatCode="0.0"/>
    </dxf>
    <dxf>
      <numFmt numFmtId="175" formatCode="0.0"/>
    </dxf>
    <dxf>
      <numFmt numFmtId="175" formatCode="0.0"/>
    </dxf>
    <dxf>
      <numFmt numFmtId="19" formatCode="dd/mm/yy"/>
    </dxf>
    <dxf>
      <numFmt numFmtId="0" formatCode="General"/>
    </dxf>
    <dxf>
      <numFmt numFmtId="0" formatCode="General"/>
    </dxf>
    <dxf>
      <numFmt numFmtId="12" formatCode="&quot;$&quot;#,##0.00_);[Red]\(&quot;$&quot;#,##0.00\)"/>
    </dxf>
    <dxf>
      <numFmt numFmtId="12" formatCode="&quot;$&quot;#,##0.00_);[Red]\(&quot;$&quot;#,##0.0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 STAFF'!$K$2:$K$184</c:f>
              <c:numCache>
                <c:formatCode>0</c:formatCode>
                <c:ptCount val="183"/>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F2DD-4845-AFA8-17EDEA4321F6}"/>
            </c:ext>
          </c:extLst>
        </c:ser>
        <c:dLbls>
          <c:showLegendKey val="0"/>
          <c:showVal val="0"/>
          <c:showCatName val="0"/>
          <c:showSerName val="0"/>
          <c:showPercent val="0"/>
          <c:showBubbleSize val="0"/>
        </c:dLbls>
        <c:axId val="1660355215"/>
        <c:axId val="1660358127"/>
      </c:scatterChart>
      <c:valAx>
        <c:axId val="1660355215"/>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358127"/>
        <c:crosses val="autoZero"/>
        <c:crossBetween val="midCat"/>
      </c:valAx>
      <c:valAx>
        <c:axId val="16603581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355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data.xlsx]Sheet9!PivotTable3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Sheet9!$C$3</c:f>
              <c:strCache>
                <c:ptCount val="1"/>
                <c:pt idx="0">
                  <c:v>Total</c:v>
                </c:pt>
              </c:strCache>
            </c:strRef>
          </c:tx>
          <c:spPr>
            <a:ln w="28575" cap="rnd">
              <a:solidFill>
                <a:schemeClr val="accent1"/>
              </a:solidFill>
              <a:round/>
            </a:ln>
            <a:effectLst/>
          </c:spPr>
          <c:marker>
            <c:symbol val="none"/>
          </c:marker>
          <c:cat>
            <c:multiLvlStrRef>
              <c:f>Sheet9!$B$4:$B$40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Sheet9!$C$4:$C$40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D3BE-4B38-B0C8-5039F5A76AE4}"/>
            </c:ext>
          </c:extLst>
        </c:ser>
        <c:dLbls>
          <c:showLegendKey val="0"/>
          <c:showVal val="0"/>
          <c:showCatName val="0"/>
          <c:showSerName val="0"/>
          <c:showPercent val="0"/>
          <c:showBubbleSize val="0"/>
        </c:dLbls>
        <c:smooth val="0"/>
        <c:axId val="1660355631"/>
        <c:axId val="299919055"/>
      </c:lineChart>
      <c:catAx>
        <c:axId val="166035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19055"/>
        <c:crosses val="autoZero"/>
        <c:auto val="1"/>
        <c:lblAlgn val="ctr"/>
        <c:lblOffset val="100"/>
        <c:noMultiLvlLbl val="0"/>
      </c:catAx>
      <c:valAx>
        <c:axId val="29991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35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Sheet9!$P$3:$P$38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Sheet9!$R$3:$R$38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F861-48EA-9D95-EBBB4A3710F4}"/>
            </c:ext>
          </c:extLst>
        </c:ser>
        <c:dLbls>
          <c:showLegendKey val="0"/>
          <c:showVal val="0"/>
          <c:showCatName val="0"/>
          <c:showSerName val="0"/>
          <c:showPercent val="0"/>
          <c:showBubbleSize val="0"/>
        </c:dLbls>
        <c:marker val="1"/>
        <c:smooth val="0"/>
        <c:axId val="1641504319"/>
        <c:axId val="1641494335"/>
      </c:lineChart>
      <c:dateAx>
        <c:axId val="164150431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494335"/>
        <c:crosses val="autoZero"/>
        <c:auto val="1"/>
        <c:lblOffset val="100"/>
        <c:baseTimeUnit val="months"/>
      </c:dateAx>
      <c:valAx>
        <c:axId val="164149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50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data.xlsx]Sheet11!PivotTable4</c:name>
    <c:fmtId val="7"/>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790B-420D-9E5C-1FD72783C473}"/>
            </c:ext>
          </c:extLst>
        </c:ser>
        <c:dLbls>
          <c:showLegendKey val="0"/>
          <c:showVal val="0"/>
          <c:showCatName val="0"/>
          <c:showSerName val="0"/>
          <c:showPercent val="0"/>
          <c:showBubbleSize val="0"/>
        </c:dLbls>
        <c:gapWidth val="25"/>
        <c:axId val="505722687"/>
        <c:axId val="505722271"/>
      </c:barChart>
      <c:catAx>
        <c:axId val="5057226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722271"/>
        <c:crosses val="autoZero"/>
        <c:auto val="1"/>
        <c:lblAlgn val="ctr"/>
        <c:lblOffset val="100"/>
        <c:noMultiLvlLbl val="0"/>
      </c:catAx>
      <c:valAx>
        <c:axId val="50572227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72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[Customers data.xlsx]Sheet11!PivotTable8</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Sheet11!$F$4</c:f>
              <c:strCache>
                <c:ptCount val="1"/>
                <c:pt idx="0">
                  <c:v>Total</c:v>
                </c:pt>
              </c:strCache>
            </c:strRef>
          </c:tx>
          <c:spPr>
            <a:solidFill>
              <a:schemeClr val="accent1"/>
            </a:solidFill>
            <a:ln>
              <a:noFill/>
            </a:ln>
            <a:effectLst/>
          </c:spPr>
          <c:invertIfNegative val="0"/>
          <c:cat>
            <c:strRef>
              <c:f>Sheet11!$E$5:$E$10</c:f>
              <c:strCache>
                <c:ptCount val="5"/>
                <c:pt idx="0">
                  <c:v>Website</c:v>
                </c:pt>
                <c:pt idx="1">
                  <c:v>Procurement</c:v>
                </c:pt>
                <c:pt idx="2">
                  <c:v>Finance</c:v>
                </c:pt>
                <c:pt idx="3">
                  <c:v>Sales</c:v>
                </c:pt>
                <c:pt idx="4">
                  <c:v>HR</c:v>
                </c:pt>
              </c:strCache>
            </c:strRef>
          </c:cat>
          <c:val>
            <c:numRef>
              <c:f>Sheet11!$F$5:$F$10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FA91-4106-8D34-821BB35724E9}"/>
            </c:ext>
          </c:extLst>
        </c:ser>
        <c:dLbls>
          <c:showLegendKey val="0"/>
          <c:showVal val="0"/>
          <c:showCatName val="0"/>
          <c:showSerName val="0"/>
          <c:showPercent val="0"/>
          <c:showBubbleSize val="0"/>
        </c:dLbls>
        <c:gapWidth val="25"/>
        <c:axId val="1366600639"/>
        <c:axId val="1366601887"/>
      </c:barChart>
      <c:catAx>
        <c:axId val="13666006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01887"/>
        <c:crosses val="autoZero"/>
        <c:auto val="1"/>
        <c:lblAlgn val="ctr"/>
        <c:lblOffset val="100"/>
        <c:noMultiLvlLbl val="0"/>
      </c:catAx>
      <c:valAx>
        <c:axId val="136660188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0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594D5AEA-7139-41D0-B4AD-327A3328C387}">
          <cx:tx>
            <cx:txData>
              <cx:f>_xlchart.v1.4</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C0A43BDE-A35C-4574-A7A6-0EF0F090AC9D}">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647700</xdr:colOff>
      <xdr:row>3</xdr:row>
      <xdr:rowOff>129541</xdr:rowOff>
    </xdr:from>
    <xdr:to>
      <xdr:col>7</xdr:col>
      <xdr:colOff>586740</xdr:colOff>
      <xdr:row>9</xdr:row>
      <xdr:rowOff>7621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BC1D5551-C330-4E7A-86FF-93ECB5E508B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930140" y="678181"/>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289560</xdr:colOff>
      <xdr:row>1</xdr:row>
      <xdr:rowOff>68580</xdr:rowOff>
    </xdr:from>
    <xdr:to>
      <xdr:col>10</xdr:col>
      <xdr:colOff>205740</xdr:colOff>
      <xdr:row>24</xdr:row>
      <xdr:rowOff>99060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79E4E8A-92AE-4AA1-922E-0912F09B99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22020" y="251460"/>
              <a:ext cx="5608320" cy="42367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480060</xdr:colOff>
      <xdr:row>1</xdr:row>
      <xdr:rowOff>60960</xdr:rowOff>
    </xdr:from>
    <xdr:to>
      <xdr:col>18</xdr:col>
      <xdr:colOff>624840</xdr:colOff>
      <xdr:row>24</xdr:row>
      <xdr:rowOff>160020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AF95AE8-C5F0-4A0A-8434-4CBDD0A6A9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37120" y="243840"/>
              <a:ext cx="4572000" cy="4305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3</xdr:row>
      <xdr:rowOff>0</xdr:rowOff>
    </xdr:from>
    <xdr:to>
      <xdr:col>13</xdr:col>
      <xdr:colOff>304800</xdr:colOff>
      <xdr:row>18</xdr:row>
      <xdr:rowOff>0</xdr:rowOff>
    </xdr:to>
    <xdr:graphicFrame macro="">
      <xdr:nvGraphicFramePr>
        <xdr:cNvPr id="2" name="Chart 1">
          <a:extLst>
            <a:ext uri="{FF2B5EF4-FFF2-40B4-BE49-F238E27FC236}">
              <a16:creationId xmlns:a16="http://schemas.microsoft.com/office/drawing/2014/main" id="{86B721C7-120E-4AF3-B177-B194B9352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373380</xdr:colOff>
      <xdr:row>1</xdr:row>
      <xdr:rowOff>68580</xdr:rowOff>
    </xdr:from>
    <xdr:to>
      <xdr:col>12</xdr:col>
      <xdr:colOff>152400</xdr:colOff>
      <xdr:row>18</xdr:row>
      <xdr:rowOff>26670</xdr:rowOff>
    </xdr:to>
    <xdr:graphicFrame macro="">
      <xdr:nvGraphicFramePr>
        <xdr:cNvPr id="2" name="Chart 1">
          <a:extLst>
            <a:ext uri="{FF2B5EF4-FFF2-40B4-BE49-F238E27FC236}">
              <a16:creationId xmlns:a16="http://schemas.microsoft.com/office/drawing/2014/main" id="{E8E06074-CF07-4CA7-9CA2-6E1BAC6E3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457200</xdr:colOff>
      <xdr:row>20</xdr:row>
      <xdr:rowOff>19050</xdr:rowOff>
    </xdr:from>
    <xdr:to>
      <xdr:col>12</xdr:col>
      <xdr:colOff>175260</xdr:colOff>
      <xdr:row>35</xdr:row>
      <xdr:rowOff>19050</xdr:rowOff>
    </xdr:to>
    <xdr:graphicFrame macro="">
      <xdr:nvGraphicFramePr>
        <xdr:cNvPr id="3" name="Chart 2">
          <a:extLst>
            <a:ext uri="{FF2B5EF4-FFF2-40B4-BE49-F238E27FC236}">
              <a16:creationId xmlns:a16="http://schemas.microsoft.com/office/drawing/2014/main" id="{87919D8D-A7E5-44E8-BCEF-346C78914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9</xdr:row>
      <xdr:rowOff>169334</xdr:rowOff>
    </xdr:from>
    <xdr:to>
      <xdr:col>13</xdr:col>
      <xdr:colOff>84667</xdr:colOff>
      <xdr:row>27</xdr:row>
      <xdr:rowOff>59266</xdr:rowOff>
    </xdr:to>
    <xdr:graphicFrame macro="">
      <xdr:nvGraphicFramePr>
        <xdr:cNvPr id="4" name="Chart 3">
          <a:extLst>
            <a:ext uri="{FF2B5EF4-FFF2-40B4-BE49-F238E27FC236}">
              <a16:creationId xmlns:a16="http://schemas.microsoft.com/office/drawing/2014/main" id="{9F5558A4-92D4-4C86-BBF9-D4C708920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567267</xdr:colOff>
      <xdr:row>9</xdr:row>
      <xdr:rowOff>177799</xdr:rowOff>
    </xdr:from>
    <xdr:to>
      <xdr:col>6</xdr:col>
      <xdr:colOff>42334</xdr:colOff>
      <xdr:row>27</xdr:row>
      <xdr:rowOff>76199</xdr:rowOff>
    </xdr:to>
    <xdr:graphicFrame macro="">
      <xdr:nvGraphicFramePr>
        <xdr:cNvPr id="5" name="Chart 4">
          <a:extLst>
            <a:ext uri="{FF2B5EF4-FFF2-40B4-BE49-F238E27FC236}">
              <a16:creationId xmlns:a16="http://schemas.microsoft.com/office/drawing/2014/main" id="{159CD65A-FF8B-4CA8-B7B5-BE1E164C9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lan" refreshedDate="45356.880467824078" backgroundQuery="1" createdVersion="7" refreshedVersion="7" minRefreshableVersion="3" recordCount="0" supportSubquery="1" supportAdvancedDrill="1" xr:uid="{368313E5-D3A5-4199-B644-45F116F0E3C2}">
  <cacheSource type="external" connectionId="5"/>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lan" refreshedDate="45356.880469444448" backgroundQuery="1" createdVersion="7" refreshedVersion="7" minRefreshableVersion="3" recordCount="0" supportSubquery="1" supportAdvancedDrill="1" xr:uid="{5D473E02-CE8F-4C3F-9C15-4222617B7462}">
  <cacheSource type="external" connectionId="5"/>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lan" refreshedDate="45356.884786342591" backgroundQuery="1" createdVersion="7" refreshedVersion="7" minRefreshableVersion="3" recordCount="0" supportSubquery="1" supportAdvancedDrill="1" xr:uid="{C5594E58-F2C1-45FA-BEDB-8AB6C59F6106}">
  <cacheSource type="external" connectionId="5"/>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lan" refreshedDate="45356.957153240743" backgroundQuery="1" createdVersion="7" refreshedVersion="7" minRefreshableVersion="3" recordCount="0" supportSubquery="1" supportAdvancedDrill="1" xr:uid="{05452341-2E97-4030-B93C-3C1FB203C709}">
  <cacheSource type="external" connectionId="5"/>
  <cacheFields count="3">
    <cacheField name="[Measures].[Count of Name]" caption="Count of Name" numFmtId="0" hierarchy="15"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lan" refreshedDate="45356.957373495374" backgroundQuery="1" createdVersion="7" refreshedVersion="7" minRefreshableVersion="3" recordCount="0" supportSubquery="1" supportAdvancedDrill="1" xr:uid="{59550668-24ED-4A59-97D3-83FE10B4E61B}">
  <cacheSource type="external" connectionId="5"/>
  <cacheFields count="3">
    <cacheField name="[Measures].[Count of Name]" caption="Count of Name" numFmtId="0" hierarchy="15"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lan" refreshedDate="45356.880468518517" backgroundQuery="1" createdVersion="3" refreshedVersion="7" minRefreshableVersion="3" recordCount="0" supportSubquery="1" supportAdvancedDrill="1" xr:uid="{827C593A-F36D-4A54-9E22-D42C413DCE4B}">
  <cacheSource type="external" connectionId="5">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02257553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F3FAEF-1A22-478F-9218-2E0C24643B32}" name="PivotTable1" cacheId="92"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5">
    <format dxfId="12">
      <pivotArea collapsedLevelsAreSubtotals="1" fieldPosition="0">
        <references count="2">
          <reference field="4294967294" count="1">
            <x v="1"/>
          </reference>
          <reference field="0" count="1" selected="0">
            <x v="0"/>
          </reference>
        </references>
      </pivotArea>
    </format>
    <format dxfId="11">
      <pivotArea collapsedLevelsAreSubtotals="1" fieldPosition="0">
        <references count="2">
          <reference field="4294967294" count="1">
            <x v="1"/>
          </reference>
          <reference field="0" count="1" selected="0">
            <x v="1"/>
          </reference>
        </references>
      </pivotArea>
    </format>
    <format dxfId="10">
      <pivotArea field="0" grandCol="1" collapsedLevelsAreSubtotals="1" axis="axisCol" fieldPosition="0">
        <references count="1">
          <reference field="4294967294" count="1">
            <x v="1"/>
          </reference>
        </references>
      </pivotArea>
    </format>
    <format dxfId="9">
      <pivotArea collapsedLevelsAreSubtotals="1" fieldPosition="0">
        <references count="1">
          <reference field="4294967294" count="1">
            <x v="2"/>
          </reference>
        </references>
      </pivotArea>
    </format>
    <format dxfId="8">
      <pivotArea collapsedLevelsAreSubtotals="1" fieldPosition="0">
        <references count="1">
          <reference field="4294967294" count="1">
            <x v="3"/>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s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231B99-0D98-4321-A4C6-C8551855C428}" name="PivotTable2" cacheId="8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D10"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81"/>
  </dataFields>
  <formats count="3">
    <format dxfId="4">
      <pivotArea collapsedLevelsAreSubtotals="1" fieldPosition="0">
        <references count="2">
          <reference field="4294967294" count="1" selected="0">
            <x v="1"/>
          </reference>
          <reference field="0" count="1">
            <x v="1"/>
          </reference>
        </references>
      </pivotArea>
    </format>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E96CF0-0768-4993-BBC9-771B9E67C1BA}" name="PivotTable3" cacheId="1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3:C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305B88-4C48-4FCC-9412-0630B8A41F52}" name="PivotTable8" cacheId="17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E4:F10"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4"/>
    </i>
    <i>
      <x v="2"/>
    </i>
    <i>
      <x/>
    </i>
    <i>
      <x v="3"/>
    </i>
    <i>
      <x v="1"/>
    </i>
    <i t="grand">
      <x/>
    </i>
  </rowItems>
  <colItems count="1">
    <i/>
  </colItems>
  <pageFields count="1">
    <pageField fld="2" hier="7" name="[staff].[Country].&amp;[nz]" cap="nz"/>
  </pageFields>
  <dataFields count="1">
    <dataField name="Count of Name" fld="0" subtotal="count" baseField="0" baseItem="0"/>
  </dataFields>
  <chartFormats count="3">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8486B0-B985-42D7-867C-631C72D1887A}" name="PivotTable4" cacheId="17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B4:C10"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2"/>
    </i>
    <i>
      <x v="4"/>
    </i>
    <i>
      <x/>
    </i>
    <i>
      <x v="3"/>
    </i>
    <i>
      <x v="1"/>
    </i>
    <i t="grand">
      <x/>
    </i>
  </rowItems>
  <colItems count="1">
    <i/>
  </colItems>
  <pageFields count="1">
    <pageField fld="2" hier="7" name="[staff].[Country].&amp;[ind]" cap="ind"/>
  </pageFields>
  <dataFields count="1">
    <dataField name="Count of Name" fld="0" subtotal="count" baseField="0" baseItem="0"/>
  </dataField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25F86C3-D004-4F61-9F0E-AEC579EA5BE4}"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3FACC9-A1F8-4A31-8750-05F25BF3B4D5}" sourceName="[staff].[Country]">
  <pivotTables>
    <pivotTable tabId="5" name="PivotTable1"/>
  </pivotTables>
  <data>
    <olap pivotCacheId="1022575536">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AB726C6-7E88-4267-A65B-ED4F9550F556}"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87AFA1-03FC-4D70-8B34-0FC1F8FF575C}" name="new_zeland_staff" displayName="new_zeland_staff" ref="A2:G103" totalsRowCount="1">
  <autoFilter ref="A2:G102" xr:uid="{6087AFA1-03FC-4D70-8B34-0FC1F8FF575C}"/>
  <tableColumns count="7">
    <tableColumn id="1" xr3:uid="{2E5B8EA3-F01E-41B2-8B31-2FCFA79D6BF4}" name="Name" totalsRowLabel="Total"/>
    <tableColumn id="2" xr3:uid="{8BE47FA5-CE6A-4DC6-80EC-AD871E5BFF28}" name="Gender"/>
    <tableColumn id="3" xr3:uid="{29D59AAF-73E7-40AD-97BB-1C54EF156D3C}" name="Department"/>
    <tableColumn id="4" xr3:uid="{EA9634BD-92F2-4605-883C-7D76BBBF1DB5}" name="Age"/>
    <tableColumn id="5" xr3:uid="{C5892FCC-C590-4793-9B8E-7088C5AC0133}" name="Date Joined"/>
    <tableColumn id="6" xr3:uid="{90DA7057-7B02-4F10-A320-75D5CC944BFE}" name="Salary" totalsRowFunction="average" dataDxfId="17" totalsRowDxfId="16"/>
    <tableColumn id="7" xr3:uid="{7DBE3FFE-179D-4163-8DD6-CA877D7767A7}"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256EC2-9938-41CC-AE63-84F46DEBB960}" name="india_staff" displayName="india_staff" ref="A2:G114" totalsRowShown="0">
  <autoFilter ref="A2:G114" xr:uid="{32256EC2-9938-41CC-AE63-84F46DEBB960}"/>
  <tableColumns count="7">
    <tableColumn id="1" xr3:uid="{F7694A59-B229-4095-A97E-D39F4F55FD7C}" name="Name"/>
    <tableColumn id="2" xr3:uid="{0E92C6FE-4BE5-46D6-A851-B9151D2D0D90}" name="Gender"/>
    <tableColumn id="3" xr3:uid="{5FC45196-B8C4-426D-90B0-C94571949489}" name="Age"/>
    <tableColumn id="4" xr3:uid="{28B6D33A-C5CF-4316-9572-C06CA4B50316}" name="Rating"/>
    <tableColumn id="5" xr3:uid="{67082CAB-11CC-45EB-8C6E-40DA77C3D7C5}" name="Date Joined" dataDxfId="18"/>
    <tableColumn id="6" xr3:uid="{465171A6-7352-4E79-AEDC-774F756D69B7}" name="Department"/>
    <tableColumn id="7" xr3:uid="{EECAB2E6-7C1A-40F0-B34E-8584179BAE18}" name="Sala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39016-511F-438E-92B3-2B6FC57B66AC}" name="staff" displayName="staff" ref="A1:K184" tableType="queryTable" totalsRowShown="0">
  <autoFilter ref="A1:K184" xr:uid="{A1C39016-511F-438E-92B3-2B6FC57B66AC}"/>
  <tableColumns count="11">
    <tableColumn id="1" xr3:uid="{B267CDD4-788E-4FED-BC10-8FFD360C48A2}" uniqueName="1" name="Name" queryTableFieldId="1" dataDxfId="15"/>
    <tableColumn id="2" xr3:uid="{8748A37B-65BA-4392-88BE-D530D94C7336}" uniqueName="2" name="Gender" queryTableFieldId="2" dataDxfId="14"/>
    <tableColumn id="3" xr3:uid="{D5C84435-6309-4E33-8158-FBFDF5FFF5D3}" uniqueName="3" name="Age" queryTableFieldId="3"/>
    <tableColumn id="4" xr3:uid="{46FB8809-C51B-462B-A02F-DBEE71A8AD3A}" uniqueName="4" name="Rating" queryTableFieldId="4"/>
    <tableColumn id="5" xr3:uid="{900F0810-0306-4009-B3DA-EF349A15EF53}" uniqueName="5" name="Date Joined" queryTableFieldId="5" dataDxfId="13"/>
    <tableColumn id="6" xr3:uid="{AC7484EF-265B-41F9-B61D-98A8FDF86F5D}" uniqueName="6" name="Department" queryTableFieldId="6" dataDxfId="6"/>
    <tableColumn id="7" xr3:uid="{9557A88F-B48E-450C-8F89-7750387854AD}" uniqueName="7" name="Salary" queryTableFieldId="7" dataDxfId="5" dataCellStyle="Currency"/>
    <tableColumn id="8" xr3:uid="{6AAED093-B2A9-4DBD-BDB7-0B1B45276850}" uniqueName="8" name="Country" queryTableFieldId="8"/>
    <tableColumn id="9" xr3:uid="{89CF6F90-DB1D-4CB8-BB87-1C7FB90FD07C}" uniqueName="9" name="Tenure" queryTableFieldId="9" dataDxfId="7">
      <calculatedColumnFormula>(TODAY()-staff[[#This Row],[Date Joined]])/365</calculatedColumnFormula>
    </tableColumn>
    <tableColumn id="10" xr3:uid="{68816E45-BB18-4107-A79F-738B207AF051}" uniqueName="10" name="Bonus" queryTableFieldId="10" dataDxfId="1" dataCellStyle="Currency">
      <calculatedColumnFormula>ROUND(IF(staff[[#This Row],[Tenure]]&gt;2,3%,2%)*staff[[#This Row],[Salary]],0)</calculatedColumnFormula>
    </tableColumn>
    <tableColumn id="11" xr3:uid="{7EC16A49-7B23-4FB0-9C1F-FEA1AF7985DC}" uniqueName="11" name="Rating as Number" queryTableFieldId="11" dataDxfId="0">
      <calculatedColumnFormula>_xlfn.XLOOKUP(staff[[#This Row],[Rating]],Sheet8!$B$3:$B$7,Sheet8!$C$3:$C$7)</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2825-9DA7-4E45-A171-D8541EBB65E3}">
  <sheetPr>
    <tabColor theme="6" tint="0.59999389629810485"/>
  </sheetPr>
  <dimension ref="A2:G103"/>
  <sheetViews>
    <sheetView workbookViewId="0">
      <selection activeCell="D4" sqref="D4"/>
    </sheetView>
  </sheetViews>
  <sheetFormatPr defaultRowHeight="14.4" x14ac:dyDescent="0.3"/>
  <cols>
    <col min="2" max="2" width="9" customWidth="1"/>
    <col min="3" max="3" width="13" customWidth="1"/>
    <col min="5" max="5" width="12.6640625" customWidth="1"/>
    <col min="6" max="6" width="13.21875" style="2" customWidth="1"/>
    <col min="7" max="7" width="13.109375" bestFit="1" customWidth="1"/>
  </cols>
  <sheetData>
    <row r="2" spans="1:7" x14ac:dyDescent="0.3">
      <c r="A2" t="s">
        <v>0</v>
      </c>
      <c r="B2" t="s">
        <v>1</v>
      </c>
      <c r="C2" t="s">
        <v>2</v>
      </c>
      <c r="D2" t="s">
        <v>3</v>
      </c>
      <c r="E2" s="1" t="s">
        <v>4</v>
      </c>
      <c r="F2" s="2" t="s">
        <v>5</v>
      </c>
      <c r="G2" t="s">
        <v>6</v>
      </c>
    </row>
    <row r="3" spans="1:7" x14ac:dyDescent="0.3">
      <c r="A3" t="s">
        <v>7</v>
      </c>
      <c r="B3" t="s">
        <v>8</v>
      </c>
      <c r="C3" t="s">
        <v>9</v>
      </c>
      <c r="D3">
        <v>22</v>
      </c>
      <c r="E3" s="1">
        <v>44446</v>
      </c>
      <c r="F3" s="2">
        <v>112780</v>
      </c>
      <c r="G3" t="s">
        <v>10</v>
      </c>
    </row>
    <row r="4" spans="1:7" x14ac:dyDescent="0.3">
      <c r="A4" t="s">
        <v>11</v>
      </c>
      <c r="B4" t="s">
        <v>8</v>
      </c>
      <c r="C4" t="s">
        <v>12</v>
      </c>
      <c r="D4">
        <v>46</v>
      </c>
      <c r="E4" s="1">
        <v>44758</v>
      </c>
      <c r="F4" s="2">
        <v>70610</v>
      </c>
      <c r="G4" t="s">
        <v>13</v>
      </c>
    </row>
    <row r="5" spans="1:7" x14ac:dyDescent="0.3">
      <c r="A5" t="s">
        <v>14</v>
      </c>
      <c r="B5" t="s">
        <v>15</v>
      </c>
      <c r="C5" t="s">
        <v>9</v>
      </c>
      <c r="D5">
        <v>28</v>
      </c>
      <c r="E5" s="1">
        <v>44357</v>
      </c>
      <c r="F5" s="2">
        <v>53240</v>
      </c>
      <c r="G5" t="s">
        <v>13</v>
      </c>
    </row>
    <row r="6" spans="1:7" x14ac:dyDescent="0.3">
      <c r="A6" t="s">
        <v>16</v>
      </c>
      <c r="C6" t="s">
        <v>17</v>
      </c>
      <c r="D6">
        <v>37</v>
      </c>
      <c r="E6" s="1">
        <v>44146</v>
      </c>
      <c r="F6" s="2">
        <v>115440</v>
      </c>
      <c r="G6" t="s">
        <v>18</v>
      </c>
    </row>
    <row r="7" spans="1:7" x14ac:dyDescent="0.3">
      <c r="A7" t="s">
        <v>19</v>
      </c>
      <c r="B7" t="s">
        <v>8</v>
      </c>
      <c r="C7" t="s">
        <v>9</v>
      </c>
      <c r="D7">
        <v>32</v>
      </c>
      <c r="E7" s="1">
        <v>44465</v>
      </c>
      <c r="F7" s="2">
        <v>53540</v>
      </c>
      <c r="G7" t="s">
        <v>13</v>
      </c>
    </row>
    <row r="8" spans="1:7" x14ac:dyDescent="0.3">
      <c r="A8" t="s">
        <v>20</v>
      </c>
      <c r="B8" t="s">
        <v>15</v>
      </c>
      <c r="C8" t="s">
        <v>12</v>
      </c>
      <c r="D8">
        <v>30</v>
      </c>
      <c r="E8" s="1">
        <v>44861</v>
      </c>
      <c r="F8" s="2">
        <v>112570</v>
      </c>
      <c r="G8" t="s">
        <v>13</v>
      </c>
    </row>
    <row r="9" spans="1:7" x14ac:dyDescent="0.3">
      <c r="A9" t="s">
        <v>21</v>
      </c>
      <c r="B9" t="s">
        <v>8</v>
      </c>
      <c r="C9" t="s">
        <v>12</v>
      </c>
      <c r="D9">
        <v>33</v>
      </c>
      <c r="E9" s="1">
        <v>44701</v>
      </c>
      <c r="F9" s="2">
        <v>48530</v>
      </c>
      <c r="G9" t="s">
        <v>10</v>
      </c>
    </row>
    <row r="10" spans="1:7" x14ac:dyDescent="0.3">
      <c r="A10" t="s">
        <v>22</v>
      </c>
      <c r="B10" t="s">
        <v>15</v>
      </c>
      <c r="C10" t="s">
        <v>23</v>
      </c>
      <c r="D10">
        <v>24</v>
      </c>
      <c r="E10" s="1">
        <v>44148</v>
      </c>
      <c r="F10" s="2">
        <v>62780</v>
      </c>
      <c r="G10" t="s">
        <v>13</v>
      </c>
    </row>
    <row r="11" spans="1:7" x14ac:dyDescent="0.3">
      <c r="A11" t="s">
        <v>24</v>
      </c>
      <c r="B11" t="s">
        <v>8</v>
      </c>
      <c r="C11" t="s">
        <v>23</v>
      </c>
      <c r="D11">
        <v>33</v>
      </c>
      <c r="E11" s="1">
        <v>44509</v>
      </c>
      <c r="F11" s="2">
        <v>53870</v>
      </c>
      <c r="G11" t="s">
        <v>13</v>
      </c>
    </row>
    <row r="12" spans="1:7" x14ac:dyDescent="0.3">
      <c r="A12" t="s">
        <v>25</v>
      </c>
      <c r="B12" t="s">
        <v>15</v>
      </c>
      <c r="C12" t="s">
        <v>26</v>
      </c>
      <c r="D12">
        <v>27</v>
      </c>
      <c r="E12" s="1">
        <v>44122</v>
      </c>
      <c r="F12" s="2">
        <v>119110</v>
      </c>
      <c r="G12" t="s">
        <v>13</v>
      </c>
    </row>
    <row r="13" spans="1:7" x14ac:dyDescent="0.3">
      <c r="A13" t="s">
        <v>27</v>
      </c>
      <c r="B13" t="s">
        <v>8</v>
      </c>
      <c r="C13" t="s">
        <v>23</v>
      </c>
      <c r="D13">
        <v>29</v>
      </c>
      <c r="E13" s="1">
        <v>44180</v>
      </c>
      <c r="F13" s="2">
        <v>112110</v>
      </c>
      <c r="G13" t="s">
        <v>18</v>
      </c>
    </row>
    <row r="14" spans="1:7" x14ac:dyDescent="0.3">
      <c r="A14" t="s">
        <v>28</v>
      </c>
      <c r="B14" t="s">
        <v>8</v>
      </c>
      <c r="C14" t="s">
        <v>9</v>
      </c>
      <c r="D14">
        <v>25</v>
      </c>
      <c r="E14" s="1">
        <v>44383</v>
      </c>
      <c r="F14" s="2">
        <v>65700</v>
      </c>
      <c r="G14" t="s">
        <v>13</v>
      </c>
    </row>
    <row r="15" spans="1:7" x14ac:dyDescent="0.3">
      <c r="A15" t="s">
        <v>29</v>
      </c>
      <c r="B15" t="s">
        <v>8</v>
      </c>
      <c r="C15" t="s">
        <v>23</v>
      </c>
      <c r="D15">
        <v>37</v>
      </c>
      <c r="E15" s="1">
        <v>44701</v>
      </c>
      <c r="F15" s="2">
        <v>69070</v>
      </c>
      <c r="G15" t="s">
        <v>13</v>
      </c>
    </row>
    <row r="16" spans="1:7" x14ac:dyDescent="0.3">
      <c r="A16" t="s">
        <v>30</v>
      </c>
      <c r="B16" t="s">
        <v>8</v>
      </c>
      <c r="C16" t="s">
        <v>23</v>
      </c>
      <c r="D16">
        <v>20</v>
      </c>
      <c r="E16" s="1">
        <v>44459</v>
      </c>
      <c r="F16" s="2">
        <v>107700</v>
      </c>
      <c r="G16" t="s">
        <v>13</v>
      </c>
    </row>
    <row r="17" spans="1:7" x14ac:dyDescent="0.3">
      <c r="A17" t="s">
        <v>31</v>
      </c>
      <c r="B17" t="s">
        <v>15</v>
      </c>
      <c r="C17" t="s">
        <v>23</v>
      </c>
      <c r="D17">
        <v>32</v>
      </c>
      <c r="E17" s="1">
        <v>44354</v>
      </c>
      <c r="F17" s="2">
        <v>43840</v>
      </c>
      <c r="G17" t="s">
        <v>10</v>
      </c>
    </row>
    <row r="18" spans="1:7" x14ac:dyDescent="0.3">
      <c r="A18" t="s">
        <v>32</v>
      </c>
      <c r="B18" t="s">
        <v>8</v>
      </c>
      <c r="C18" t="s">
        <v>12</v>
      </c>
      <c r="D18">
        <v>40</v>
      </c>
      <c r="E18" s="1">
        <v>44263</v>
      </c>
      <c r="F18" s="2">
        <v>99750</v>
      </c>
      <c r="G18" t="s">
        <v>13</v>
      </c>
    </row>
    <row r="19" spans="1:7" x14ac:dyDescent="0.3">
      <c r="A19" t="s">
        <v>33</v>
      </c>
      <c r="B19" t="s">
        <v>8</v>
      </c>
      <c r="C19" t="s">
        <v>12</v>
      </c>
      <c r="D19">
        <v>21</v>
      </c>
      <c r="E19" s="1">
        <v>44104</v>
      </c>
      <c r="F19" s="2">
        <v>37920</v>
      </c>
      <c r="G19" t="s">
        <v>13</v>
      </c>
    </row>
    <row r="20" spans="1:7" x14ac:dyDescent="0.3">
      <c r="A20" t="s">
        <v>34</v>
      </c>
      <c r="B20" t="s">
        <v>8</v>
      </c>
      <c r="C20" t="s">
        <v>12</v>
      </c>
      <c r="D20">
        <v>21</v>
      </c>
      <c r="E20" s="1">
        <v>44762</v>
      </c>
      <c r="F20" s="2">
        <v>57090</v>
      </c>
      <c r="G20" t="s">
        <v>13</v>
      </c>
    </row>
    <row r="21" spans="1:7" x14ac:dyDescent="0.3">
      <c r="A21" t="s">
        <v>35</v>
      </c>
      <c r="B21" t="s">
        <v>15</v>
      </c>
      <c r="C21" t="s">
        <v>23</v>
      </c>
      <c r="D21">
        <v>31</v>
      </c>
      <c r="E21" s="1">
        <v>44145</v>
      </c>
      <c r="F21" s="2">
        <v>41980</v>
      </c>
      <c r="G21" t="s">
        <v>13</v>
      </c>
    </row>
    <row r="22" spans="1:7" x14ac:dyDescent="0.3">
      <c r="A22" t="s">
        <v>36</v>
      </c>
      <c r="B22" t="s">
        <v>8</v>
      </c>
      <c r="C22" t="s">
        <v>26</v>
      </c>
      <c r="D22">
        <v>21</v>
      </c>
      <c r="E22" s="1">
        <v>44242</v>
      </c>
      <c r="F22" s="2">
        <v>75880</v>
      </c>
      <c r="G22" t="s">
        <v>13</v>
      </c>
    </row>
    <row r="23" spans="1:7" x14ac:dyDescent="0.3">
      <c r="A23" t="s">
        <v>37</v>
      </c>
      <c r="B23" t="s">
        <v>15</v>
      </c>
      <c r="C23" t="s">
        <v>17</v>
      </c>
      <c r="D23">
        <v>34</v>
      </c>
      <c r="E23" s="1">
        <v>44653</v>
      </c>
      <c r="F23" s="2">
        <v>58940</v>
      </c>
      <c r="G23" t="s">
        <v>13</v>
      </c>
    </row>
    <row r="24" spans="1:7" x14ac:dyDescent="0.3">
      <c r="A24" t="s">
        <v>38</v>
      </c>
      <c r="B24" t="s">
        <v>15</v>
      </c>
      <c r="C24" t="s">
        <v>17</v>
      </c>
      <c r="D24">
        <v>30</v>
      </c>
      <c r="E24" s="1">
        <v>44389</v>
      </c>
      <c r="F24" s="2">
        <v>67910</v>
      </c>
      <c r="G24" t="s">
        <v>18</v>
      </c>
    </row>
    <row r="25" spans="1:7" x14ac:dyDescent="0.3">
      <c r="A25" t="s">
        <v>39</v>
      </c>
      <c r="B25" t="s">
        <v>15</v>
      </c>
      <c r="C25" t="s">
        <v>23</v>
      </c>
      <c r="D25">
        <v>31</v>
      </c>
      <c r="E25" s="1">
        <v>44663</v>
      </c>
      <c r="F25" s="2">
        <v>58100</v>
      </c>
      <c r="G25" t="s">
        <v>13</v>
      </c>
    </row>
    <row r="26" spans="1:7" x14ac:dyDescent="0.3">
      <c r="A26" t="s">
        <v>40</v>
      </c>
      <c r="B26" t="s">
        <v>8</v>
      </c>
      <c r="C26" t="s">
        <v>17</v>
      </c>
      <c r="D26">
        <v>27</v>
      </c>
      <c r="E26" s="1">
        <v>44567</v>
      </c>
      <c r="F26" s="2">
        <v>48980</v>
      </c>
      <c r="G26" t="s">
        <v>13</v>
      </c>
    </row>
    <row r="27" spans="1:7" x14ac:dyDescent="0.3">
      <c r="A27" t="s">
        <v>41</v>
      </c>
      <c r="C27" t="s">
        <v>17</v>
      </c>
      <c r="D27">
        <v>30</v>
      </c>
      <c r="E27" s="1">
        <v>44597</v>
      </c>
      <c r="F27" s="2">
        <v>64000</v>
      </c>
      <c r="G27" t="s">
        <v>13</v>
      </c>
    </row>
    <row r="28" spans="1:7" x14ac:dyDescent="0.3">
      <c r="A28" t="s">
        <v>42</v>
      </c>
      <c r="B28" t="s">
        <v>15</v>
      </c>
      <c r="C28" t="s">
        <v>12</v>
      </c>
      <c r="D28">
        <v>42</v>
      </c>
      <c r="E28" s="1">
        <v>44779</v>
      </c>
      <c r="F28" s="2">
        <v>75000</v>
      </c>
      <c r="G28" t="s">
        <v>43</v>
      </c>
    </row>
    <row r="29" spans="1:7" x14ac:dyDescent="0.3">
      <c r="A29" t="s">
        <v>44</v>
      </c>
      <c r="B29" t="s">
        <v>15</v>
      </c>
      <c r="C29" t="s">
        <v>23</v>
      </c>
      <c r="D29">
        <v>40</v>
      </c>
      <c r="E29" s="1">
        <v>44337</v>
      </c>
      <c r="F29" s="2">
        <v>87620</v>
      </c>
      <c r="G29" t="s">
        <v>13</v>
      </c>
    </row>
    <row r="30" spans="1:7" x14ac:dyDescent="0.3">
      <c r="A30" t="s">
        <v>45</v>
      </c>
      <c r="B30" t="s">
        <v>15</v>
      </c>
      <c r="C30" t="s">
        <v>23</v>
      </c>
      <c r="D30">
        <v>29</v>
      </c>
      <c r="E30" s="1">
        <v>44023</v>
      </c>
      <c r="F30" s="2">
        <v>34980</v>
      </c>
      <c r="G30" t="s">
        <v>13</v>
      </c>
    </row>
    <row r="31" spans="1:7" x14ac:dyDescent="0.3">
      <c r="A31" t="s">
        <v>46</v>
      </c>
      <c r="B31" t="s">
        <v>15</v>
      </c>
      <c r="C31" t="s">
        <v>17</v>
      </c>
      <c r="D31">
        <v>28</v>
      </c>
      <c r="E31" s="1">
        <v>44185</v>
      </c>
      <c r="F31" s="2">
        <v>75970</v>
      </c>
      <c r="G31" t="s">
        <v>13</v>
      </c>
    </row>
    <row r="32" spans="1:7" x14ac:dyDescent="0.3">
      <c r="A32" t="s">
        <v>47</v>
      </c>
      <c r="B32" t="s">
        <v>15</v>
      </c>
      <c r="C32" t="s">
        <v>17</v>
      </c>
      <c r="D32">
        <v>34</v>
      </c>
      <c r="E32" s="1">
        <v>44612</v>
      </c>
      <c r="F32" s="2">
        <v>60130</v>
      </c>
      <c r="G32" t="s">
        <v>13</v>
      </c>
    </row>
    <row r="33" spans="1:7" x14ac:dyDescent="0.3">
      <c r="A33" t="s">
        <v>48</v>
      </c>
      <c r="B33" t="s">
        <v>15</v>
      </c>
      <c r="C33" t="s">
        <v>23</v>
      </c>
      <c r="D33">
        <v>33</v>
      </c>
      <c r="E33" s="1">
        <v>44374</v>
      </c>
      <c r="F33" s="2">
        <v>75480</v>
      </c>
      <c r="G33" t="s">
        <v>49</v>
      </c>
    </row>
    <row r="34" spans="1:7" x14ac:dyDescent="0.3">
      <c r="A34" t="s">
        <v>50</v>
      </c>
      <c r="B34" t="s">
        <v>8</v>
      </c>
      <c r="C34" t="s">
        <v>12</v>
      </c>
      <c r="D34">
        <v>33</v>
      </c>
      <c r="E34" s="1">
        <v>44164</v>
      </c>
      <c r="F34" s="2">
        <v>115920</v>
      </c>
      <c r="G34" t="s">
        <v>13</v>
      </c>
    </row>
    <row r="35" spans="1:7" x14ac:dyDescent="0.3">
      <c r="A35" t="s">
        <v>51</v>
      </c>
      <c r="B35" t="s">
        <v>15</v>
      </c>
      <c r="C35" t="s">
        <v>9</v>
      </c>
      <c r="D35">
        <v>36</v>
      </c>
      <c r="E35" s="1">
        <v>44494</v>
      </c>
      <c r="F35" s="2">
        <v>78540</v>
      </c>
      <c r="G35" t="s">
        <v>13</v>
      </c>
    </row>
    <row r="36" spans="1:7" x14ac:dyDescent="0.3">
      <c r="A36" t="s">
        <v>52</v>
      </c>
      <c r="B36" t="s">
        <v>8</v>
      </c>
      <c r="C36" t="s">
        <v>12</v>
      </c>
      <c r="D36">
        <v>25</v>
      </c>
      <c r="E36" s="1">
        <v>44726</v>
      </c>
      <c r="F36" s="2">
        <v>109190</v>
      </c>
      <c r="G36" t="s">
        <v>10</v>
      </c>
    </row>
    <row r="37" spans="1:7" x14ac:dyDescent="0.3">
      <c r="A37" t="s">
        <v>53</v>
      </c>
      <c r="B37" t="s">
        <v>15</v>
      </c>
      <c r="C37" t="s">
        <v>9</v>
      </c>
      <c r="D37">
        <v>34</v>
      </c>
      <c r="E37" s="1">
        <v>44721</v>
      </c>
      <c r="F37" s="2">
        <v>49630</v>
      </c>
      <c r="G37" t="s">
        <v>18</v>
      </c>
    </row>
    <row r="38" spans="1:7" x14ac:dyDescent="0.3">
      <c r="A38" t="s">
        <v>54</v>
      </c>
      <c r="B38" t="s">
        <v>15</v>
      </c>
      <c r="C38" t="s">
        <v>12</v>
      </c>
      <c r="D38">
        <v>28</v>
      </c>
      <c r="E38" s="1">
        <v>44630</v>
      </c>
      <c r="F38" s="2">
        <v>99970</v>
      </c>
      <c r="G38" t="s">
        <v>13</v>
      </c>
    </row>
    <row r="39" spans="1:7" x14ac:dyDescent="0.3">
      <c r="A39" t="s">
        <v>55</v>
      </c>
      <c r="B39" t="s">
        <v>15</v>
      </c>
      <c r="C39" t="s">
        <v>23</v>
      </c>
      <c r="D39">
        <v>33</v>
      </c>
      <c r="E39" s="1">
        <v>44190</v>
      </c>
      <c r="F39" s="2">
        <v>96140</v>
      </c>
      <c r="G39" t="s">
        <v>13</v>
      </c>
    </row>
    <row r="40" spans="1:7" x14ac:dyDescent="0.3">
      <c r="A40" t="s">
        <v>56</v>
      </c>
      <c r="B40" t="s">
        <v>8</v>
      </c>
      <c r="C40" t="s">
        <v>12</v>
      </c>
      <c r="D40">
        <v>31</v>
      </c>
      <c r="E40" s="1">
        <v>44724</v>
      </c>
      <c r="F40" s="2">
        <v>103550</v>
      </c>
      <c r="G40" t="s">
        <v>13</v>
      </c>
    </row>
    <row r="41" spans="1:7" x14ac:dyDescent="0.3">
      <c r="A41" t="s">
        <v>57</v>
      </c>
      <c r="B41" t="s">
        <v>8</v>
      </c>
      <c r="C41" t="s">
        <v>23</v>
      </c>
      <c r="D41">
        <v>31</v>
      </c>
      <c r="E41" s="1">
        <v>44511</v>
      </c>
      <c r="F41" s="2">
        <v>48950</v>
      </c>
      <c r="G41" t="s">
        <v>13</v>
      </c>
    </row>
    <row r="42" spans="1:7" x14ac:dyDescent="0.3">
      <c r="A42" t="s">
        <v>58</v>
      </c>
      <c r="B42" t="s">
        <v>8</v>
      </c>
      <c r="C42" t="s">
        <v>17</v>
      </c>
      <c r="D42">
        <v>24</v>
      </c>
      <c r="E42" s="1">
        <v>44436</v>
      </c>
      <c r="F42" s="2">
        <v>52610</v>
      </c>
      <c r="G42" t="s">
        <v>18</v>
      </c>
    </row>
    <row r="43" spans="1:7" x14ac:dyDescent="0.3">
      <c r="A43" t="s">
        <v>59</v>
      </c>
      <c r="B43" t="s">
        <v>15</v>
      </c>
      <c r="C43" t="s">
        <v>12</v>
      </c>
      <c r="D43">
        <v>36</v>
      </c>
      <c r="E43" s="1">
        <v>44529</v>
      </c>
      <c r="F43" s="2">
        <v>78390</v>
      </c>
      <c r="G43" t="s">
        <v>13</v>
      </c>
    </row>
    <row r="44" spans="1:7" x14ac:dyDescent="0.3">
      <c r="A44" t="s">
        <v>60</v>
      </c>
      <c r="B44" t="s">
        <v>15</v>
      </c>
      <c r="C44" t="s">
        <v>17</v>
      </c>
      <c r="D44">
        <v>33</v>
      </c>
      <c r="E44" s="1">
        <v>44809</v>
      </c>
      <c r="F44" s="2">
        <v>86570</v>
      </c>
      <c r="G44" t="s">
        <v>13</v>
      </c>
    </row>
    <row r="45" spans="1:7" x14ac:dyDescent="0.3">
      <c r="A45" t="s">
        <v>61</v>
      </c>
      <c r="B45" t="s">
        <v>15</v>
      </c>
      <c r="C45" t="s">
        <v>23</v>
      </c>
      <c r="D45">
        <v>27</v>
      </c>
      <c r="E45" s="1">
        <v>44686</v>
      </c>
      <c r="F45" s="2">
        <v>83750</v>
      </c>
      <c r="G45" t="s">
        <v>13</v>
      </c>
    </row>
    <row r="46" spans="1:7" x14ac:dyDescent="0.3">
      <c r="A46" t="s">
        <v>62</v>
      </c>
      <c r="B46" t="s">
        <v>15</v>
      </c>
      <c r="C46" t="s">
        <v>17</v>
      </c>
      <c r="D46">
        <v>34</v>
      </c>
      <c r="E46" s="1">
        <v>44445</v>
      </c>
      <c r="F46" s="2">
        <v>92450</v>
      </c>
      <c r="G46" t="s">
        <v>13</v>
      </c>
    </row>
    <row r="47" spans="1:7" x14ac:dyDescent="0.3">
      <c r="A47" t="s">
        <v>63</v>
      </c>
      <c r="B47" t="s">
        <v>8</v>
      </c>
      <c r="C47" t="s">
        <v>23</v>
      </c>
      <c r="D47">
        <v>20</v>
      </c>
      <c r="E47" s="1">
        <v>44183</v>
      </c>
      <c r="F47" s="2">
        <v>112650</v>
      </c>
      <c r="G47" t="s">
        <v>13</v>
      </c>
    </row>
    <row r="48" spans="1:7" x14ac:dyDescent="0.3">
      <c r="A48" t="s">
        <v>64</v>
      </c>
      <c r="B48" t="s">
        <v>8</v>
      </c>
      <c r="C48" t="s">
        <v>12</v>
      </c>
      <c r="D48">
        <v>20</v>
      </c>
      <c r="E48" s="1">
        <v>44744</v>
      </c>
      <c r="F48" s="2">
        <v>79570</v>
      </c>
      <c r="G48" t="s">
        <v>13</v>
      </c>
    </row>
    <row r="49" spans="1:7" x14ac:dyDescent="0.3">
      <c r="A49" t="s">
        <v>65</v>
      </c>
      <c r="B49" t="s">
        <v>15</v>
      </c>
      <c r="C49" t="s">
        <v>9</v>
      </c>
      <c r="D49">
        <v>20</v>
      </c>
      <c r="E49" s="1">
        <v>44537</v>
      </c>
      <c r="F49" s="2">
        <v>68900</v>
      </c>
      <c r="G49" t="s">
        <v>18</v>
      </c>
    </row>
    <row r="50" spans="1:7" x14ac:dyDescent="0.3">
      <c r="A50" t="s">
        <v>66</v>
      </c>
      <c r="B50" t="s">
        <v>15</v>
      </c>
      <c r="C50" t="s">
        <v>23</v>
      </c>
      <c r="D50">
        <v>25</v>
      </c>
      <c r="E50" s="1">
        <v>44694</v>
      </c>
      <c r="F50" s="2">
        <v>80700</v>
      </c>
      <c r="G50" t="s">
        <v>10</v>
      </c>
    </row>
    <row r="51" spans="1:7" x14ac:dyDescent="0.3">
      <c r="A51" t="s">
        <v>67</v>
      </c>
      <c r="B51" t="s">
        <v>8</v>
      </c>
      <c r="C51" t="s">
        <v>12</v>
      </c>
      <c r="D51">
        <v>19</v>
      </c>
      <c r="E51" s="1">
        <v>44277</v>
      </c>
      <c r="F51" s="2">
        <v>58960</v>
      </c>
      <c r="G51" t="s">
        <v>13</v>
      </c>
    </row>
    <row r="52" spans="1:7" x14ac:dyDescent="0.3">
      <c r="A52" t="s">
        <v>68</v>
      </c>
      <c r="B52" t="s">
        <v>8</v>
      </c>
      <c r="C52" t="s">
        <v>23</v>
      </c>
      <c r="D52">
        <v>36</v>
      </c>
      <c r="E52" s="1">
        <v>44019</v>
      </c>
      <c r="F52" s="2">
        <v>118840</v>
      </c>
      <c r="G52" t="s">
        <v>13</v>
      </c>
    </row>
    <row r="53" spans="1:7" x14ac:dyDescent="0.3">
      <c r="A53" t="s">
        <v>69</v>
      </c>
      <c r="B53" t="s">
        <v>8</v>
      </c>
      <c r="C53" t="s">
        <v>17</v>
      </c>
      <c r="D53">
        <v>28</v>
      </c>
      <c r="E53" s="1">
        <v>44041</v>
      </c>
      <c r="F53" s="2">
        <v>48170</v>
      </c>
      <c r="G53" t="s">
        <v>10</v>
      </c>
    </row>
    <row r="54" spans="1:7" x14ac:dyDescent="0.3">
      <c r="A54" t="s">
        <v>70</v>
      </c>
      <c r="B54" t="s">
        <v>15</v>
      </c>
      <c r="C54" t="s">
        <v>26</v>
      </c>
      <c r="D54">
        <v>32</v>
      </c>
      <c r="E54" s="1">
        <v>44400</v>
      </c>
      <c r="F54" s="2">
        <v>45510</v>
      </c>
      <c r="G54" t="s">
        <v>13</v>
      </c>
    </row>
    <row r="55" spans="1:7" x14ac:dyDescent="0.3">
      <c r="A55" t="s">
        <v>63</v>
      </c>
      <c r="B55" t="s">
        <v>8</v>
      </c>
      <c r="C55" t="s">
        <v>12</v>
      </c>
      <c r="D55">
        <v>34</v>
      </c>
      <c r="E55" s="1">
        <v>44703</v>
      </c>
      <c r="F55" s="2">
        <v>112650</v>
      </c>
      <c r="G55" t="s">
        <v>13</v>
      </c>
    </row>
    <row r="56" spans="1:7" x14ac:dyDescent="0.3">
      <c r="A56" t="s">
        <v>71</v>
      </c>
      <c r="B56" t="s">
        <v>15</v>
      </c>
      <c r="C56" t="s">
        <v>12</v>
      </c>
      <c r="D56">
        <v>36</v>
      </c>
      <c r="E56" s="1">
        <v>44085</v>
      </c>
      <c r="F56" s="2">
        <v>114890</v>
      </c>
      <c r="G56" t="s">
        <v>13</v>
      </c>
    </row>
    <row r="57" spans="1:7" x14ac:dyDescent="0.3">
      <c r="A57" t="s">
        <v>72</v>
      </c>
      <c r="B57" t="s">
        <v>8</v>
      </c>
      <c r="C57" t="s">
        <v>23</v>
      </c>
      <c r="D57">
        <v>30</v>
      </c>
      <c r="E57" s="1">
        <v>44850</v>
      </c>
      <c r="F57" s="2">
        <v>69710</v>
      </c>
      <c r="G57" t="s">
        <v>13</v>
      </c>
    </row>
    <row r="58" spans="1:7" x14ac:dyDescent="0.3">
      <c r="A58" t="s">
        <v>73</v>
      </c>
      <c r="B58" t="s">
        <v>8</v>
      </c>
      <c r="C58" t="s">
        <v>17</v>
      </c>
      <c r="D58">
        <v>36</v>
      </c>
      <c r="E58" s="1">
        <v>44333</v>
      </c>
      <c r="F58" s="2">
        <v>71380</v>
      </c>
      <c r="G58" t="s">
        <v>13</v>
      </c>
    </row>
    <row r="59" spans="1:7" x14ac:dyDescent="0.3">
      <c r="A59" t="s">
        <v>74</v>
      </c>
      <c r="B59" t="s">
        <v>15</v>
      </c>
      <c r="C59" t="s">
        <v>9</v>
      </c>
      <c r="D59">
        <v>38</v>
      </c>
      <c r="E59" s="1">
        <v>44377</v>
      </c>
      <c r="F59" s="2">
        <v>109160</v>
      </c>
      <c r="G59" t="s">
        <v>43</v>
      </c>
    </row>
    <row r="60" spans="1:7" x14ac:dyDescent="0.3">
      <c r="A60" t="s">
        <v>75</v>
      </c>
      <c r="B60" t="s">
        <v>8</v>
      </c>
      <c r="C60" t="s">
        <v>12</v>
      </c>
      <c r="D60">
        <v>27</v>
      </c>
      <c r="E60" s="1">
        <v>44609</v>
      </c>
      <c r="F60" s="2">
        <v>113280</v>
      </c>
      <c r="G60" t="s">
        <v>49</v>
      </c>
    </row>
    <row r="61" spans="1:7" x14ac:dyDescent="0.3">
      <c r="A61" t="s">
        <v>76</v>
      </c>
      <c r="B61" t="s">
        <v>8</v>
      </c>
      <c r="C61" t="s">
        <v>23</v>
      </c>
      <c r="D61">
        <v>30</v>
      </c>
      <c r="E61" s="1">
        <v>44273</v>
      </c>
      <c r="F61" s="2">
        <v>69120</v>
      </c>
      <c r="G61" t="s">
        <v>13</v>
      </c>
    </row>
    <row r="62" spans="1:7" x14ac:dyDescent="0.3">
      <c r="A62" t="s">
        <v>77</v>
      </c>
      <c r="B62" t="s">
        <v>15</v>
      </c>
      <c r="C62" t="s">
        <v>26</v>
      </c>
      <c r="D62">
        <v>37</v>
      </c>
      <c r="E62" s="1">
        <v>44451</v>
      </c>
      <c r="F62" s="2">
        <v>118100</v>
      </c>
      <c r="G62" t="s">
        <v>13</v>
      </c>
    </row>
    <row r="63" spans="1:7" x14ac:dyDescent="0.3">
      <c r="A63" t="s">
        <v>78</v>
      </c>
      <c r="B63" t="s">
        <v>15</v>
      </c>
      <c r="C63" t="s">
        <v>12</v>
      </c>
      <c r="D63">
        <v>22</v>
      </c>
      <c r="E63" s="1">
        <v>44450</v>
      </c>
      <c r="F63" s="2">
        <v>76900</v>
      </c>
      <c r="G63" t="s">
        <v>10</v>
      </c>
    </row>
    <row r="64" spans="1:7" x14ac:dyDescent="0.3">
      <c r="A64" t="s">
        <v>79</v>
      </c>
      <c r="B64" t="s">
        <v>15</v>
      </c>
      <c r="C64" t="s">
        <v>23</v>
      </c>
      <c r="D64">
        <v>43</v>
      </c>
      <c r="E64" s="1">
        <v>45045</v>
      </c>
      <c r="F64" s="2">
        <v>114870</v>
      </c>
      <c r="G64" t="s">
        <v>13</v>
      </c>
    </row>
    <row r="65" spans="1:7" x14ac:dyDescent="0.3">
      <c r="A65" t="s">
        <v>80</v>
      </c>
      <c r="C65" t="s">
        <v>23</v>
      </c>
      <c r="D65">
        <v>32</v>
      </c>
      <c r="E65" s="1">
        <v>44774</v>
      </c>
      <c r="F65" s="2">
        <v>91310</v>
      </c>
      <c r="G65" t="s">
        <v>13</v>
      </c>
    </row>
    <row r="66" spans="1:7" x14ac:dyDescent="0.3">
      <c r="A66" t="s">
        <v>81</v>
      </c>
      <c r="B66" t="s">
        <v>15</v>
      </c>
      <c r="C66" t="s">
        <v>12</v>
      </c>
      <c r="D66">
        <v>28</v>
      </c>
      <c r="E66" s="1">
        <v>44486</v>
      </c>
      <c r="F66" s="2">
        <v>104770</v>
      </c>
      <c r="G66" t="s">
        <v>13</v>
      </c>
    </row>
    <row r="67" spans="1:7" x14ac:dyDescent="0.3">
      <c r="A67" t="s">
        <v>82</v>
      </c>
      <c r="B67" t="s">
        <v>8</v>
      </c>
      <c r="C67" t="s">
        <v>9</v>
      </c>
      <c r="D67">
        <v>27</v>
      </c>
      <c r="E67" s="1">
        <v>44134</v>
      </c>
      <c r="F67" s="2">
        <v>54970</v>
      </c>
      <c r="G67" t="s">
        <v>13</v>
      </c>
    </row>
    <row r="68" spans="1:7" x14ac:dyDescent="0.3">
      <c r="A68" t="s">
        <v>83</v>
      </c>
      <c r="C68" t="s">
        <v>23</v>
      </c>
      <c r="D68">
        <v>26</v>
      </c>
      <c r="E68" s="1">
        <v>44271</v>
      </c>
      <c r="F68" s="2">
        <v>90700</v>
      </c>
      <c r="G68" t="s">
        <v>10</v>
      </c>
    </row>
    <row r="69" spans="1:7" x14ac:dyDescent="0.3">
      <c r="A69" t="s">
        <v>84</v>
      </c>
      <c r="B69" t="s">
        <v>15</v>
      </c>
      <c r="C69" t="s">
        <v>9</v>
      </c>
      <c r="D69">
        <v>38</v>
      </c>
      <c r="E69" s="1">
        <v>44329</v>
      </c>
      <c r="F69" s="2">
        <v>56870</v>
      </c>
      <c r="G69" t="s">
        <v>10</v>
      </c>
    </row>
    <row r="70" spans="1:7" x14ac:dyDescent="0.3">
      <c r="A70" t="s">
        <v>85</v>
      </c>
      <c r="B70" t="s">
        <v>15</v>
      </c>
      <c r="C70" t="s">
        <v>9</v>
      </c>
      <c r="D70">
        <v>25</v>
      </c>
      <c r="E70" s="1">
        <v>44205</v>
      </c>
      <c r="F70" s="2">
        <v>92700</v>
      </c>
      <c r="G70" t="s">
        <v>13</v>
      </c>
    </row>
    <row r="71" spans="1:7" x14ac:dyDescent="0.3">
      <c r="A71" t="s">
        <v>86</v>
      </c>
      <c r="B71" t="s">
        <v>15</v>
      </c>
      <c r="C71" t="s">
        <v>17</v>
      </c>
      <c r="D71">
        <v>21</v>
      </c>
      <c r="E71" s="1">
        <v>44317</v>
      </c>
      <c r="F71" s="2">
        <v>65920</v>
      </c>
      <c r="G71" t="s">
        <v>13</v>
      </c>
    </row>
    <row r="72" spans="1:7" x14ac:dyDescent="0.3">
      <c r="A72" t="s">
        <v>87</v>
      </c>
      <c r="B72" t="s">
        <v>8</v>
      </c>
      <c r="C72" t="s">
        <v>12</v>
      </c>
      <c r="D72">
        <v>26</v>
      </c>
      <c r="E72" s="1">
        <v>44225</v>
      </c>
      <c r="F72" s="2">
        <v>47360</v>
      </c>
      <c r="G72" t="s">
        <v>13</v>
      </c>
    </row>
    <row r="73" spans="1:7" x14ac:dyDescent="0.3">
      <c r="A73" t="s">
        <v>88</v>
      </c>
      <c r="B73" t="s">
        <v>8</v>
      </c>
      <c r="C73" t="s">
        <v>12</v>
      </c>
      <c r="D73">
        <v>30</v>
      </c>
      <c r="E73" s="1">
        <v>44666</v>
      </c>
      <c r="F73" s="2">
        <v>60570</v>
      </c>
      <c r="G73" t="s">
        <v>13</v>
      </c>
    </row>
    <row r="74" spans="1:7" x14ac:dyDescent="0.3">
      <c r="A74" t="s">
        <v>89</v>
      </c>
      <c r="B74" t="s">
        <v>15</v>
      </c>
      <c r="C74" t="s">
        <v>12</v>
      </c>
      <c r="D74">
        <v>28</v>
      </c>
      <c r="E74" s="1">
        <v>44649</v>
      </c>
      <c r="F74" s="2">
        <v>104120</v>
      </c>
      <c r="G74" t="s">
        <v>13</v>
      </c>
    </row>
    <row r="75" spans="1:7" x14ac:dyDescent="0.3">
      <c r="A75" t="s">
        <v>90</v>
      </c>
      <c r="B75" t="s">
        <v>8</v>
      </c>
      <c r="C75" t="s">
        <v>23</v>
      </c>
      <c r="D75">
        <v>37</v>
      </c>
      <c r="E75" s="1">
        <v>44338</v>
      </c>
      <c r="F75" s="2">
        <v>88050</v>
      </c>
      <c r="G75" t="s">
        <v>18</v>
      </c>
    </row>
    <row r="76" spans="1:7" x14ac:dyDescent="0.3">
      <c r="A76" t="s">
        <v>91</v>
      </c>
      <c r="B76" t="s">
        <v>8</v>
      </c>
      <c r="C76" t="s">
        <v>23</v>
      </c>
      <c r="D76">
        <v>24</v>
      </c>
      <c r="E76" s="1">
        <v>44686</v>
      </c>
      <c r="F76" s="2">
        <v>100420</v>
      </c>
      <c r="G76" t="s">
        <v>13</v>
      </c>
    </row>
    <row r="77" spans="1:7" x14ac:dyDescent="0.3">
      <c r="A77" t="s">
        <v>92</v>
      </c>
      <c r="B77" t="s">
        <v>15</v>
      </c>
      <c r="C77" t="s">
        <v>12</v>
      </c>
      <c r="D77">
        <v>30</v>
      </c>
      <c r="E77" s="1">
        <v>44850</v>
      </c>
      <c r="F77" s="2">
        <v>114180</v>
      </c>
      <c r="G77" t="s">
        <v>13</v>
      </c>
    </row>
    <row r="78" spans="1:7" x14ac:dyDescent="0.3">
      <c r="A78" t="s">
        <v>93</v>
      </c>
      <c r="B78" t="s">
        <v>15</v>
      </c>
      <c r="C78" t="s">
        <v>23</v>
      </c>
      <c r="D78">
        <v>21</v>
      </c>
      <c r="E78" s="1">
        <v>44678</v>
      </c>
      <c r="F78" s="2">
        <v>33920</v>
      </c>
      <c r="G78" t="s">
        <v>13</v>
      </c>
    </row>
    <row r="79" spans="1:7" x14ac:dyDescent="0.3">
      <c r="A79" t="s">
        <v>94</v>
      </c>
      <c r="B79" t="s">
        <v>8</v>
      </c>
      <c r="C79" t="s">
        <v>12</v>
      </c>
      <c r="D79">
        <v>23</v>
      </c>
      <c r="E79" s="1">
        <v>44440</v>
      </c>
      <c r="F79" s="2">
        <v>106460</v>
      </c>
      <c r="G79" t="s">
        <v>13</v>
      </c>
    </row>
    <row r="80" spans="1:7" x14ac:dyDescent="0.3">
      <c r="A80" t="s">
        <v>95</v>
      </c>
      <c r="B80" t="s">
        <v>8</v>
      </c>
      <c r="C80" t="s">
        <v>12</v>
      </c>
      <c r="D80">
        <v>35</v>
      </c>
      <c r="E80" s="1">
        <v>44727</v>
      </c>
      <c r="F80" s="2">
        <v>40400</v>
      </c>
      <c r="G80" t="s">
        <v>13</v>
      </c>
    </row>
    <row r="81" spans="1:7" x14ac:dyDescent="0.3">
      <c r="A81" t="s">
        <v>96</v>
      </c>
      <c r="B81" t="s">
        <v>8</v>
      </c>
      <c r="C81" t="s">
        <v>17</v>
      </c>
      <c r="D81">
        <v>27</v>
      </c>
      <c r="E81" s="1">
        <v>44236</v>
      </c>
      <c r="F81" s="2">
        <v>91650</v>
      </c>
      <c r="G81" t="s">
        <v>10</v>
      </c>
    </row>
    <row r="82" spans="1:7" x14ac:dyDescent="0.3">
      <c r="A82" t="s">
        <v>97</v>
      </c>
      <c r="B82" t="s">
        <v>8</v>
      </c>
      <c r="C82" t="s">
        <v>9</v>
      </c>
      <c r="D82">
        <v>43</v>
      </c>
      <c r="E82" s="1">
        <v>44620</v>
      </c>
      <c r="F82" s="2">
        <v>36040</v>
      </c>
      <c r="G82" t="s">
        <v>13</v>
      </c>
    </row>
    <row r="83" spans="1:7" x14ac:dyDescent="0.3">
      <c r="A83" t="s">
        <v>98</v>
      </c>
      <c r="B83" t="s">
        <v>15</v>
      </c>
      <c r="C83" t="s">
        <v>23</v>
      </c>
      <c r="D83">
        <v>40</v>
      </c>
      <c r="E83" s="1">
        <v>44381</v>
      </c>
      <c r="F83" s="2">
        <v>104410</v>
      </c>
      <c r="G83" t="s">
        <v>13</v>
      </c>
    </row>
    <row r="84" spans="1:7" x14ac:dyDescent="0.3">
      <c r="A84" t="s">
        <v>99</v>
      </c>
      <c r="B84" t="s">
        <v>8</v>
      </c>
      <c r="C84" t="s">
        <v>17</v>
      </c>
      <c r="D84">
        <v>30</v>
      </c>
      <c r="E84" s="1">
        <v>44606</v>
      </c>
      <c r="F84" s="2">
        <v>96800</v>
      </c>
      <c r="G84" t="s">
        <v>13</v>
      </c>
    </row>
    <row r="85" spans="1:7" x14ac:dyDescent="0.3">
      <c r="A85" t="s">
        <v>100</v>
      </c>
      <c r="B85" t="s">
        <v>15</v>
      </c>
      <c r="C85" t="s">
        <v>17</v>
      </c>
      <c r="D85">
        <v>34</v>
      </c>
      <c r="E85" s="1">
        <v>44459</v>
      </c>
      <c r="F85" s="2">
        <v>85000</v>
      </c>
      <c r="G85" t="s">
        <v>13</v>
      </c>
    </row>
    <row r="86" spans="1:7" x14ac:dyDescent="0.3">
      <c r="A86" t="s">
        <v>101</v>
      </c>
      <c r="B86" t="s">
        <v>8</v>
      </c>
      <c r="C86" t="s">
        <v>9</v>
      </c>
      <c r="D86">
        <v>28</v>
      </c>
      <c r="E86" s="1">
        <v>44820</v>
      </c>
      <c r="F86" s="2">
        <v>43510</v>
      </c>
      <c r="G86" t="s">
        <v>49</v>
      </c>
    </row>
    <row r="87" spans="1:7" x14ac:dyDescent="0.3">
      <c r="A87" t="s">
        <v>102</v>
      </c>
      <c r="B87" t="s">
        <v>8</v>
      </c>
      <c r="C87" t="s">
        <v>17</v>
      </c>
      <c r="D87">
        <v>33</v>
      </c>
      <c r="E87" s="1">
        <v>44243</v>
      </c>
      <c r="F87" s="2">
        <v>59430</v>
      </c>
      <c r="G87" t="s">
        <v>13</v>
      </c>
    </row>
    <row r="88" spans="1:7" x14ac:dyDescent="0.3">
      <c r="A88" t="s">
        <v>103</v>
      </c>
      <c r="B88" t="s">
        <v>15</v>
      </c>
      <c r="C88" t="s">
        <v>17</v>
      </c>
      <c r="D88">
        <v>33</v>
      </c>
      <c r="E88" s="1">
        <v>44067</v>
      </c>
      <c r="F88" s="2">
        <v>65360</v>
      </c>
      <c r="G88" t="s">
        <v>13</v>
      </c>
    </row>
    <row r="89" spans="1:7" x14ac:dyDescent="0.3">
      <c r="A89" t="s">
        <v>104</v>
      </c>
      <c r="B89" t="s">
        <v>15</v>
      </c>
      <c r="C89" t="s">
        <v>12</v>
      </c>
      <c r="D89">
        <v>32</v>
      </c>
      <c r="E89" s="1">
        <v>44611</v>
      </c>
      <c r="F89" s="2">
        <v>41570</v>
      </c>
      <c r="G89" t="s">
        <v>13</v>
      </c>
    </row>
    <row r="90" spans="1:7" x14ac:dyDescent="0.3">
      <c r="A90" t="s">
        <v>105</v>
      </c>
      <c r="B90" t="s">
        <v>15</v>
      </c>
      <c r="C90" t="s">
        <v>23</v>
      </c>
      <c r="D90">
        <v>33</v>
      </c>
      <c r="E90" s="1">
        <v>44312</v>
      </c>
      <c r="F90" s="2">
        <v>75280</v>
      </c>
      <c r="G90" t="s">
        <v>13</v>
      </c>
    </row>
    <row r="91" spans="1:7" x14ac:dyDescent="0.3">
      <c r="A91" t="s">
        <v>106</v>
      </c>
      <c r="B91" t="s">
        <v>8</v>
      </c>
      <c r="C91" t="s">
        <v>9</v>
      </c>
      <c r="D91">
        <v>33</v>
      </c>
      <c r="E91" s="1">
        <v>44385</v>
      </c>
      <c r="F91" s="2">
        <v>74550</v>
      </c>
      <c r="G91" t="s">
        <v>13</v>
      </c>
    </row>
    <row r="92" spans="1:7" x14ac:dyDescent="0.3">
      <c r="A92" t="s">
        <v>107</v>
      </c>
      <c r="B92" t="s">
        <v>8</v>
      </c>
      <c r="C92" t="s">
        <v>12</v>
      </c>
      <c r="D92">
        <v>30</v>
      </c>
      <c r="E92" s="1">
        <v>44701</v>
      </c>
      <c r="F92" s="2">
        <v>67950</v>
      </c>
      <c r="G92" t="s">
        <v>13</v>
      </c>
    </row>
    <row r="93" spans="1:7" x14ac:dyDescent="0.3">
      <c r="A93" t="s">
        <v>108</v>
      </c>
      <c r="B93" t="s">
        <v>8</v>
      </c>
      <c r="C93" t="s">
        <v>17</v>
      </c>
      <c r="D93">
        <v>42</v>
      </c>
      <c r="E93" s="1">
        <v>44731</v>
      </c>
      <c r="F93" s="2">
        <v>70270</v>
      </c>
      <c r="G93" t="s">
        <v>18</v>
      </c>
    </row>
    <row r="94" spans="1:7" x14ac:dyDescent="0.3">
      <c r="A94" t="s">
        <v>109</v>
      </c>
      <c r="B94" t="s">
        <v>8</v>
      </c>
      <c r="C94" t="s">
        <v>12</v>
      </c>
      <c r="D94">
        <v>26</v>
      </c>
      <c r="E94" s="1">
        <v>44411</v>
      </c>
      <c r="F94" s="2">
        <v>53540</v>
      </c>
      <c r="G94" t="s">
        <v>13</v>
      </c>
    </row>
    <row r="95" spans="1:7" x14ac:dyDescent="0.3">
      <c r="A95" t="s">
        <v>7</v>
      </c>
      <c r="B95" t="s">
        <v>8</v>
      </c>
      <c r="C95" t="s">
        <v>9</v>
      </c>
      <c r="D95">
        <v>22</v>
      </c>
      <c r="E95" s="1">
        <v>44446</v>
      </c>
      <c r="F95" s="2">
        <v>112780</v>
      </c>
      <c r="G95" t="s">
        <v>10</v>
      </c>
    </row>
    <row r="96" spans="1:7" x14ac:dyDescent="0.3">
      <c r="A96" t="s">
        <v>11</v>
      </c>
      <c r="B96" t="s">
        <v>8</v>
      </c>
      <c r="C96" t="s">
        <v>12</v>
      </c>
      <c r="D96">
        <v>46</v>
      </c>
      <c r="E96" s="1">
        <v>44758</v>
      </c>
      <c r="F96" s="2">
        <v>70610</v>
      </c>
      <c r="G96" t="s">
        <v>13</v>
      </c>
    </row>
    <row r="97" spans="1:7" x14ac:dyDescent="0.3">
      <c r="A97" t="s">
        <v>14</v>
      </c>
      <c r="B97" t="s">
        <v>15</v>
      </c>
      <c r="C97" t="s">
        <v>9</v>
      </c>
      <c r="D97">
        <v>28</v>
      </c>
      <c r="E97" s="1">
        <v>44357</v>
      </c>
      <c r="F97" s="2">
        <v>53240</v>
      </c>
      <c r="G97" t="s">
        <v>13</v>
      </c>
    </row>
    <row r="98" spans="1:7" x14ac:dyDescent="0.3">
      <c r="A98" t="s">
        <v>16</v>
      </c>
      <c r="C98" t="s">
        <v>17</v>
      </c>
      <c r="D98">
        <v>37</v>
      </c>
      <c r="E98" s="1">
        <v>44146</v>
      </c>
      <c r="F98" s="2">
        <v>115440</v>
      </c>
      <c r="G98" t="s">
        <v>18</v>
      </c>
    </row>
    <row r="99" spans="1:7" x14ac:dyDescent="0.3">
      <c r="A99" t="s">
        <v>19</v>
      </c>
      <c r="B99" t="s">
        <v>8</v>
      </c>
      <c r="C99" t="s">
        <v>9</v>
      </c>
      <c r="D99">
        <v>32</v>
      </c>
      <c r="E99" s="1">
        <v>44465</v>
      </c>
      <c r="F99" s="2">
        <v>53540</v>
      </c>
      <c r="G99" t="s">
        <v>13</v>
      </c>
    </row>
    <row r="100" spans="1:7" x14ac:dyDescent="0.3">
      <c r="A100" t="s">
        <v>20</v>
      </c>
      <c r="B100" t="s">
        <v>15</v>
      </c>
      <c r="C100" t="s">
        <v>12</v>
      </c>
      <c r="D100">
        <v>30</v>
      </c>
      <c r="E100" s="1">
        <v>44861</v>
      </c>
      <c r="F100" s="2">
        <v>112570</v>
      </c>
      <c r="G100" t="s">
        <v>13</v>
      </c>
    </row>
    <row r="101" spans="1:7" x14ac:dyDescent="0.3">
      <c r="A101" t="s">
        <v>21</v>
      </c>
      <c r="B101" t="s">
        <v>8</v>
      </c>
      <c r="C101" t="s">
        <v>12</v>
      </c>
      <c r="D101">
        <v>33</v>
      </c>
      <c r="E101" s="1">
        <v>44701</v>
      </c>
      <c r="F101" s="2">
        <v>48530</v>
      </c>
      <c r="G101" t="s">
        <v>10</v>
      </c>
    </row>
    <row r="102" spans="1:7" x14ac:dyDescent="0.3">
      <c r="A102" t="s">
        <v>22</v>
      </c>
      <c r="B102" t="s">
        <v>15</v>
      </c>
      <c r="C102" t="s">
        <v>23</v>
      </c>
      <c r="D102">
        <v>24</v>
      </c>
      <c r="E102" s="1">
        <v>44148</v>
      </c>
      <c r="F102" s="2">
        <v>62780</v>
      </c>
      <c r="G102" t="s">
        <v>13</v>
      </c>
    </row>
    <row r="103" spans="1:7" x14ac:dyDescent="0.3">
      <c r="A103" t="s">
        <v>202</v>
      </c>
      <c r="F103" s="2">
        <f>SUBTOTAL(101,new_zeland_staff[Salary])</f>
        <v>77472.100000000006</v>
      </c>
      <c r="G103">
        <f>SUBTOTAL(103,new_zeland_staff[Rating])</f>
        <v>100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6E7F8-CE6C-4D28-8A17-6E3BF1406CC6}">
  <sheetPr>
    <tabColor theme="4" tint="-0.249977111117893"/>
  </sheetPr>
  <dimension ref="A2:G114"/>
  <sheetViews>
    <sheetView workbookViewId="0">
      <selection activeCell="K8" sqref="K8"/>
    </sheetView>
  </sheetViews>
  <sheetFormatPr defaultRowHeight="14.4" x14ac:dyDescent="0.3"/>
  <cols>
    <col min="2" max="2" width="9" customWidth="1"/>
    <col min="5" max="5" width="12.6640625" customWidth="1"/>
    <col min="6" max="6" width="13" customWidth="1"/>
  </cols>
  <sheetData>
    <row r="2" spans="1:7" x14ac:dyDescent="0.3">
      <c r="A2" t="s">
        <v>0</v>
      </c>
      <c r="B2" t="s">
        <v>1</v>
      </c>
      <c r="C2" t="s">
        <v>3</v>
      </c>
      <c r="D2" t="s">
        <v>6</v>
      </c>
      <c r="E2" t="s">
        <v>4</v>
      </c>
      <c r="F2" t="s">
        <v>2</v>
      </c>
      <c r="G2" t="s">
        <v>5</v>
      </c>
    </row>
    <row r="3" spans="1:7" x14ac:dyDescent="0.3">
      <c r="A3" t="s">
        <v>110</v>
      </c>
      <c r="B3" t="s">
        <v>8</v>
      </c>
      <c r="C3">
        <v>20</v>
      </c>
      <c r="D3" t="s">
        <v>13</v>
      </c>
      <c r="E3" s="1">
        <v>44122</v>
      </c>
      <c r="F3" t="s">
        <v>23</v>
      </c>
      <c r="G3">
        <v>112650</v>
      </c>
    </row>
    <row r="4" spans="1:7" x14ac:dyDescent="0.3">
      <c r="A4" t="s">
        <v>111</v>
      </c>
      <c r="B4" t="s">
        <v>15</v>
      </c>
      <c r="C4">
        <v>32</v>
      </c>
      <c r="D4" t="s">
        <v>10</v>
      </c>
      <c r="E4" s="1">
        <v>44293</v>
      </c>
      <c r="F4" t="s">
        <v>23</v>
      </c>
      <c r="G4">
        <v>43840</v>
      </c>
    </row>
    <row r="5" spans="1:7" x14ac:dyDescent="0.3">
      <c r="A5" t="s">
        <v>112</v>
      </c>
      <c r="B5" t="s">
        <v>8</v>
      </c>
      <c r="C5">
        <v>31</v>
      </c>
      <c r="D5" t="s">
        <v>13</v>
      </c>
      <c r="E5" s="1">
        <v>44663</v>
      </c>
      <c r="F5" t="s">
        <v>12</v>
      </c>
      <c r="G5">
        <v>103550</v>
      </c>
    </row>
    <row r="6" spans="1:7" x14ac:dyDescent="0.3">
      <c r="A6" t="s">
        <v>113</v>
      </c>
      <c r="B6" t="s">
        <v>15</v>
      </c>
      <c r="C6">
        <v>32</v>
      </c>
      <c r="D6" t="s">
        <v>13</v>
      </c>
      <c r="E6" s="1">
        <v>44339</v>
      </c>
      <c r="F6" t="s">
        <v>26</v>
      </c>
      <c r="G6">
        <v>45510</v>
      </c>
    </row>
    <row r="7" spans="1:7" x14ac:dyDescent="0.3">
      <c r="A7" t="s">
        <v>114</v>
      </c>
      <c r="C7">
        <v>37</v>
      </c>
      <c r="D7" t="s">
        <v>18</v>
      </c>
      <c r="E7" s="1">
        <v>44085</v>
      </c>
      <c r="F7" t="s">
        <v>17</v>
      </c>
      <c r="G7">
        <v>115440</v>
      </c>
    </row>
    <row r="8" spans="1:7" x14ac:dyDescent="0.3">
      <c r="A8" t="s">
        <v>115</v>
      </c>
      <c r="B8" t="s">
        <v>15</v>
      </c>
      <c r="C8">
        <v>38</v>
      </c>
      <c r="D8" t="s">
        <v>10</v>
      </c>
      <c r="E8" s="1">
        <v>44268</v>
      </c>
      <c r="F8" t="s">
        <v>9</v>
      </c>
      <c r="G8">
        <v>56870</v>
      </c>
    </row>
    <row r="9" spans="1:7" x14ac:dyDescent="0.3">
      <c r="A9" t="s">
        <v>116</v>
      </c>
      <c r="B9" t="s">
        <v>15</v>
      </c>
      <c r="C9">
        <v>25</v>
      </c>
      <c r="D9" t="s">
        <v>13</v>
      </c>
      <c r="E9" s="1">
        <v>44144</v>
      </c>
      <c r="F9" t="s">
        <v>9</v>
      </c>
      <c r="G9">
        <v>92700</v>
      </c>
    </row>
    <row r="10" spans="1:7" x14ac:dyDescent="0.3">
      <c r="A10" t="s">
        <v>117</v>
      </c>
      <c r="C10">
        <v>32</v>
      </c>
      <c r="D10" t="s">
        <v>13</v>
      </c>
      <c r="E10" s="1">
        <v>44713</v>
      </c>
      <c r="F10" t="s">
        <v>23</v>
      </c>
      <c r="G10">
        <v>91310</v>
      </c>
    </row>
    <row r="11" spans="1:7" x14ac:dyDescent="0.3">
      <c r="A11" t="s">
        <v>118</v>
      </c>
      <c r="B11" t="s">
        <v>8</v>
      </c>
      <c r="C11">
        <v>33</v>
      </c>
      <c r="D11" t="s">
        <v>13</v>
      </c>
      <c r="E11" s="1">
        <v>44324</v>
      </c>
      <c r="F11" t="s">
        <v>9</v>
      </c>
      <c r="G11">
        <v>74550</v>
      </c>
    </row>
    <row r="12" spans="1:7" x14ac:dyDescent="0.3">
      <c r="A12" t="s">
        <v>119</v>
      </c>
      <c r="B12" t="s">
        <v>8</v>
      </c>
      <c r="C12">
        <v>25</v>
      </c>
      <c r="D12" t="s">
        <v>10</v>
      </c>
      <c r="E12" s="1">
        <v>44665</v>
      </c>
      <c r="F12" t="s">
        <v>12</v>
      </c>
      <c r="G12">
        <v>109190</v>
      </c>
    </row>
    <row r="13" spans="1:7" x14ac:dyDescent="0.3">
      <c r="A13" t="s">
        <v>120</v>
      </c>
      <c r="B13" t="s">
        <v>15</v>
      </c>
      <c r="C13">
        <v>40</v>
      </c>
      <c r="D13" t="s">
        <v>13</v>
      </c>
      <c r="E13" s="1">
        <v>44320</v>
      </c>
      <c r="F13" t="s">
        <v>23</v>
      </c>
      <c r="G13">
        <v>104410</v>
      </c>
    </row>
    <row r="14" spans="1:7" x14ac:dyDescent="0.3">
      <c r="A14" t="s">
        <v>121</v>
      </c>
      <c r="B14" t="s">
        <v>8</v>
      </c>
      <c r="C14">
        <v>30</v>
      </c>
      <c r="D14" t="s">
        <v>13</v>
      </c>
      <c r="E14" s="1">
        <v>44544</v>
      </c>
      <c r="F14" t="s">
        <v>17</v>
      </c>
      <c r="G14">
        <v>96800</v>
      </c>
    </row>
    <row r="15" spans="1:7" x14ac:dyDescent="0.3">
      <c r="A15" t="s">
        <v>122</v>
      </c>
      <c r="B15" t="s">
        <v>8</v>
      </c>
      <c r="C15">
        <v>28</v>
      </c>
      <c r="D15" t="s">
        <v>10</v>
      </c>
      <c r="E15" s="1">
        <v>43980</v>
      </c>
      <c r="F15" t="s">
        <v>17</v>
      </c>
      <c r="G15">
        <v>48170</v>
      </c>
    </row>
    <row r="16" spans="1:7" x14ac:dyDescent="0.3">
      <c r="A16" t="s">
        <v>123</v>
      </c>
      <c r="B16" t="s">
        <v>8</v>
      </c>
      <c r="C16">
        <v>21</v>
      </c>
      <c r="D16" t="s">
        <v>13</v>
      </c>
      <c r="E16" s="1">
        <v>44042</v>
      </c>
      <c r="F16" t="s">
        <v>12</v>
      </c>
      <c r="G16">
        <v>37920</v>
      </c>
    </row>
    <row r="17" spans="1:7" x14ac:dyDescent="0.3">
      <c r="A17" t="s">
        <v>124</v>
      </c>
      <c r="B17" t="s">
        <v>8</v>
      </c>
      <c r="C17">
        <v>34</v>
      </c>
      <c r="D17" t="s">
        <v>13</v>
      </c>
      <c r="E17" s="1">
        <v>44642</v>
      </c>
      <c r="F17" t="s">
        <v>12</v>
      </c>
      <c r="G17">
        <v>112650</v>
      </c>
    </row>
    <row r="18" spans="1:7" x14ac:dyDescent="0.3">
      <c r="A18" t="s">
        <v>125</v>
      </c>
      <c r="B18" t="s">
        <v>15</v>
      </c>
      <c r="C18">
        <v>34</v>
      </c>
      <c r="D18" t="s">
        <v>18</v>
      </c>
      <c r="E18" s="1">
        <v>44660</v>
      </c>
      <c r="F18" t="s">
        <v>9</v>
      </c>
      <c r="G18">
        <v>49630</v>
      </c>
    </row>
    <row r="19" spans="1:7" x14ac:dyDescent="0.3">
      <c r="A19" t="s">
        <v>126</v>
      </c>
      <c r="B19" t="s">
        <v>8</v>
      </c>
      <c r="C19">
        <v>36</v>
      </c>
      <c r="D19" t="s">
        <v>13</v>
      </c>
      <c r="E19" s="1">
        <v>43958</v>
      </c>
      <c r="F19" t="s">
        <v>23</v>
      </c>
      <c r="G19">
        <v>118840</v>
      </c>
    </row>
    <row r="20" spans="1:7" x14ac:dyDescent="0.3">
      <c r="A20" t="s">
        <v>127</v>
      </c>
      <c r="B20" t="s">
        <v>8</v>
      </c>
      <c r="C20">
        <v>30</v>
      </c>
      <c r="D20" t="s">
        <v>13</v>
      </c>
      <c r="E20" s="1">
        <v>44789</v>
      </c>
      <c r="F20" t="s">
        <v>23</v>
      </c>
      <c r="G20">
        <v>69710</v>
      </c>
    </row>
    <row r="21" spans="1:7" x14ac:dyDescent="0.3">
      <c r="A21" t="s">
        <v>128</v>
      </c>
      <c r="B21" t="s">
        <v>8</v>
      </c>
      <c r="C21">
        <v>20</v>
      </c>
      <c r="D21" t="s">
        <v>13</v>
      </c>
      <c r="E21" s="1">
        <v>44683</v>
      </c>
      <c r="F21" t="s">
        <v>12</v>
      </c>
      <c r="G21">
        <v>79570</v>
      </c>
    </row>
    <row r="22" spans="1:7" x14ac:dyDescent="0.3">
      <c r="A22" t="s">
        <v>129</v>
      </c>
      <c r="B22" t="s">
        <v>15</v>
      </c>
      <c r="C22">
        <v>22</v>
      </c>
      <c r="D22" t="s">
        <v>10</v>
      </c>
      <c r="E22" s="1">
        <v>44388</v>
      </c>
      <c r="F22" t="s">
        <v>12</v>
      </c>
      <c r="G22">
        <v>76900</v>
      </c>
    </row>
    <row r="23" spans="1:7" x14ac:dyDescent="0.3">
      <c r="A23" t="s">
        <v>130</v>
      </c>
      <c r="B23" t="s">
        <v>8</v>
      </c>
      <c r="C23">
        <v>27</v>
      </c>
      <c r="D23" t="s">
        <v>13</v>
      </c>
      <c r="E23" s="1">
        <v>44073</v>
      </c>
      <c r="F23" t="s">
        <v>9</v>
      </c>
      <c r="G23">
        <v>54970</v>
      </c>
    </row>
    <row r="24" spans="1:7" x14ac:dyDescent="0.3">
      <c r="A24" t="s">
        <v>131</v>
      </c>
      <c r="B24" t="s">
        <v>8</v>
      </c>
      <c r="C24">
        <v>37</v>
      </c>
      <c r="D24" t="s">
        <v>18</v>
      </c>
      <c r="E24" s="1">
        <v>44277</v>
      </c>
      <c r="F24" t="s">
        <v>23</v>
      </c>
      <c r="G24">
        <v>88050</v>
      </c>
    </row>
    <row r="25" spans="1:7" x14ac:dyDescent="0.3">
      <c r="A25" t="s">
        <v>132</v>
      </c>
      <c r="B25" t="s">
        <v>8</v>
      </c>
      <c r="C25">
        <v>43</v>
      </c>
      <c r="D25" t="s">
        <v>13</v>
      </c>
      <c r="E25" s="1">
        <v>44558</v>
      </c>
      <c r="F25" t="s">
        <v>9</v>
      </c>
      <c r="G25">
        <v>36040</v>
      </c>
    </row>
    <row r="26" spans="1:7" x14ac:dyDescent="0.3">
      <c r="A26" t="s">
        <v>133</v>
      </c>
      <c r="B26" t="s">
        <v>15</v>
      </c>
      <c r="C26">
        <v>42</v>
      </c>
      <c r="D26" t="s">
        <v>43</v>
      </c>
      <c r="E26" s="1">
        <v>44718</v>
      </c>
      <c r="F26" t="s">
        <v>12</v>
      </c>
      <c r="G26">
        <v>75000</v>
      </c>
    </row>
    <row r="27" spans="1:7" x14ac:dyDescent="0.3">
      <c r="A27" t="s">
        <v>134</v>
      </c>
      <c r="B27" t="s">
        <v>8</v>
      </c>
      <c r="C27">
        <v>35</v>
      </c>
      <c r="D27" t="s">
        <v>13</v>
      </c>
      <c r="E27" s="1">
        <v>44666</v>
      </c>
      <c r="F27" t="s">
        <v>12</v>
      </c>
      <c r="G27">
        <v>40400</v>
      </c>
    </row>
    <row r="28" spans="1:7" x14ac:dyDescent="0.3">
      <c r="A28" t="s">
        <v>135</v>
      </c>
      <c r="B28" t="s">
        <v>8</v>
      </c>
      <c r="C28">
        <v>24</v>
      </c>
      <c r="D28" t="s">
        <v>13</v>
      </c>
      <c r="E28" s="1">
        <v>44625</v>
      </c>
      <c r="F28" t="s">
        <v>23</v>
      </c>
      <c r="G28">
        <v>100420</v>
      </c>
    </row>
    <row r="29" spans="1:7" x14ac:dyDescent="0.3">
      <c r="A29" t="s">
        <v>136</v>
      </c>
      <c r="B29" t="s">
        <v>15</v>
      </c>
      <c r="C29">
        <v>31</v>
      </c>
      <c r="D29" t="s">
        <v>13</v>
      </c>
      <c r="E29" s="1">
        <v>44604</v>
      </c>
      <c r="F29" t="s">
        <v>23</v>
      </c>
      <c r="G29">
        <v>58100</v>
      </c>
    </row>
    <row r="30" spans="1:7" x14ac:dyDescent="0.3">
      <c r="A30" t="s">
        <v>137</v>
      </c>
      <c r="B30" t="s">
        <v>15</v>
      </c>
      <c r="C30">
        <v>44</v>
      </c>
      <c r="D30" t="s">
        <v>13</v>
      </c>
      <c r="E30" s="1">
        <v>44985</v>
      </c>
      <c r="F30" t="s">
        <v>23</v>
      </c>
      <c r="G30">
        <v>114870</v>
      </c>
    </row>
    <row r="31" spans="1:7" x14ac:dyDescent="0.3">
      <c r="A31" t="s">
        <v>138</v>
      </c>
      <c r="B31" t="s">
        <v>15</v>
      </c>
      <c r="C31">
        <v>32</v>
      </c>
      <c r="D31" t="s">
        <v>13</v>
      </c>
      <c r="E31" s="1">
        <v>44549</v>
      </c>
      <c r="F31" t="s">
        <v>12</v>
      </c>
      <c r="G31">
        <v>41570</v>
      </c>
    </row>
    <row r="32" spans="1:7" x14ac:dyDescent="0.3">
      <c r="A32" t="s">
        <v>139</v>
      </c>
      <c r="B32" t="s">
        <v>15</v>
      </c>
      <c r="C32">
        <v>30</v>
      </c>
      <c r="D32" t="s">
        <v>13</v>
      </c>
      <c r="E32" s="1">
        <v>44800</v>
      </c>
      <c r="F32" t="s">
        <v>12</v>
      </c>
      <c r="G32">
        <v>112570</v>
      </c>
    </row>
    <row r="33" spans="1:7" x14ac:dyDescent="0.3">
      <c r="A33" t="s">
        <v>140</v>
      </c>
      <c r="B33" t="s">
        <v>8</v>
      </c>
      <c r="C33">
        <v>26</v>
      </c>
      <c r="D33" t="s">
        <v>13</v>
      </c>
      <c r="E33" s="1">
        <v>44164</v>
      </c>
      <c r="F33" t="s">
        <v>12</v>
      </c>
      <c r="G33">
        <v>47360</v>
      </c>
    </row>
    <row r="34" spans="1:7" x14ac:dyDescent="0.3">
      <c r="A34" t="s">
        <v>141</v>
      </c>
      <c r="B34" t="s">
        <v>15</v>
      </c>
      <c r="C34">
        <v>21</v>
      </c>
      <c r="D34" t="s">
        <v>13</v>
      </c>
      <c r="E34" s="1">
        <v>44256</v>
      </c>
      <c r="F34" t="s">
        <v>17</v>
      </c>
      <c r="G34">
        <v>65920</v>
      </c>
    </row>
    <row r="35" spans="1:7" x14ac:dyDescent="0.3">
      <c r="A35" t="s">
        <v>142</v>
      </c>
      <c r="B35" t="s">
        <v>15</v>
      </c>
      <c r="C35">
        <v>28</v>
      </c>
      <c r="D35" t="s">
        <v>13</v>
      </c>
      <c r="E35" s="1">
        <v>44571</v>
      </c>
      <c r="F35" t="s">
        <v>12</v>
      </c>
      <c r="G35">
        <v>99970</v>
      </c>
    </row>
    <row r="36" spans="1:7" x14ac:dyDescent="0.3">
      <c r="A36" t="s">
        <v>143</v>
      </c>
      <c r="B36" t="s">
        <v>15</v>
      </c>
      <c r="C36">
        <v>25</v>
      </c>
      <c r="D36" t="s">
        <v>10</v>
      </c>
      <c r="E36" s="1">
        <v>44633</v>
      </c>
      <c r="F36" t="s">
        <v>23</v>
      </c>
      <c r="G36">
        <v>80700</v>
      </c>
    </row>
    <row r="37" spans="1:7" x14ac:dyDescent="0.3">
      <c r="A37" t="s">
        <v>144</v>
      </c>
      <c r="B37" t="s">
        <v>8</v>
      </c>
      <c r="C37">
        <v>24</v>
      </c>
      <c r="D37" t="s">
        <v>18</v>
      </c>
      <c r="E37" s="1">
        <v>44375</v>
      </c>
      <c r="F37" t="s">
        <v>17</v>
      </c>
      <c r="G37">
        <v>52610</v>
      </c>
    </row>
    <row r="38" spans="1:7" x14ac:dyDescent="0.3">
      <c r="A38" t="s">
        <v>145</v>
      </c>
      <c r="B38" t="s">
        <v>8</v>
      </c>
      <c r="C38">
        <v>29</v>
      </c>
      <c r="D38" t="s">
        <v>18</v>
      </c>
      <c r="E38" s="1">
        <v>44119</v>
      </c>
      <c r="F38" t="s">
        <v>23</v>
      </c>
      <c r="G38">
        <v>112110</v>
      </c>
    </row>
    <row r="39" spans="1:7" x14ac:dyDescent="0.3">
      <c r="A39" t="s">
        <v>146</v>
      </c>
      <c r="B39" t="s">
        <v>15</v>
      </c>
      <c r="C39">
        <v>27</v>
      </c>
      <c r="D39" t="s">
        <v>13</v>
      </c>
      <c r="E39" s="1">
        <v>44061</v>
      </c>
      <c r="F39" t="s">
        <v>26</v>
      </c>
      <c r="G39">
        <v>119110</v>
      </c>
    </row>
    <row r="40" spans="1:7" x14ac:dyDescent="0.3">
      <c r="A40" t="s">
        <v>147</v>
      </c>
      <c r="B40" t="s">
        <v>8</v>
      </c>
      <c r="C40">
        <v>22</v>
      </c>
      <c r="D40" t="s">
        <v>10</v>
      </c>
      <c r="E40" s="1">
        <v>44384</v>
      </c>
      <c r="F40" t="s">
        <v>9</v>
      </c>
      <c r="G40">
        <v>112780</v>
      </c>
    </row>
    <row r="41" spans="1:7" x14ac:dyDescent="0.3">
      <c r="A41" t="s">
        <v>148</v>
      </c>
      <c r="B41" t="s">
        <v>15</v>
      </c>
      <c r="C41">
        <v>36</v>
      </c>
      <c r="D41" t="s">
        <v>13</v>
      </c>
      <c r="E41" s="1">
        <v>44023</v>
      </c>
      <c r="F41" t="s">
        <v>12</v>
      </c>
      <c r="G41">
        <v>114890</v>
      </c>
    </row>
    <row r="42" spans="1:7" x14ac:dyDescent="0.3">
      <c r="A42" t="s">
        <v>149</v>
      </c>
      <c r="B42" t="s">
        <v>8</v>
      </c>
      <c r="C42">
        <v>27</v>
      </c>
      <c r="D42" t="s">
        <v>13</v>
      </c>
      <c r="E42" s="1">
        <v>44506</v>
      </c>
      <c r="F42" t="s">
        <v>17</v>
      </c>
      <c r="G42">
        <v>48980</v>
      </c>
    </row>
    <row r="43" spans="1:7" x14ac:dyDescent="0.3">
      <c r="A43" t="s">
        <v>150</v>
      </c>
      <c r="B43" t="s">
        <v>8</v>
      </c>
      <c r="C43">
        <v>21</v>
      </c>
      <c r="D43" t="s">
        <v>13</v>
      </c>
      <c r="E43" s="1">
        <v>44180</v>
      </c>
      <c r="F43" t="s">
        <v>26</v>
      </c>
      <c r="G43">
        <v>75880</v>
      </c>
    </row>
    <row r="44" spans="1:7" x14ac:dyDescent="0.3">
      <c r="A44" t="s">
        <v>151</v>
      </c>
      <c r="B44" t="s">
        <v>15</v>
      </c>
      <c r="C44">
        <v>28</v>
      </c>
      <c r="D44" t="s">
        <v>13</v>
      </c>
      <c r="E44" s="1">
        <v>44296</v>
      </c>
      <c r="F44" t="s">
        <v>9</v>
      </c>
      <c r="G44">
        <v>53240</v>
      </c>
    </row>
    <row r="45" spans="1:7" x14ac:dyDescent="0.3">
      <c r="A45" t="s">
        <v>152</v>
      </c>
      <c r="B45" t="s">
        <v>15</v>
      </c>
      <c r="C45">
        <v>34</v>
      </c>
      <c r="D45" t="s">
        <v>13</v>
      </c>
      <c r="E45" s="1">
        <v>44397</v>
      </c>
      <c r="F45" t="s">
        <v>17</v>
      </c>
      <c r="G45">
        <v>85000</v>
      </c>
    </row>
    <row r="46" spans="1:7" x14ac:dyDescent="0.3">
      <c r="A46" t="s">
        <v>153</v>
      </c>
      <c r="B46" t="s">
        <v>15</v>
      </c>
      <c r="C46">
        <v>21</v>
      </c>
      <c r="D46" t="s">
        <v>13</v>
      </c>
      <c r="E46" s="1">
        <v>44619</v>
      </c>
      <c r="F46" t="s">
        <v>23</v>
      </c>
      <c r="G46">
        <v>33920</v>
      </c>
    </row>
    <row r="47" spans="1:7" x14ac:dyDescent="0.3">
      <c r="A47" t="s">
        <v>154</v>
      </c>
      <c r="B47" t="s">
        <v>15</v>
      </c>
      <c r="C47">
        <v>33</v>
      </c>
      <c r="D47" t="s">
        <v>13</v>
      </c>
      <c r="E47" s="1">
        <v>44253</v>
      </c>
      <c r="F47" t="s">
        <v>23</v>
      </c>
      <c r="G47">
        <v>75280</v>
      </c>
    </row>
    <row r="48" spans="1:7" x14ac:dyDescent="0.3">
      <c r="A48" t="s">
        <v>155</v>
      </c>
      <c r="B48" t="s">
        <v>15</v>
      </c>
      <c r="C48">
        <v>34</v>
      </c>
      <c r="D48" t="s">
        <v>13</v>
      </c>
      <c r="E48" s="1">
        <v>44594</v>
      </c>
      <c r="F48" t="s">
        <v>17</v>
      </c>
      <c r="G48">
        <v>58940</v>
      </c>
    </row>
    <row r="49" spans="1:7" x14ac:dyDescent="0.3">
      <c r="A49" t="s">
        <v>156</v>
      </c>
      <c r="B49" t="s">
        <v>15</v>
      </c>
      <c r="C49">
        <v>28</v>
      </c>
      <c r="D49" t="s">
        <v>13</v>
      </c>
      <c r="E49" s="1">
        <v>44425</v>
      </c>
      <c r="F49" t="s">
        <v>12</v>
      </c>
      <c r="G49">
        <v>104770</v>
      </c>
    </row>
    <row r="50" spans="1:7" x14ac:dyDescent="0.3">
      <c r="A50" t="s">
        <v>157</v>
      </c>
      <c r="B50" t="s">
        <v>8</v>
      </c>
      <c r="C50">
        <v>21</v>
      </c>
      <c r="D50" t="s">
        <v>13</v>
      </c>
      <c r="E50" s="1">
        <v>44701</v>
      </c>
      <c r="F50" t="s">
        <v>12</v>
      </c>
      <c r="G50">
        <v>57090</v>
      </c>
    </row>
    <row r="51" spans="1:7" x14ac:dyDescent="0.3">
      <c r="A51" t="s">
        <v>158</v>
      </c>
      <c r="B51" t="s">
        <v>8</v>
      </c>
      <c r="C51">
        <v>27</v>
      </c>
      <c r="D51" t="s">
        <v>10</v>
      </c>
      <c r="E51" s="1">
        <v>44174</v>
      </c>
      <c r="F51" t="s">
        <v>17</v>
      </c>
      <c r="G51">
        <v>91650</v>
      </c>
    </row>
    <row r="52" spans="1:7" x14ac:dyDescent="0.3">
      <c r="A52" t="s">
        <v>159</v>
      </c>
      <c r="B52" t="s">
        <v>8</v>
      </c>
      <c r="C52">
        <v>42</v>
      </c>
      <c r="D52" t="s">
        <v>18</v>
      </c>
      <c r="E52" s="1">
        <v>44670</v>
      </c>
      <c r="F52" t="s">
        <v>17</v>
      </c>
      <c r="G52">
        <v>70270</v>
      </c>
    </row>
    <row r="53" spans="1:7" x14ac:dyDescent="0.3">
      <c r="A53" t="s">
        <v>160</v>
      </c>
      <c r="B53" t="s">
        <v>15</v>
      </c>
      <c r="C53">
        <v>28</v>
      </c>
      <c r="D53" t="s">
        <v>13</v>
      </c>
      <c r="E53" s="1">
        <v>44124</v>
      </c>
      <c r="F53" t="s">
        <v>17</v>
      </c>
      <c r="G53">
        <v>75970</v>
      </c>
    </row>
    <row r="54" spans="1:7" x14ac:dyDescent="0.3">
      <c r="A54" t="s">
        <v>161</v>
      </c>
      <c r="C54">
        <v>27</v>
      </c>
      <c r="D54" t="s">
        <v>10</v>
      </c>
      <c r="E54" s="1">
        <v>44212</v>
      </c>
      <c r="F54" t="s">
        <v>23</v>
      </c>
      <c r="G54">
        <v>90700</v>
      </c>
    </row>
    <row r="55" spans="1:7" x14ac:dyDescent="0.3">
      <c r="A55" t="s">
        <v>162</v>
      </c>
      <c r="B55" t="s">
        <v>8</v>
      </c>
      <c r="C55">
        <v>30</v>
      </c>
      <c r="D55" t="s">
        <v>13</v>
      </c>
      <c r="E55" s="1">
        <v>44607</v>
      </c>
      <c r="F55" t="s">
        <v>12</v>
      </c>
      <c r="G55">
        <v>60570</v>
      </c>
    </row>
    <row r="56" spans="1:7" x14ac:dyDescent="0.3">
      <c r="A56" t="s">
        <v>163</v>
      </c>
      <c r="B56" t="s">
        <v>8</v>
      </c>
      <c r="C56">
        <v>33</v>
      </c>
      <c r="D56" t="s">
        <v>13</v>
      </c>
      <c r="E56" s="1">
        <v>44103</v>
      </c>
      <c r="F56" t="s">
        <v>12</v>
      </c>
      <c r="G56">
        <v>115920</v>
      </c>
    </row>
    <row r="57" spans="1:7" x14ac:dyDescent="0.3">
      <c r="A57" t="s">
        <v>164</v>
      </c>
      <c r="B57" t="s">
        <v>15</v>
      </c>
      <c r="C57">
        <v>33</v>
      </c>
      <c r="D57" t="s">
        <v>13</v>
      </c>
      <c r="E57" s="1">
        <v>44006</v>
      </c>
      <c r="F57" t="s">
        <v>17</v>
      </c>
      <c r="G57">
        <v>65360</v>
      </c>
    </row>
    <row r="58" spans="1:7" x14ac:dyDescent="0.3">
      <c r="A58" t="s">
        <v>165</v>
      </c>
      <c r="C58">
        <v>30</v>
      </c>
      <c r="D58" t="s">
        <v>13</v>
      </c>
      <c r="E58" s="1">
        <v>44535</v>
      </c>
      <c r="F58" t="s">
        <v>17</v>
      </c>
      <c r="G58">
        <v>64000</v>
      </c>
    </row>
    <row r="59" spans="1:7" x14ac:dyDescent="0.3">
      <c r="A59" t="s">
        <v>166</v>
      </c>
      <c r="B59" t="s">
        <v>15</v>
      </c>
      <c r="C59">
        <v>34</v>
      </c>
      <c r="D59" t="s">
        <v>13</v>
      </c>
      <c r="E59" s="1">
        <v>44383</v>
      </c>
      <c r="F59" t="s">
        <v>17</v>
      </c>
      <c r="G59">
        <v>92450</v>
      </c>
    </row>
    <row r="60" spans="1:7" x14ac:dyDescent="0.3">
      <c r="A60" t="s">
        <v>167</v>
      </c>
      <c r="B60" t="s">
        <v>8</v>
      </c>
      <c r="C60">
        <v>31</v>
      </c>
      <c r="D60" t="s">
        <v>13</v>
      </c>
      <c r="E60" s="1">
        <v>44450</v>
      </c>
      <c r="F60" t="s">
        <v>23</v>
      </c>
      <c r="G60">
        <v>48950</v>
      </c>
    </row>
    <row r="61" spans="1:7" x14ac:dyDescent="0.3">
      <c r="A61" t="s">
        <v>168</v>
      </c>
      <c r="B61" t="s">
        <v>15</v>
      </c>
      <c r="C61">
        <v>27</v>
      </c>
      <c r="D61" t="s">
        <v>13</v>
      </c>
      <c r="E61" s="1">
        <v>44625</v>
      </c>
      <c r="F61" t="s">
        <v>23</v>
      </c>
      <c r="G61">
        <v>83750</v>
      </c>
    </row>
    <row r="62" spans="1:7" x14ac:dyDescent="0.3">
      <c r="A62" t="s">
        <v>169</v>
      </c>
      <c r="B62" t="s">
        <v>15</v>
      </c>
      <c r="C62">
        <v>40</v>
      </c>
      <c r="D62" t="s">
        <v>13</v>
      </c>
      <c r="E62" s="1">
        <v>44276</v>
      </c>
      <c r="F62" t="s">
        <v>23</v>
      </c>
      <c r="G62">
        <v>87620</v>
      </c>
    </row>
    <row r="63" spans="1:7" x14ac:dyDescent="0.3">
      <c r="A63" t="s">
        <v>170</v>
      </c>
      <c r="B63" t="s">
        <v>15</v>
      </c>
      <c r="C63">
        <v>20</v>
      </c>
      <c r="D63" t="s">
        <v>18</v>
      </c>
      <c r="E63" s="1">
        <v>44476</v>
      </c>
      <c r="F63" t="s">
        <v>9</v>
      </c>
      <c r="G63">
        <v>68900</v>
      </c>
    </row>
    <row r="64" spans="1:7" x14ac:dyDescent="0.3">
      <c r="A64" t="s">
        <v>171</v>
      </c>
      <c r="B64" t="s">
        <v>8</v>
      </c>
      <c r="C64">
        <v>32</v>
      </c>
      <c r="D64" t="s">
        <v>13</v>
      </c>
      <c r="E64" s="1">
        <v>44403</v>
      </c>
      <c r="F64" t="s">
        <v>9</v>
      </c>
      <c r="G64">
        <v>53540</v>
      </c>
    </row>
    <row r="65" spans="1:7" x14ac:dyDescent="0.3">
      <c r="A65" t="s">
        <v>172</v>
      </c>
      <c r="B65" t="s">
        <v>8</v>
      </c>
      <c r="C65">
        <v>28</v>
      </c>
      <c r="D65" t="s">
        <v>49</v>
      </c>
      <c r="E65" s="1">
        <v>44758</v>
      </c>
      <c r="F65" t="s">
        <v>9</v>
      </c>
      <c r="G65">
        <v>43510</v>
      </c>
    </row>
    <row r="66" spans="1:7" x14ac:dyDescent="0.3">
      <c r="A66" t="s">
        <v>173</v>
      </c>
      <c r="B66" t="s">
        <v>15</v>
      </c>
      <c r="C66">
        <v>38</v>
      </c>
      <c r="D66" t="s">
        <v>43</v>
      </c>
      <c r="E66" s="1">
        <v>44316</v>
      </c>
      <c r="F66" t="s">
        <v>9</v>
      </c>
      <c r="G66">
        <v>109160</v>
      </c>
    </row>
    <row r="67" spans="1:7" x14ac:dyDescent="0.3">
      <c r="A67" t="s">
        <v>174</v>
      </c>
      <c r="B67" t="s">
        <v>8</v>
      </c>
      <c r="C67">
        <v>40</v>
      </c>
      <c r="D67" t="s">
        <v>13</v>
      </c>
      <c r="E67" s="1">
        <v>44204</v>
      </c>
      <c r="F67" t="s">
        <v>12</v>
      </c>
      <c r="G67">
        <v>99750</v>
      </c>
    </row>
    <row r="68" spans="1:7" x14ac:dyDescent="0.3">
      <c r="A68" t="s">
        <v>175</v>
      </c>
      <c r="B68" t="s">
        <v>15</v>
      </c>
      <c r="C68">
        <v>31</v>
      </c>
      <c r="D68" t="s">
        <v>13</v>
      </c>
      <c r="E68" s="1">
        <v>44084</v>
      </c>
      <c r="F68" t="s">
        <v>23</v>
      </c>
      <c r="G68">
        <v>41980</v>
      </c>
    </row>
    <row r="69" spans="1:7" x14ac:dyDescent="0.3">
      <c r="A69" t="s">
        <v>176</v>
      </c>
      <c r="B69" t="s">
        <v>8</v>
      </c>
      <c r="C69">
        <v>36</v>
      </c>
      <c r="D69" t="s">
        <v>13</v>
      </c>
      <c r="E69" s="1">
        <v>44272</v>
      </c>
      <c r="F69" t="s">
        <v>17</v>
      </c>
      <c r="G69">
        <v>71380</v>
      </c>
    </row>
    <row r="70" spans="1:7" x14ac:dyDescent="0.3">
      <c r="A70" t="s">
        <v>177</v>
      </c>
      <c r="B70" t="s">
        <v>8</v>
      </c>
      <c r="C70">
        <v>27</v>
      </c>
      <c r="D70" t="s">
        <v>49</v>
      </c>
      <c r="E70" s="1">
        <v>44547</v>
      </c>
      <c r="F70" t="s">
        <v>12</v>
      </c>
      <c r="G70">
        <v>113280</v>
      </c>
    </row>
    <row r="71" spans="1:7" x14ac:dyDescent="0.3">
      <c r="A71" t="s">
        <v>178</v>
      </c>
      <c r="B71" t="s">
        <v>15</v>
      </c>
      <c r="C71">
        <v>33</v>
      </c>
      <c r="D71" t="s">
        <v>13</v>
      </c>
      <c r="E71" s="1">
        <v>44747</v>
      </c>
      <c r="F71" t="s">
        <v>17</v>
      </c>
      <c r="G71">
        <v>86570</v>
      </c>
    </row>
    <row r="72" spans="1:7" x14ac:dyDescent="0.3">
      <c r="A72" t="s">
        <v>179</v>
      </c>
      <c r="B72" t="s">
        <v>8</v>
      </c>
      <c r="C72">
        <v>26</v>
      </c>
      <c r="D72" t="s">
        <v>13</v>
      </c>
      <c r="E72" s="1">
        <v>44350</v>
      </c>
      <c r="F72" t="s">
        <v>12</v>
      </c>
      <c r="G72">
        <v>53540</v>
      </c>
    </row>
    <row r="73" spans="1:7" x14ac:dyDescent="0.3">
      <c r="A73" t="s">
        <v>180</v>
      </c>
      <c r="B73" t="s">
        <v>8</v>
      </c>
      <c r="C73">
        <v>37</v>
      </c>
      <c r="D73" t="s">
        <v>13</v>
      </c>
      <c r="E73" s="1">
        <v>44640</v>
      </c>
      <c r="F73" t="s">
        <v>23</v>
      </c>
      <c r="G73">
        <v>69070</v>
      </c>
    </row>
    <row r="74" spans="1:7" x14ac:dyDescent="0.3">
      <c r="A74" t="s">
        <v>181</v>
      </c>
      <c r="B74" t="s">
        <v>15</v>
      </c>
      <c r="C74">
        <v>30</v>
      </c>
      <c r="D74" t="s">
        <v>18</v>
      </c>
      <c r="E74" s="1">
        <v>44328</v>
      </c>
      <c r="F74" t="s">
        <v>17</v>
      </c>
      <c r="G74">
        <v>67910</v>
      </c>
    </row>
    <row r="75" spans="1:7" x14ac:dyDescent="0.3">
      <c r="A75" t="s">
        <v>182</v>
      </c>
      <c r="B75" t="s">
        <v>8</v>
      </c>
      <c r="C75">
        <v>30</v>
      </c>
      <c r="D75" t="s">
        <v>13</v>
      </c>
      <c r="E75" s="1">
        <v>44214</v>
      </c>
      <c r="F75" t="s">
        <v>23</v>
      </c>
      <c r="G75">
        <v>69120</v>
      </c>
    </row>
    <row r="76" spans="1:7" x14ac:dyDescent="0.3">
      <c r="A76" t="s">
        <v>183</v>
      </c>
      <c r="B76" t="s">
        <v>15</v>
      </c>
      <c r="C76">
        <v>34</v>
      </c>
      <c r="D76" t="s">
        <v>13</v>
      </c>
      <c r="E76" s="1">
        <v>44550</v>
      </c>
      <c r="F76" t="s">
        <v>17</v>
      </c>
      <c r="G76">
        <v>60130</v>
      </c>
    </row>
    <row r="77" spans="1:7" x14ac:dyDescent="0.3">
      <c r="A77" t="s">
        <v>184</v>
      </c>
      <c r="B77" t="s">
        <v>8</v>
      </c>
      <c r="C77">
        <v>23</v>
      </c>
      <c r="D77" t="s">
        <v>13</v>
      </c>
      <c r="E77" s="1">
        <v>44378</v>
      </c>
      <c r="F77" t="s">
        <v>12</v>
      </c>
      <c r="G77">
        <v>106460</v>
      </c>
    </row>
    <row r="78" spans="1:7" x14ac:dyDescent="0.3">
      <c r="A78" t="s">
        <v>185</v>
      </c>
      <c r="B78" t="s">
        <v>15</v>
      </c>
      <c r="C78">
        <v>37</v>
      </c>
      <c r="D78" t="s">
        <v>13</v>
      </c>
      <c r="E78" s="1">
        <v>44389</v>
      </c>
      <c r="F78" t="s">
        <v>26</v>
      </c>
      <c r="G78">
        <v>118100</v>
      </c>
    </row>
    <row r="79" spans="1:7" x14ac:dyDescent="0.3">
      <c r="A79" t="s">
        <v>186</v>
      </c>
      <c r="B79" t="s">
        <v>15</v>
      </c>
      <c r="C79">
        <v>36</v>
      </c>
      <c r="D79" t="s">
        <v>13</v>
      </c>
      <c r="E79" s="1">
        <v>44468</v>
      </c>
      <c r="F79" t="s">
        <v>12</v>
      </c>
      <c r="G79">
        <v>78390</v>
      </c>
    </row>
    <row r="80" spans="1:7" x14ac:dyDescent="0.3">
      <c r="A80" t="s">
        <v>187</v>
      </c>
      <c r="B80" t="s">
        <v>15</v>
      </c>
      <c r="C80">
        <v>30</v>
      </c>
      <c r="D80" t="s">
        <v>13</v>
      </c>
      <c r="E80" s="1">
        <v>44789</v>
      </c>
      <c r="F80" t="s">
        <v>12</v>
      </c>
      <c r="G80">
        <v>114180</v>
      </c>
    </row>
    <row r="81" spans="1:7" x14ac:dyDescent="0.3">
      <c r="A81" t="s">
        <v>188</v>
      </c>
      <c r="B81" t="s">
        <v>15</v>
      </c>
      <c r="C81">
        <v>28</v>
      </c>
      <c r="D81" t="s">
        <v>13</v>
      </c>
      <c r="E81" s="1">
        <v>44590</v>
      </c>
      <c r="F81" t="s">
        <v>12</v>
      </c>
      <c r="G81">
        <v>104120</v>
      </c>
    </row>
    <row r="82" spans="1:7" x14ac:dyDescent="0.3">
      <c r="A82" t="s">
        <v>189</v>
      </c>
      <c r="B82" t="s">
        <v>8</v>
      </c>
      <c r="C82">
        <v>30</v>
      </c>
      <c r="D82" t="s">
        <v>13</v>
      </c>
      <c r="E82" s="1">
        <v>44640</v>
      </c>
      <c r="F82" t="s">
        <v>12</v>
      </c>
      <c r="G82">
        <v>67950</v>
      </c>
    </row>
    <row r="83" spans="1:7" x14ac:dyDescent="0.3">
      <c r="A83" t="s">
        <v>190</v>
      </c>
      <c r="B83" t="s">
        <v>15</v>
      </c>
      <c r="C83">
        <v>29</v>
      </c>
      <c r="D83" t="s">
        <v>13</v>
      </c>
      <c r="E83" s="1">
        <v>43962</v>
      </c>
      <c r="F83" t="s">
        <v>23</v>
      </c>
      <c r="G83">
        <v>34980</v>
      </c>
    </row>
    <row r="84" spans="1:7" x14ac:dyDescent="0.3">
      <c r="A84" t="s">
        <v>191</v>
      </c>
      <c r="B84" t="s">
        <v>15</v>
      </c>
      <c r="C84">
        <v>24</v>
      </c>
      <c r="D84" t="s">
        <v>13</v>
      </c>
      <c r="E84" s="1">
        <v>44087</v>
      </c>
      <c r="F84" t="s">
        <v>23</v>
      </c>
      <c r="G84">
        <v>62780</v>
      </c>
    </row>
    <row r="85" spans="1:7" x14ac:dyDescent="0.3">
      <c r="A85" t="s">
        <v>192</v>
      </c>
      <c r="B85" t="s">
        <v>8</v>
      </c>
      <c r="C85">
        <v>20</v>
      </c>
      <c r="D85" t="s">
        <v>13</v>
      </c>
      <c r="E85" s="1">
        <v>44397</v>
      </c>
      <c r="F85" t="s">
        <v>23</v>
      </c>
      <c r="G85">
        <v>107700</v>
      </c>
    </row>
    <row r="86" spans="1:7" x14ac:dyDescent="0.3">
      <c r="A86" t="s">
        <v>193</v>
      </c>
      <c r="B86" t="s">
        <v>8</v>
      </c>
      <c r="C86">
        <v>25</v>
      </c>
      <c r="D86" t="s">
        <v>13</v>
      </c>
      <c r="E86" s="1">
        <v>44322</v>
      </c>
      <c r="F86" t="s">
        <v>9</v>
      </c>
      <c r="G86">
        <v>65700</v>
      </c>
    </row>
    <row r="87" spans="1:7" x14ac:dyDescent="0.3">
      <c r="A87" t="s">
        <v>194</v>
      </c>
      <c r="B87" t="s">
        <v>15</v>
      </c>
      <c r="C87">
        <v>33</v>
      </c>
      <c r="D87" t="s">
        <v>49</v>
      </c>
      <c r="E87" s="1">
        <v>44313</v>
      </c>
      <c r="F87" t="s">
        <v>23</v>
      </c>
      <c r="G87">
        <v>75480</v>
      </c>
    </row>
    <row r="88" spans="1:7" x14ac:dyDescent="0.3">
      <c r="A88" t="s">
        <v>195</v>
      </c>
      <c r="B88" t="s">
        <v>8</v>
      </c>
      <c r="C88">
        <v>33</v>
      </c>
      <c r="D88" t="s">
        <v>13</v>
      </c>
      <c r="E88" s="1">
        <v>44448</v>
      </c>
      <c r="F88" t="s">
        <v>23</v>
      </c>
      <c r="G88">
        <v>53870</v>
      </c>
    </row>
    <row r="89" spans="1:7" x14ac:dyDescent="0.3">
      <c r="A89" t="s">
        <v>196</v>
      </c>
      <c r="B89" t="s">
        <v>15</v>
      </c>
      <c r="C89">
        <v>36</v>
      </c>
      <c r="D89" t="s">
        <v>13</v>
      </c>
      <c r="E89" s="1">
        <v>44433</v>
      </c>
      <c r="F89" t="s">
        <v>9</v>
      </c>
      <c r="G89">
        <v>78540</v>
      </c>
    </row>
    <row r="90" spans="1:7" x14ac:dyDescent="0.3">
      <c r="A90" t="s">
        <v>197</v>
      </c>
      <c r="B90" t="s">
        <v>8</v>
      </c>
      <c r="C90">
        <v>19</v>
      </c>
      <c r="D90" t="s">
        <v>13</v>
      </c>
      <c r="E90" s="1">
        <v>44218</v>
      </c>
      <c r="F90" t="s">
        <v>12</v>
      </c>
      <c r="G90">
        <v>58960</v>
      </c>
    </row>
    <row r="91" spans="1:7" x14ac:dyDescent="0.3">
      <c r="A91" t="s">
        <v>198</v>
      </c>
      <c r="B91" t="s">
        <v>8</v>
      </c>
      <c r="C91">
        <v>46</v>
      </c>
      <c r="D91" t="s">
        <v>13</v>
      </c>
      <c r="E91" s="1">
        <v>44697</v>
      </c>
      <c r="F91" t="s">
        <v>12</v>
      </c>
      <c r="G91">
        <v>70610</v>
      </c>
    </row>
    <row r="92" spans="1:7" x14ac:dyDescent="0.3">
      <c r="A92" t="s">
        <v>199</v>
      </c>
      <c r="B92" t="s">
        <v>8</v>
      </c>
      <c r="C92">
        <v>33</v>
      </c>
      <c r="D92" t="s">
        <v>13</v>
      </c>
      <c r="E92" s="1">
        <v>44181</v>
      </c>
      <c r="F92" t="s">
        <v>17</v>
      </c>
      <c r="G92">
        <v>59430</v>
      </c>
    </row>
    <row r="93" spans="1:7" x14ac:dyDescent="0.3">
      <c r="A93" t="s">
        <v>200</v>
      </c>
      <c r="B93" t="s">
        <v>8</v>
      </c>
      <c r="C93">
        <v>33</v>
      </c>
      <c r="D93" t="s">
        <v>10</v>
      </c>
      <c r="E93" s="1">
        <v>44640</v>
      </c>
      <c r="F93" t="s">
        <v>12</v>
      </c>
      <c r="G93">
        <v>48530</v>
      </c>
    </row>
    <row r="94" spans="1:7" x14ac:dyDescent="0.3">
      <c r="A94" t="s">
        <v>201</v>
      </c>
      <c r="B94" t="s">
        <v>15</v>
      </c>
      <c r="C94">
        <v>33</v>
      </c>
      <c r="D94" t="s">
        <v>13</v>
      </c>
      <c r="E94" s="1">
        <v>44129</v>
      </c>
      <c r="F94" t="s">
        <v>23</v>
      </c>
      <c r="G94">
        <v>96140</v>
      </c>
    </row>
    <row r="95" spans="1:7" x14ac:dyDescent="0.3">
      <c r="A95" t="s">
        <v>110</v>
      </c>
      <c r="B95" t="s">
        <v>8</v>
      </c>
      <c r="C95">
        <v>20</v>
      </c>
      <c r="D95" t="s">
        <v>13</v>
      </c>
      <c r="E95" s="1">
        <v>44122</v>
      </c>
      <c r="F95" t="s">
        <v>23</v>
      </c>
      <c r="G95">
        <v>112650</v>
      </c>
    </row>
    <row r="96" spans="1:7" x14ac:dyDescent="0.3">
      <c r="A96" t="s">
        <v>111</v>
      </c>
      <c r="B96" t="s">
        <v>15</v>
      </c>
      <c r="C96">
        <v>32</v>
      </c>
      <c r="D96" t="s">
        <v>10</v>
      </c>
      <c r="E96" s="1">
        <v>44293</v>
      </c>
      <c r="F96" t="s">
        <v>23</v>
      </c>
      <c r="G96">
        <v>43840</v>
      </c>
    </row>
    <row r="97" spans="1:7" x14ac:dyDescent="0.3">
      <c r="A97" t="s">
        <v>112</v>
      </c>
      <c r="B97" t="s">
        <v>8</v>
      </c>
      <c r="C97">
        <v>31</v>
      </c>
      <c r="D97" t="s">
        <v>13</v>
      </c>
      <c r="E97" s="1">
        <v>44663</v>
      </c>
      <c r="F97" t="s">
        <v>12</v>
      </c>
      <c r="G97">
        <v>103550</v>
      </c>
    </row>
    <row r="98" spans="1:7" x14ac:dyDescent="0.3">
      <c r="A98" t="s">
        <v>113</v>
      </c>
      <c r="B98" t="s">
        <v>15</v>
      </c>
      <c r="C98">
        <v>32</v>
      </c>
      <c r="D98" t="s">
        <v>13</v>
      </c>
      <c r="E98" s="1">
        <v>44339</v>
      </c>
      <c r="F98" t="s">
        <v>26</v>
      </c>
      <c r="G98">
        <v>45510</v>
      </c>
    </row>
    <row r="99" spans="1:7" x14ac:dyDescent="0.3">
      <c r="A99" t="s">
        <v>114</v>
      </c>
      <c r="C99">
        <v>37</v>
      </c>
      <c r="D99" t="s">
        <v>18</v>
      </c>
      <c r="E99" s="1">
        <v>44085</v>
      </c>
      <c r="F99" t="s">
        <v>17</v>
      </c>
      <c r="G99">
        <v>115440</v>
      </c>
    </row>
    <row r="100" spans="1:7" x14ac:dyDescent="0.3">
      <c r="A100" t="s">
        <v>115</v>
      </c>
      <c r="B100" t="s">
        <v>15</v>
      </c>
      <c r="C100">
        <v>38</v>
      </c>
      <c r="D100" t="s">
        <v>10</v>
      </c>
      <c r="E100" s="1">
        <v>44268</v>
      </c>
      <c r="F100" t="s">
        <v>9</v>
      </c>
      <c r="G100">
        <v>56870</v>
      </c>
    </row>
    <row r="101" spans="1:7" x14ac:dyDescent="0.3">
      <c r="A101" t="s">
        <v>116</v>
      </c>
      <c r="B101" t="s">
        <v>15</v>
      </c>
      <c r="C101">
        <v>25</v>
      </c>
      <c r="D101" t="s">
        <v>13</v>
      </c>
      <c r="E101" s="1">
        <v>44144</v>
      </c>
      <c r="F101" t="s">
        <v>9</v>
      </c>
      <c r="G101">
        <v>92700</v>
      </c>
    </row>
    <row r="102" spans="1:7" x14ac:dyDescent="0.3">
      <c r="A102" t="s">
        <v>117</v>
      </c>
      <c r="C102">
        <v>32</v>
      </c>
      <c r="D102" t="s">
        <v>13</v>
      </c>
      <c r="E102" s="1">
        <v>44713</v>
      </c>
      <c r="F102" t="s">
        <v>23</v>
      </c>
      <c r="G102">
        <v>91310</v>
      </c>
    </row>
    <row r="103" spans="1:7" x14ac:dyDescent="0.3">
      <c r="A103" t="s">
        <v>118</v>
      </c>
      <c r="B103" t="s">
        <v>8</v>
      </c>
      <c r="C103">
        <v>33</v>
      </c>
      <c r="D103" t="s">
        <v>13</v>
      </c>
      <c r="E103" s="1">
        <v>44324</v>
      </c>
      <c r="F103" t="s">
        <v>9</v>
      </c>
      <c r="G103">
        <v>74550</v>
      </c>
    </row>
    <row r="104" spans="1:7" x14ac:dyDescent="0.3">
      <c r="A104" t="s">
        <v>119</v>
      </c>
      <c r="B104" t="s">
        <v>8</v>
      </c>
      <c r="C104">
        <v>25</v>
      </c>
      <c r="D104" t="s">
        <v>10</v>
      </c>
      <c r="E104" s="1">
        <v>44665</v>
      </c>
      <c r="F104" t="s">
        <v>12</v>
      </c>
      <c r="G104">
        <v>109190</v>
      </c>
    </row>
    <row r="105" spans="1:7" x14ac:dyDescent="0.3">
      <c r="A105" t="s">
        <v>120</v>
      </c>
      <c r="B105" t="s">
        <v>15</v>
      </c>
      <c r="C105">
        <v>40</v>
      </c>
      <c r="D105" t="s">
        <v>13</v>
      </c>
      <c r="E105" s="1">
        <v>44320</v>
      </c>
      <c r="F105" t="s">
        <v>23</v>
      </c>
      <c r="G105">
        <v>104410</v>
      </c>
    </row>
    <row r="106" spans="1:7" x14ac:dyDescent="0.3">
      <c r="A106" t="s">
        <v>121</v>
      </c>
      <c r="B106" t="s">
        <v>8</v>
      </c>
      <c r="C106">
        <v>30</v>
      </c>
      <c r="D106" t="s">
        <v>13</v>
      </c>
      <c r="E106" s="1">
        <v>44544</v>
      </c>
      <c r="F106" t="s">
        <v>17</v>
      </c>
      <c r="G106">
        <v>96800</v>
      </c>
    </row>
    <row r="107" spans="1:7" x14ac:dyDescent="0.3">
      <c r="A107" t="s">
        <v>122</v>
      </c>
      <c r="B107" t="s">
        <v>8</v>
      </c>
      <c r="C107">
        <v>28</v>
      </c>
      <c r="D107" t="s">
        <v>10</v>
      </c>
      <c r="E107" s="1">
        <v>43980</v>
      </c>
      <c r="F107" t="s">
        <v>17</v>
      </c>
      <c r="G107">
        <v>48170</v>
      </c>
    </row>
    <row r="108" spans="1:7" x14ac:dyDescent="0.3">
      <c r="A108" t="s">
        <v>123</v>
      </c>
      <c r="B108" t="s">
        <v>8</v>
      </c>
      <c r="C108">
        <v>21</v>
      </c>
      <c r="D108" t="s">
        <v>13</v>
      </c>
      <c r="E108" s="1">
        <v>44042</v>
      </c>
      <c r="F108" t="s">
        <v>12</v>
      </c>
      <c r="G108">
        <v>37920</v>
      </c>
    </row>
    <row r="109" spans="1:7" x14ac:dyDescent="0.3">
      <c r="A109" t="s">
        <v>124</v>
      </c>
      <c r="B109" t="s">
        <v>8</v>
      </c>
      <c r="C109">
        <v>34</v>
      </c>
      <c r="D109" t="s">
        <v>13</v>
      </c>
      <c r="E109" s="1">
        <v>44642</v>
      </c>
      <c r="F109" t="s">
        <v>12</v>
      </c>
      <c r="G109">
        <v>112650</v>
      </c>
    </row>
    <row r="110" spans="1:7" x14ac:dyDescent="0.3">
      <c r="A110" t="s">
        <v>125</v>
      </c>
      <c r="B110" t="s">
        <v>15</v>
      </c>
      <c r="C110">
        <v>34</v>
      </c>
      <c r="D110" t="s">
        <v>18</v>
      </c>
      <c r="E110" s="1">
        <v>44660</v>
      </c>
      <c r="F110" t="s">
        <v>9</v>
      </c>
      <c r="G110">
        <v>49630</v>
      </c>
    </row>
    <row r="111" spans="1:7" x14ac:dyDescent="0.3">
      <c r="A111" t="s">
        <v>126</v>
      </c>
      <c r="B111" t="s">
        <v>8</v>
      </c>
      <c r="C111">
        <v>36</v>
      </c>
      <c r="D111" t="s">
        <v>13</v>
      </c>
      <c r="E111" s="1">
        <v>43958</v>
      </c>
      <c r="F111" t="s">
        <v>23</v>
      </c>
      <c r="G111">
        <v>118840</v>
      </c>
    </row>
    <row r="112" spans="1:7" x14ac:dyDescent="0.3">
      <c r="A112" t="s">
        <v>127</v>
      </c>
      <c r="B112" t="s">
        <v>8</v>
      </c>
      <c r="C112">
        <v>30</v>
      </c>
      <c r="D112" t="s">
        <v>13</v>
      </c>
      <c r="E112" s="1">
        <v>44789</v>
      </c>
      <c r="F112" t="s">
        <v>23</v>
      </c>
      <c r="G112">
        <v>69710</v>
      </c>
    </row>
    <row r="113" spans="1:7" x14ac:dyDescent="0.3">
      <c r="A113" t="s">
        <v>128</v>
      </c>
      <c r="B113" t="s">
        <v>8</v>
      </c>
      <c r="C113">
        <v>20</v>
      </c>
      <c r="D113" t="s">
        <v>13</v>
      </c>
      <c r="E113" s="1">
        <v>44683</v>
      </c>
      <c r="F113" t="s">
        <v>12</v>
      </c>
      <c r="G113">
        <v>79570</v>
      </c>
    </row>
    <row r="114" spans="1:7" x14ac:dyDescent="0.3">
      <c r="A114" t="s">
        <v>129</v>
      </c>
      <c r="B114" t="s">
        <v>15</v>
      </c>
      <c r="C114">
        <v>22</v>
      </c>
      <c r="D114" t="s">
        <v>10</v>
      </c>
      <c r="E114" s="1">
        <v>44388</v>
      </c>
      <c r="F114" t="s">
        <v>12</v>
      </c>
      <c r="G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D6FB9-6533-4D4D-9A58-72DED2512E17}">
  <sheetPr>
    <tabColor rgb="FFFFC000"/>
  </sheetPr>
  <dimension ref="A1:U184"/>
  <sheetViews>
    <sheetView workbookViewId="0">
      <selection activeCell="K1" activeCellId="1" sqref="G1:G184 K1:K184"/>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2.109375" bestFit="1" customWidth="1"/>
    <col min="8" max="8" width="10" bestFit="1" customWidth="1"/>
    <col min="9" max="9" width="8.88671875" style="5"/>
    <col min="10" max="10" width="9.77734375" style="20" bestFit="1" customWidth="1"/>
    <col min="11" max="11" width="12.88671875" style="19" customWidth="1"/>
    <col min="12" max="12" width="8.88671875" style="5"/>
    <col min="14" max="14" width="13.44140625" bestFit="1" customWidth="1"/>
    <col min="15" max="15" width="12" bestFit="1" customWidth="1"/>
  </cols>
  <sheetData>
    <row r="1" spans="1:16" x14ac:dyDescent="0.3">
      <c r="A1" t="s">
        <v>0</v>
      </c>
      <c r="B1" t="s">
        <v>1</v>
      </c>
      <c r="C1" t="s">
        <v>3</v>
      </c>
      <c r="D1" t="s">
        <v>6</v>
      </c>
      <c r="E1" t="s">
        <v>4</v>
      </c>
      <c r="F1" t="s">
        <v>2</v>
      </c>
      <c r="G1" t="s">
        <v>5</v>
      </c>
      <c r="H1" t="s">
        <v>203</v>
      </c>
      <c r="I1" s="5" t="s">
        <v>212</v>
      </c>
      <c r="J1" s="20" t="s">
        <v>230</v>
      </c>
      <c r="K1" s="19" t="s">
        <v>232</v>
      </c>
    </row>
    <row r="2" spans="1:16" x14ac:dyDescent="0.3">
      <c r="A2" s="3" t="s">
        <v>110</v>
      </c>
      <c r="B2" s="3" t="s">
        <v>8</v>
      </c>
      <c r="C2">
        <v>20</v>
      </c>
      <c r="D2" t="s">
        <v>13</v>
      </c>
      <c r="E2" s="4">
        <v>44122</v>
      </c>
      <c r="F2" s="3" t="s">
        <v>23</v>
      </c>
      <c r="G2" s="20">
        <v>112650</v>
      </c>
      <c r="H2" t="s">
        <v>204</v>
      </c>
      <c r="I2" s="5">
        <f ca="1">(TODAY()-staff[[#This Row],[Date Joined]])/365</f>
        <v>3.3808219178082193</v>
      </c>
      <c r="J2" s="20">
        <f ca="1">ROUND(IF(staff[[#This Row],[Tenure]]&gt;2,3%,2%)*staff[[#This Row],[Salary]],0)</f>
        <v>3380</v>
      </c>
      <c r="K2" s="19">
        <f>_xlfn.XLOOKUP(staff[[#This Row],[Rating]],Sheet8!$B$3:$B$7,Sheet8!$C$3:$C$7)</f>
        <v>3</v>
      </c>
      <c r="M2" s="7">
        <v>1</v>
      </c>
    </row>
    <row r="3" spans="1:16" x14ac:dyDescent="0.3">
      <c r="A3" s="3" t="s">
        <v>111</v>
      </c>
      <c r="B3" s="3" t="s">
        <v>15</v>
      </c>
      <c r="C3">
        <v>32</v>
      </c>
      <c r="D3" t="s">
        <v>10</v>
      </c>
      <c r="E3" s="4">
        <v>44293</v>
      </c>
      <c r="F3" s="3" t="s">
        <v>23</v>
      </c>
      <c r="G3" s="20">
        <v>43840</v>
      </c>
      <c r="H3" t="s">
        <v>204</v>
      </c>
      <c r="I3" s="5">
        <f ca="1">(TODAY()-staff[[#This Row],[Date Joined]])/365</f>
        <v>2.9123287671232876</v>
      </c>
      <c r="J3" s="20">
        <f ca="1">ROUND(IF(staff[[#This Row],[Tenure]]&gt;2,3%,2%)*staff[[#This Row],[Salary]],0)</f>
        <v>1315</v>
      </c>
      <c r="K3" s="19">
        <f>_xlfn.XLOOKUP(staff[[#This Row],[Rating]],Sheet8!$B$3:$B$7,Sheet8!$C$3:$C$7)</f>
        <v>4</v>
      </c>
      <c r="N3" t="s">
        <v>207</v>
      </c>
      <c r="O3">
        <f>COUNTA(staff[Name])</f>
        <v>183</v>
      </c>
    </row>
    <row r="4" spans="1:16" x14ac:dyDescent="0.3">
      <c r="A4" s="3" t="s">
        <v>112</v>
      </c>
      <c r="B4" s="3" t="s">
        <v>8</v>
      </c>
      <c r="C4">
        <v>31</v>
      </c>
      <c r="D4" t="s">
        <v>13</v>
      </c>
      <c r="E4" s="4">
        <v>44663</v>
      </c>
      <c r="F4" s="3" t="s">
        <v>12</v>
      </c>
      <c r="G4" s="20">
        <v>103550</v>
      </c>
      <c r="H4" t="s">
        <v>204</v>
      </c>
      <c r="I4" s="5">
        <f ca="1">(TODAY()-staff[[#This Row],[Date Joined]])/365</f>
        <v>1.8986301369863015</v>
      </c>
      <c r="J4" s="20">
        <f ca="1">ROUND(IF(staff[[#This Row],[Tenure]]&gt;2,3%,2%)*staff[[#This Row],[Salary]],0)</f>
        <v>2071</v>
      </c>
      <c r="K4" s="19">
        <f>_xlfn.XLOOKUP(staff[[#This Row],[Rating]],Sheet8!$B$3:$B$7,Sheet8!$C$3:$C$7)</f>
        <v>3</v>
      </c>
      <c r="N4" t="s">
        <v>208</v>
      </c>
      <c r="O4">
        <f>AVERAGE(staff[Salary])</f>
        <v>77173.715846994543</v>
      </c>
      <c r="P4">
        <f>MEDIAN(G:G)</f>
        <v>75000</v>
      </c>
    </row>
    <row r="5" spans="1:16" x14ac:dyDescent="0.3">
      <c r="A5" s="3" t="s">
        <v>113</v>
      </c>
      <c r="B5" s="3" t="s">
        <v>15</v>
      </c>
      <c r="C5">
        <v>32</v>
      </c>
      <c r="D5" t="s">
        <v>13</v>
      </c>
      <c r="E5" s="4">
        <v>44339</v>
      </c>
      <c r="F5" s="3" t="s">
        <v>26</v>
      </c>
      <c r="G5" s="20">
        <v>45510</v>
      </c>
      <c r="H5" t="s">
        <v>204</v>
      </c>
      <c r="I5" s="5">
        <f ca="1">(TODAY()-staff[[#This Row],[Date Joined]])/365</f>
        <v>2.7863013698630139</v>
      </c>
      <c r="J5" s="20">
        <f ca="1">ROUND(IF(staff[[#This Row],[Tenure]]&gt;2,3%,2%)*staff[[#This Row],[Salary]],0)</f>
        <v>1365</v>
      </c>
      <c r="K5" s="19">
        <f>_xlfn.XLOOKUP(staff[[#This Row],[Rating]],Sheet8!$B$3:$B$7,Sheet8!$C$3:$C$7)</f>
        <v>3</v>
      </c>
      <c r="N5" t="s">
        <v>209</v>
      </c>
      <c r="O5" s="5">
        <f>AVERAGE(staff[Age])</f>
        <v>30.42622950819672</v>
      </c>
      <c r="P5">
        <f>MEDIAN(C:C)</f>
        <v>30</v>
      </c>
    </row>
    <row r="6" spans="1:16" x14ac:dyDescent="0.3">
      <c r="A6" s="3" t="s">
        <v>114</v>
      </c>
      <c r="B6" s="3" t="s">
        <v>205</v>
      </c>
      <c r="C6">
        <v>37</v>
      </c>
      <c r="D6" t="s">
        <v>18</v>
      </c>
      <c r="E6" s="4">
        <v>44085</v>
      </c>
      <c r="F6" s="3" t="s">
        <v>17</v>
      </c>
      <c r="G6" s="20">
        <v>115440</v>
      </c>
      <c r="H6" t="s">
        <v>204</v>
      </c>
      <c r="I6" s="5">
        <f ca="1">(TODAY()-staff[[#This Row],[Date Joined]])/365</f>
        <v>3.4821917808219176</v>
      </c>
      <c r="J6" s="20">
        <f ca="1">ROUND(IF(staff[[#This Row],[Tenure]]&gt;2,3%,2%)*staff[[#This Row],[Salary]],0)</f>
        <v>3463</v>
      </c>
      <c r="K6" s="19">
        <f>_xlfn.XLOOKUP(staff[[#This Row],[Rating]],Sheet8!$B$3:$B$7,Sheet8!$C$3:$C$7)</f>
        <v>2</v>
      </c>
      <c r="N6" t="s">
        <v>210</v>
      </c>
      <c r="O6" s="5">
        <f ca="1">AVERAGE(staff[Tenure])</f>
        <v>2.5286772962048052</v>
      </c>
    </row>
    <row r="7" spans="1:16" x14ac:dyDescent="0.3">
      <c r="A7" s="3" t="s">
        <v>115</v>
      </c>
      <c r="B7" s="3" t="s">
        <v>15</v>
      </c>
      <c r="C7">
        <v>38</v>
      </c>
      <c r="D7" t="s">
        <v>10</v>
      </c>
      <c r="E7" s="4">
        <v>44268</v>
      </c>
      <c r="F7" s="3" t="s">
        <v>9</v>
      </c>
      <c r="G7" s="20">
        <v>56870</v>
      </c>
      <c r="H7" t="s">
        <v>204</v>
      </c>
      <c r="I7" s="5">
        <f ca="1">(TODAY()-staff[[#This Row],[Date Joined]])/365</f>
        <v>2.9808219178082194</v>
      </c>
      <c r="J7" s="20">
        <f ca="1">ROUND(IF(staff[[#This Row],[Tenure]]&gt;2,3%,2%)*staff[[#This Row],[Salary]],0)</f>
        <v>1706</v>
      </c>
      <c r="K7" s="19">
        <f>_xlfn.XLOOKUP(staff[[#This Row],[Rating]],Sheet8!$B$3:$B$7,Sheet8!$C$3:$C$7)</f>
        <v>4</v>
      </c>
      <c r="N7" t="s">
        <v>211</v>
      </c>
    </row>
    <row r="8" spans="1:16" x14ac:dyDescent="0.3">
      <c r="A8" s="3" t="s">
        <v>116</v>
      </c>
      <c r="B8" s="3" t="s">
        <v>15</v>
      </c>
      <c r="C8">
        <v>25</v>
      </c>
      <c r="D8" t="s">
        <v>13</v>
      </c>
      <c r="E8" s="4">
        <v>44144</v>
      </c>
      <c r="F8" s="3" t="s">
        <v>9</v>
      </c>
      <c r="G8" s="20">
        <v>92700</v>
      </c>
      <c r="H8" t="s">
        <v>204</v>
      </c>
      <c r="I8" s="5">
        <f ca="1">(TODAY()-staff[[#This Row],[Date Joined]])/365</f>
        <v>3.3205479452054796</v>
      </c>
      <c r="J8" s="20">
        <f ca="1">ROUND(IF(staff[[#This Row],[Tenure]]&gt;2,3%,2%)*staff[[#This Row],[Salary]],0)</f>
        <v>2781</v>
      </c>
      <c r="K8" s="19">
        <f>_xlfn.XLOOKUP(staff[[#This Row],[Rating]],Sheet8!$B$3:$B$7,Sheet8!$C$3:$C$7)</f>
        <v>3</v>
      </c>
      <c r="N8" t="s">
        <v>215</v>
      </c>
      <c r="O8">
        <f>COUNTIFS(B:B, "Female")</f>
        <v>86</v>
      </c>
    </row>
    <row r="9" spans="1:16" x14ac:dyDescent="0.3">
      <c r="A9" s="3" t="s">
        <v>117</v>
      </c>
      <c r="B9" s="3" t="s">
        <v>205</v>
      </c>
      <c r="C9">
        <v>32</v>
      </c>
      <c r="D9" t="s">
        <v>13</v>
      </c>
      <c r="E9" s="4">
        <v>44713</v>
      </c>
      <c r="F9" s="3" t="s">
        <v>23</v>
      </c>
      <c r="G9" s="20">
        <v>91310</v>
      </c>
      <c r="H9" t="s">
        <v>204</v>
      </c>
      <c r="I9" s="5">
        <f ca="1">(TODAY()-staff[[#This Row],[Date Joined]])/365</f>
        <v>1.7616438356164383</v>
      </c>
      <c r="J9" s="20">
        <f ca="1">ROUND(IF(staff[[#This Row],[Tenure]]&gt;2,3%,2%)*staff[[#This Row],[Salary]],0)</f>
        <v>1826</v>
      </c>
      <c r="K9" s="19">
        <f>_xlfn.XLOOKUP(staff[[#This Row],[Rating]],Sheet8!$B$3:$B$7,Sheet8!$C$3:$C$7)</f>
        <v>3</v>
      </c>
      <c r="N9" t="s">
        <v>216</v>
      </c>
      <c r="O9" s="6">
        <f>O8/O3</f>
        <v>0.46994535519125685</v>
      </c>
    </row>
    <row r="10" spans="1:16" x14ac:dyDescent="0.3">
      <c r="A10" s="3" t="s">
        <v>118</v>
      </c>
      <c r="B10" s="3" t="s">
        <v>8</v>
      </c>
      <c r="C10">
        <v>33</v>
      </c>
      <c r="D10" t="s">
        <v>13</v>
      </c>
      <c r="E10" s="4">
        <v>44324</v>
      </c>
      <c r="F10" s="3" t="s">
        <v>9</v>
      </c>
      <c r="G10" s="20">
        <v>74550</v>
      </c>
      <c r="H10" t="s">
        <v>204</v>
      </c>
      <c r="I10" s="5">
        <f ca="1">(TODAY()-staff[[#This Row],[Date Joined]])/365</f>
        <v>2.8273972602739725</v>
      </c>
      <c r="J10" s="20">
        <f ca="1">ROUND(IF(staff[[#This Row],[Tenure]]&gt;2,3%,2%)*staff[[#This Row],[Salary]],0)</f>
        <v>2237</v>
      </c>
      <c r="K10" s="19">
        <f>_xlfn.XLOOKUP(staff[[#This Row],[Rating]],Sheet8!$B$3:$B$7,Sheet8!$C$3:$C$7)</f>
        <v>3</v>
      </c>
    </row>
    <row r="11" spans="1:16" x14ac:dyDescent="0.3">
      <c r="A11" s="3" t="s">
        <v>119</v>
      </c>
      <c r="B11" s="3" t="s">
        <v>8</v>
      </c>
      <c r="C11">
        <v>25</v>
      </c>
      <c r="D11" t="s">
        <v>10</v>
      </c>
      <c r="E11" s="4">
        <v>44665</v>
      </c>
      <c r="F11" s="3" t="s">
        <v>12</v>
      </c>
      <c r="G11" s="20">
        <v>109190</v>
      </c>
      <c r="H11" t="s">
        <v>204</v>
      </c>
      <c r="I11" s="5">
        <f ca="1">(TODAY()-staff[[#This Row],[Date Joined]])/365</f>
        <v>1.893150684931507</v>
      </c>
      <c r="J11" s="20">
        <f ca="1">ROUND(IF(staff[[#This Row],[Tenure]]&gt;2,3%,2%)*staff[[#This Row],[Salary]],0)</f>
        <v>2184</v>
      </c>
      <c r="K11" s="19">
        <f>_xlfn.XLOOKUP(staff[[#This Row],[Rating]],Sheet8!$B$3:$B$7,Sheet8!$C$3:$C$7)</f>
        <v>4</v>
      </c>
      <c r="N11" t="s">
        <v>217</v>
      </c>
      <c r="O11">
        <f>COUNTIFS(G:G, "&gt;"&amp;90000)</f>
        <v>63</v>
      </c>
    </row>
    <row r="12" spans="1:16" x14ac:dyDescent="0.3">
      <c r="A12" s="3" t="s">
        <v>120</v>
      </c>
      <c r="B12" s="3" t="s">
        <v>15</v>
      </c>
      <c r="C12">
        <v>40</v>
      </c>
      <c r="D12" t="s">
        <v>13</v>
      </c>
      <c r="E12" s="4">
        <v>44320</v>
      </c>
      <c r="F12" s="3" t="s">
        <v>23</v>
      </c>
      <c r="G12" s="20">
        <v>104410</v>
      </c>
      <c r="H12" t="s">
        <v>204</v>
      </c>
      <c r="I12" s="5">
        <f ca="1">(TODAY()-staff[[#This Row],[Date Joined]])/365</f>
        <v>2.8383561643835615</v>
      </c>
      <c r="J12" s="20">
        <f ca="1">ROUND(IF(staff[[#This Row],[Tenure]]&gt;2,3%,2%)*staff[[#This Row],[Salary]],0)</f>
        <v>3132</v>
      </c>
      <c r="K12" s="19">
        <f>_xlfn.XLOOKUP(staff[[#This Row],[Rating]],Sheet8!$B$3:$B$7,Sheet8!$C$3:$C$7)</f>
        <v>3</v>
      </c>
      <c r="N12" t="s">
        <v>218</v>
      </c>
      <c r="O12" s="6">
        <f>O11/O3</f>
        <v>0.34426229508196721</v>
      </c>
    </row>
    <row r="13" spans="1:16" x14ac:dyDescent="0.3">
      <c r="A13" s="3" t="s">
        <v>121</v>
      </c>
      <c r="B13" s="3" t="s">
        <v>8</v>
      </c>
      <c r="C13">
        <v>30</v>
      </c>
      <c r="D13" t="s">
        <v>13</v>
      </c>
      <c r="E13" s="4">
        <v>44544</v>
      </c>
      <c r="F13" s="3" t="s">
        <v>17</v>
      </c>
      <c r="G13" s="20">
        <v>96800</v>
      </c>
      <c r="H13" t="s">
        <v>204</v>
      </c>
      <c r="I13" s="5">
        <f ca="1">(TODAY()-staff[[#This Row],[Date Joined]])/365</f>
        <v>2.2246575342465755</v>
      </c>
      <c r="J13" s="20">
        <f ca="1">ROUND(IF(staff[[#This Row],[Tenure]]&gt;2,3%,2%)*staff[[#This Row],[Salary]],0)</f>
        <v>2904</v>
      </c>
      <c r="K13" s="19">
        <f>_xlfn.XLOOKUP(staff[[#This Row],[Rating]],Sheet8!$B$3:$B$7,Sheet8!$C$3:$C$7)</f>
        <v>3</v>
      </c>
    </row>
    <row r="14" spans="1:16" x14ac:dyDescent="0.3">
      <c r="A14" s="3" t="s">
        <v>122</v>
      </c>
      <c r="B14" s="3" t="s">
        <v>8</v>
      </c>
      <c r="C14">
        <v>28</v>
      </c>
      <c r="D14" t="s">
        <v>10</v>
      </c>
      <c r="E14" s="4">
        <v>43980</v>
      </c>
      <c r="F14" s="3" t="s">
        <v>17</v>
      </c>
      <c r="G14" s="20">
        <v>48170</v>
      </c>
      <c r="H14" t="s">
        <v>204</v>
      </c>
      <c r="I14" s="5">
        <f ca="1">(TODAY()-staff[[#This Row],[Date Joined]])/365</f>
        <v>3.7698630136986302</v>
      </c>
      <c r="J14" s="20">
        <f ca="1">ROUND(IF(staff[[#This Row],[Tenure]]&gt;2,3%,2%)*staff[[#This Row],[Salary]],0)</f>
        <v>1445</v>
      </c>
      <c r="K14" s="19">
        <f>_xlfn.XLOOKUP(staff[[#This Row],[Rating]],Sheet8!$B$3:$B$7,Sheet8!$C$3:$C$7)</f>
        <v>4</v>
      </c>
    </row>
    <row r="15" spans="1:16" x14ac:dyDescent="0.3">
      <c r="A15" s="3" t="s">
        <v>123</v>
      </c>
      <c r="B15" s="3" t="s">
        <v>8</v>
      </c>
      <c r="C15">
        <v>21</v>
      </c>
      <c r="D15" t="s">
        <v>13</v>
      </c>
      <c r="E15" s="4">
        <v>44042</v>
      </c>
      <c r="F15" s="3" t="s">
        <v>12</v>
      </c>
      <c r="G15" s="20">
        <v>37920</v>
      </c>
      <c r="H15" t="s">
        <v>204</v>
      </c>
      <c r="I15" s="5">
        <f ca="1">(TODAY()-staff[[#This Row],[Date Joined]])/365</f>
        <v>3.6</v>
      </c>
      <c r="J15" s="20">
        <f ca="1">ROUND(IF(staff[[#This Row],[Tenure]]&gt;2,3%,2%)*staff[[#This Row],[Salary]],0)</f>
        <v>1138</v>
      </c>
      <c r="K15" s="19">
        <f>_xlfn.XLOOKUP(staff[[#This Row],[Rating]],Sheet8!$B$3:$B$7,Sheet8!$C$3:$C$7)</f>
        <v>3</v>
      </c>
      <c r="M15" s="7">
        <v>2</v>
      </c>
    </row>
    <row r="16" spans="1:16" x14ac:dyDescent="0.3">
      <c r="A16" s="3" t="s">
        <v>124</v>
      </c>
      <c r="B16" s="3" t="s">
        <v>8</v>
      </c>
      <c r="C16">
        <v>34</v>
      </c>
      <c r="D16" t="s">
        <v>13</v>
      </c>
      <c r="E16" s="4">
        <v>44642</v>
      </c>
      <c r="F16" s="3" t="s">
        <v>12</v>
      </c>
      <c r="G16" s="20">
        <v>112650</v>
      </c>
      <c r="H16" t="s">
        <v>204</v>
      </c>
      <c r="I16" s="5">
        <f ca="1">(TODAY()-staff[[#This Row],[Date Joined]])/365</f>
        <v>1.9561643835616438</v>
      </c>
      <c r="J16" s="20">
        <f ca="1">ROUND(IF(staff[[#This Row],[Tenure]]&gt;2,3%,2%)*staff[[#This Row],[Salary]],0)</f>
        <v>2253</v>
      </c>
      <c r="K16" s="19">
        <f>_xlfn.XLOOKUP(staff[[#This Row],[Rating]],Sheet8!$B$3:$B$7,Sheet8!$C$3:$C$7)</f>
        <v>3</v>
      </c>
      <c r="N16" s="8" t="s">
        <v>117</v>
      </c>
    </row>
    <row r="17" spans="1:21" x14ac:dyDescent="0.3">
      <c r="A17" s="3" t="s">
        <v>125</v>
      </c>
      <c r="B17" s="3" t="s">
        <v>15</v>
      </c>
      <c r="C17">
        <v>34</v>
      </c>
      <c r="D17" t="s">
        <v>18</v>
      </c>
      <c r="E17" s="4">
        <v>44660</v>
      </c>
      <c r="F17" s="3" t="s">
        <v>9</v>
      </c>
      <c r="G17" s="20">
        <v>49630</v>
      </c>
      <c r="H17" t="s">
        <v>204</v>
      </c>
      <c r="I17" s="5">
        <f ca="1">(TODAY()-staff[[#This Row],[Date Joined]])/365</f>
        <v>1.9068493150684931</v>
      </c>
      <c r="J17" s="20">
        <f ca="1">ROUND(IF(staff[[#This Row],[Tenure]]&gt;2,3%,2%)*staff[[#This Row],[Salary]],0)</f>
        <v>993</v>
      </c>
      <c r="K17" s="19">
        <f>_xlfn.XLOOKUP(staff[[#This Row],[Rating]],Sheet8!$B$3:$B$7,Sheet8!$C$3:$C$7)</f>
        <v>2</v>
      </c>
      <c r="Q17" t="s">
        <v>213</v>
      </c>
      <c r="R17" t="s">
        <v>214</v>
      </c>
    </row>
    <row r="18" spans="1:21" x14ac:dyDescent="0.3">
      <c r="A18" s="3" t="s">
        <v>126</v>
      </c>
      <c r="B18" s="3" t="s">
        <v>8</v>
      </c>
      <c r="C18">
        <v>36</v>
      </c>
      <c r="D18" t="s">
        <v>13</v>
      </c>
      <c r="E18" s="4">
        <v>43958</v>
      </c>
      <c r="F18" s="3" t="s">
        <v>23</v>
      </c>
      <c r="G18" s="20">
        <v>118840</v>
      </c>
      <c r="H18" t="s">
        <v>204</v>
      </c>
      <c r="I18" s="5">
        <f ca="1">(TODAY()-staff[[#This Row],[Date Joined]])/365</f>
        <v>3.8301369863013699</v>
      </c>
      <c r="J18" s="20">
        <f ca="1">ROUND(IF(staff[[#This Row],[Tenure]]&gt;2,3%,2%)*staff[[#This Row],[Salary]],0)</f>
        <v>3565</v>
      </c>
      <c r="K18" s="19">
        <f>_xlfn.XLOOKUP(staff[[#This Row],[Rating]],Sheet8!$B$3:$B$7,Sheet8!$C$3:$C$7)</f>
        <v>3</v>
      </c>
    </row>
    <row r="19" spans="1:21" x14ac:dyDescent="0.3">
      <c r="A19" s="3" t="s">
        <v>127</v>
      </c>
      <c r="B19" s="3" t="s">
        <v>8</v>
      </c>
      <c r="C19">
        <v>30</v>
      </c>
      <c r="D19" t="s">
        <v>13</v>
      </c>
      <c r="E19" s="4">
        <v>44789</v>
      </c>
      <c r="F19" s="3" t="s">
        <v>23</v>
      </c>
      <c r="G19" s="20">
        <v>69710</v>
      </c>
      <c r="H19" t="s">
        <v>204</v>
      </c>
      <c r="I19" s="5">
        <f ca="1">(TODAY()-staff[[#This Row],[Date Joined]])/365</f>
        <v>1.5534246575342465</v>
      </c>
      <c r="J19" s="20">
        <f ca="1">ROUND(IF(staff[[#This Row],[Tenure]]&gt;2,3%,2%)*staff[[#This Row],[Salary]],0)</f>
        <v>1394</v>
      </c>
      <c r="K19" s="19">
        <f>_xlfn.XLOOKUP(staff[[#This Row],[Rating]],Sheet8!$B$3:$B$7,Sheet8!$C$3:$C$7)</f>
        <v>3</v>
      </c>
      <c r="N19" t="str" cm="1">
        <f t="array" aca="1" ref="N19:U19" ca="1">_xlfn.XLOOKUP(N16,staff[Name],staff[[Gender]:[Tenure]])</f>
        <v>Other</v>
      </c>
      <c r="O19">
        <f ca="1"/>
        <v>32</v>
      </c>
      <c r="P19" t="str">
        <f ca="1"/>
        <v>Average</v>
      </c>
      <c r="Q19" s="4">
        <f ca="1"/>
        <v>44713</v>
      </c>
      <c r="R19" t="str">
        <f ca="1"/>
        <v>Website</v>
      </c>
      <c r="S19">
        <f ca="1"/>
        <v>91310</v>
      </c>
      <c r="T19" t="str">
        <f ca="1"/>
        <v>ind</v>
      </c>
      <c r="U19" s="5">
        <f ca="1"/>
        <v>1.7616438356164383</v>
      </c>
    </row>
    <row r="20" spans="1:21" x14ac:dyDescent="0.3">
      <c r="A20" s="3" t="s">
        <v>128</v>
      </c>
      <c r="B20" s="3" t="s">
        <v>8</v>
      </c>
      <c r="C20">
        <v>20</v>
      </c>
      <c r="D20" t="s">
        <v>13</v>
      </c>
      <c r="E20" s="4">
        <v>44683</v>
      </c>
      <c r="F20" s="3" t="s">
        <v>12</v>
      </c>
      <c r="G20" s="20">
        <v>79570</v>
      </c>
      <c r="H20" t="s">
        <v>204</v>
      </c>
      <c r="I20" s="5">
        <f ca="1">(TODAY()-staff[[#This Row],[Date Joined]])/365</f>
        <v>1.8438356164383563</v>
      </c>
      <c r="J20" s="20">
        <f ca="1">ROUND(IF(staff[[#This Row],[Tenure]]&gt;2,3%,2%)*staff[[#This Row],[Salary]],0)</f>
        <v>1591</v>
      </c>
      <c r="K20" s="19">
        <f>_xlfn.XLOOKUP(staff[[#This Row],[Rating]],Sheet8!$B$3:$B$7,Sheet8!$C$3:$C$7)</f>
        <v>3</v>
      </c>
    </row>
    <row r="21" spans="1:21" x14ac:dyDescent="0.3">
      <c r="A21" s="3" t="s">
        <v>129</v>
      </c>
      <c r="B21" s="3" t="s">
        <v>15</v>
      </c>
      <c r="C21">
        <v>22</v>
      </c>
      <c r="D21" t="s">
        <v>10</v>
      </c>
      <c r="E21" s="4">
        <v>44388</v>
      </c>
      <c r="F21" s="3" t="s">
        <v>12</v>
      </c>
      <c r="G21" s="20">
        <v>76900</v>
      </c>
      <c r="H21" t="s">
        <v>204</v>
      </c>
      <c r="I21" s="5">
        <f ca="1">(TODAY()-staff[[#This Row],[Date Joined]])/365</f>
        <v>2.6520547945205482</v>
      </c>
      <c r="J21" s="20">
        <f ca="1">ROUND(IF(staff[[#This Row],[Tenure]]&gt;2,3%,2%)*staff[[#This Row],[Salary]],0)</f>
        <v>2307</v>
      </c>
      <c r="K21" s="19">
        <f>_xlfn.XLOOKUP(staff[[#This Row],[Rating]],Sheet8!$B$3:$B$7,Sheet8!$C$3:$C$7)</f>
        <v>4</v>
      </c>
    </row>
    <row r="22" spans="1:21" x14ac:dyDescent="0.3">
      <c r="A22" s="3" t="s">
        <v>130</v>
      </c>
      <c r="B22" s="3" t="s">
        <v>8</v>
      </c>
      <c r="C22">
        <v>27</v>
      </c>
      <c r="D22" t="s">
        <v>13</v>
      </c>
      <c r="E22" s="4">
        <v>44073</v>
      </c>
      <c r="F22" s="3" t="s">
        <v>9</v>
      </c>
      <c r="G22" s="20">
        <v>54970</v>
      </c>
      <c r="H22" t="s">
        <v>204</v>
      </c>
      <c r="I22" s="5">
        <f ca="1">(TODAY()-staff[[#This Row],[Date Joined]])/365</f>
        <v>3.515068493150685</v>
      </c>
      <c r="J22" s="20">
        <f ca="1">ROUND(IF(staff[[#This Row],[Tenure]]&gt;2,3%,2%)*staff[[#This Row],[Salary]],0)</f>
        <v>1649</v>
      </c>
      <c r="K22" s="19">
        <f>_xlfn.XLOOKUP(staff[[#This Row],[Rating]],Sheet8!$B$3:$B$7,Sheet8!$C$3:$C$7)</f>
        <v>3</v>
      </c>
      <c r="N22" s="10" t="s">
        <v>1</v>
      </c>
      <c r="O22" s="11" t="str" cm="1">
        <f t="array" aca="1" ref="O22:O29" ca="1">TRANSPOSE(_xlfn.XLOOKUP(N16,staff[Name],staff[[Gender]:[Tenure]]))</f>
        <v>Other</v>
      </c>
    </row>
    <row r="23" spans="1:21" x14ac:dyDescent="0.3">
      <c r="A23" s="3" t="s">
        <v>131</v>
      </c>
      <c r="B23" s="3" t="s">
        <v>8</v>
      </c>
      <c r="C23">
        <v>37</v>
      </c>
      <c r="D23" t="s">
        <v>18</v>
      </c>
      <c r="E23" s="4">
        <v>44277</v>
      </c>
      <c r="F23" s="3" t="s">
        <v>23</v>
      </c>
      <c r="G23" s="20">
        <v>88050</v>
      </c>
      <c r="H23" t="s">
        <v>204</v>
      </c>
      <c r="I23" s="5">
        <f ca="1">(TODAY()-staff[[#This Row],[Date Joined]])/365</f>
        <v>2.956164383561644</v>
      </c>
      <c r="J23" s="20">
        <f ca="1">ROUND(IF(staff[[#This Row],[Tenure]]&gt;2,3%,2%)*staff[[#This Row],[Salary]],0)</f>
        <v>2642</v>
      </c>
      <c r="K23" s="19">
        <f>_xlfn.XLOOKUP(staff[[#This Row],[Rating]],Sheet8!$B$3:$B$7,Sheet8!$C$3:$C$7)</f>
        <v>2</v>
      </c>
      <c r="N23" s="10" t="s">
        <v>3</v>
      </c>
      <c r="O23" s="11">
        <f ca="1"/>
        <v>32</v>
      </c>
    </row>
    <row r="24" spans="1:21" x14ac:dyDescent="0.3">
      <c r="A24" s="3" t="s">
        <v>132</v>
      </c>
      <c r="B24" s="3" t="s">
        <v>8</v>
      </c>
      <c r="C24">
        <v>43</v>
      </c>
      <c r="D24" t="s">
        <v>13</v>
      </c>
      <c r="E24" s="4">
        <v>44558</v>
      </c>
      <c r="F24" s="3" t="s">
        <v>9</v>
      </c>
      <c r="G24" s="20">
        <v>36040</v>
      </c>
      <c r="H24" t="s">
        <v>204</v>
      </c>
      <c r="I24" s="5">
        <f ca="1">(TODAY()-staff[[#This Row],[Date Joined]])/365</f>
        <v>2.1863013698630138</v>
      </c>
      <c r="J24" s="20">
        <f ca="1">ROUND(IF(staff[[#This Row],[Tenure]]&gt;2,3%,2%)*staff[[#This Row],[Salary]],0)</f>
        <v>1081</v>
      </c>
      <c r="K24" s="19">
        <f>_xlfn.XLOOKUP(staff[[#This Row],[Rating]],Sheet8!$B$3:$B$7,Sheet8!$C$3:$C$7)</f>
        <v>3</v>
      </c>
      <c r="N24" s="10" t="s">
        <v>6</v>
      </c>
      <c r="O24" s="11" t="str">
        <f ca="1"/>
        <v>Average</v>
      </c>
    </row>
    <row r="25" spans="1:21" x14ac:dyDescent="0.3">
      <c r="A25" s="3" t="s">
        <v>133</v>
      </c>
      <c r="B25" s="3" t="s">
        <v>15</v>
      </c>
      <c r="C25">
        <v>42</v>
      </c>
      <c r="D25" t="s">
        <v>43</v>
      </c>
      <c r="E25" s="4">
        <v>44718</v>
      </c>
      <c r="F25" s="3" t="s">
        <v>12</v>
      </c>
      <c r="G25" s="20">
        <v>75000</v>
      </c>
      <c r="H25" t="s">
        <v>204</v>
      </c>
      <c r="I25" s="5">
        <f ca="1">(TODAY()-staff[[#This Row],[Date Joined]])/365</f>
        <v>1.747945205479452</v>
      </c>
      <c r="J25" s="20">
        <f ca="1">ROUND(IF(staff[[#This Row],[Tenure]]&gt;2,3%,2%)*staff[[#This Row],[Salary]],0)</f>
        <v>1500</v>
      </c>
      <c r="K25" s="19">
        <f>_xlfn.XLOOKUP(staff[[#This Row],[Rating]],Sheet8!$B$3:$B$7,Sheet8!$C$3:$C$7)</f>
        <v>5</v>
      </c>
      <c r="N25" s="10" t="s">
        <v>4</v>
      </c>
      <c r="O25" s="12">
        <f ca="1"/>
        <v>44713</v>
      </c>
    </row>
    <row r="26" spans="1:21" x14ac:dyDescent="0.3">
      <c r="A26" s="3" t="s">
        <v>134</v>
      </c>
      <c r="B26" s="3" t="s">
        <v>8</v>
      </c>
      <c r="C26">
        <v>35</v>
      </c>
      <c r="D26" t="s">
        <v>13</v>
      </c>
      <c r="E26" s="4">
        <v>44666</v>
      </c>
      <c r="F26" s="3" t="s">
        <v>12</v>
      </c>
      <c r="G26" s="20">
        <v>40400</v>
      </c>
      <c r="H26" t="s">
        <v>204</v>
      </c>
      <c r="I26" s="5">
        <f ca="1">(TODAY()-staff[[#This Row],[Date Joined]])/365</f>
        <v>1.8904109589041096</v>
      </c>
      <c r="J26" s="20">
        <f ca="1">ROUND(IF(staff[[#This Row],[Tenure]]&gt;2,3%,2%)*staff[[#This Row],[Salary]],0)</f>
        <v>808</v>
      </c>
      <c r="K26" s="19">
        <f>_xlfn.XLOOKUP(staff[[#This Row],[Rating]],Sheet8!$B$3:$B$7,Sheet8!$C$3:$C$7)</f>
        <v>3</v>
      </c>
      <c r="N26" s="10" t="s">
        <v>2</v>
      </c>
      <c r="O26" s="11" t="str">
        <f ca="1"/>
        <v>Website</v>
      </c>
    </row>
    <row r="27" spans="1:21" x14ac:dyDescent="0.3">
      <c r="A27" s="3" t="s">
        <v>135</v>
      </c>
      <c r="B27" s="3" t="s">
        <v>8</v>
      </c>
      <c r="C27">
        <v>24</v>
      </c>
      <c r="D27" t="s">
        <v>13</v>
      </c>
      <c r="E27" s="4">
        <v>44625</v>
      </c>
      <c r="F27" s="3" t="s">
        <v>23</v>
      </c>
      <c r="G27" s="20">
        <v>100420</v>
      </c>
      <c r="H27" t="s">
        <v>204</v>
      </c>
      <c r="I27" s="5">
        <f ca="1">(TODAY()-staff[[#This Row],[Date Joined]])/365</f>
        <v>2.0027397260273974</v>
      </c>
      <c r="J27" s="20">
        <f ca="1">ROUND(IF(staff[[#This Row],[Tenure]]&gt;2,3%,2%)*staff[[#This Row],[Salary]],0)</f>
        <v>3013</v>
      </c>
      <c r="K27" s="19">
        <f>_xlfn.XLOOKUP(staff[[#This Row],[Rating]],Sheet8!$B$3:$B$7,Sheet8!$C$3:$C$7)</f>
        <v>3</v>
      </c>
      <c r="N27" s="10" t="s">
        <v>5</v>
      </c>
      <c r="O27" s="11">
        <f ca="1"/>
        <v>91310</v>
      </c>
    </row>
    <row r="28" spans="1:21" x14ac:dyDescent="0.3">
      <c r="A28" s="3" t="s">
        <v>136</v>
      </c>
      <c r="B28" s="3" t="s">
        <v>15</v>
      </c>
      <c r="C28">
        <v>31</v>
      </c>
      <c r="D28" t="s">
        <v>13</v>
      </c>
      <c r="E28" s="4">
        <v>44604</v>
      </c>
      <c r="F28" s="3" t="s">
        <v>23</v>
      </c>
      <c r="G28" s="20">
        <v>58100</v>
      </c>
      <c r="H28" t="s">
        <v>204</v>
      </c>
      <c r="I28" s="5">
        <f ca="1">(TODAY()-staff[[#This Row],[Date Joined]])/365</f>
        <v>2.0602739726027397</v>
      </c>
      <c r="J28" s="20">
        <f ca="1">ROUND(IF(staff[[#This Row],[Tenure]]&gt;2,3%,2%)*staff[[#This Row],[Salary]],0)</f>
        <v>1743</v>
      </c>
      <c r="K28" s="19">
        <f>_xlfn.XLOOKUP(staff[[#This Row],[Rating]],Sheet8!$B$3:$B$7,Sheet8!$C$3:$C$7)</f>
        <v>3</v>
      </c>
      <c r="N28" s="10" t="s">
        <v>203</v>
      </c>
      <c r="O28" s="11" t="str">
        <f ca="1"/>
        <v>ind</v>
      </c>
    </row>
    <row r="29" spans="1:21" x14ac:dyDescent="0.3">
      <c r="A29" s="3" t="s">
        <v>137</v>
      </c>
      <c r="B29" s="3" t="s">
        <v>15</v>
      </c>
      <c r="C29">
        <v>44</v>
      </c>
      <c r="D29" t="s">
        <v>13</v>
      </c>
      <c r="E29" s="4">
        <v>44985</v>
      </c>
      <c r="F29" s="3" t="s">
        <v>23</v>
      </c>
      <c r="G29" s="20">
        <v>114870</v>
      </c>
      <c r="H29" t="s">
        <v>204</v>
      </c>
      <c r="I29" s="5">
        <f ca="1">(TODAY()-staff[[#This Row],[Date Joined]])/365</f>
        <v>1.0164383561643835</v>
      </c>
      <c r="J29" s="20">
        <f ca="1">ROUND(IF(staff[[#This Row],[Tenure]]&gt;2,3%,2%)*staff[[#This Row],[Salary]],0)</f>
        <v>2297</v>
      </c>
      <c r="K29" s="19">
        <f>_xlfn.XLOOKUP(staff[[#This Row],[Rating]],Sheet8!$B$3:$B$7,Sheet8!$C$3:$C$7)</f>
        <v>3</v>
      </c>
      <c r="N29" s="10" t="s">
        <v>212</v>
      </c>
      <c r="O29" s="13">
        <f ca="1"/>
        <v>1.7616438356164383</v>
      </c>
    </row>
    <row r="30" spans="1:21" x14ac:dyDescent="0.3">
      <c r="A30" s="3" t="s">
        <v>138</v>
      </c>
      <c r="B30" s="3" t="s">
        <v>15</v>
      </c>
      <c r="C30">
        <v>32</v>
      </c>
      <c r="D30" t="s">
        <v>13</v>
      </c>
      <c r="E30" s="4">
        <v>44549</v>
      </c>
      <c r="F30" s="3" t="s">
        <v>12</v>
      </c>
      <c r="G30" s="20">
        <v>41570</v>
      </c>
      <c r="H30" t="s">
        <v>204</v>
      </c>
      <c r="I30" s="5">
        <f ca="1">(TODAY()-staff[[#This Row],[Date Joined]])/365</f>
        <v>2.2109589041095892</v>
      </c>
      <c r="J30" s="20">
        <f ca="1">ROUND(IF(staff[[#This Row],[Tenure]]&gt;2,3%,2%)*staff[[#This Row],[Salary]],0)</f>
        <v>1247</v>
      </c>
      <c r="K30" s="19">
        <f>_xlfn.XLOOKUP(staff[[#This Row],[Rating]],Sheet8!$B$3:$B$7,Sheet8!$C$3:$C$7)</f>
        <v>3</v>
      </c>
    </row>
    <row r="31" spans="1:21" x14ac:dyDescent="0.3">
      <c r="A31" s="3" t="s">
        <v>139</v>
      </c>
      <c r="B31" s="3" t="s">
        <v>15</v>
      </c>
      <c r="C31">
        <v>30</v>
      </c>
      <c r="D31" t="s">
        <v>13</v>
      </c>
      <c r="E31" s="4">
        <v>44800</v>
      </c>
      <c r="F31" s="3" t="s">
        <v>12</v>
      </c>
      <c r="G31" s="20">
        <v>112570</v>
      </c>
      <c r="H31" t="s">
        <v>204</v>
      </c>
      <c r="I31" s="5">
        <f ca="1">(TODAY()-staff[[#This Row],[Date Joined]])/365</f>
        <v>1.5232876712328767</v>
      </c>
      <c r="J31" s="20">
        <f ca="1">ROUND(IF(staff[[#This Row],[Tenure]]&gt;2,3%,2%)*staff[[#This Row],[Salary]],0)</f>
        <v>2251</v>
      </c>
      <c r="K31" s="19">
        <f>_xlfn.XLOOKUP(staff[[#This Row],[Rating]],Sheet8!$B$3:$B$7,Sheet8!$C$3:$C$7)</f>
        <v>3</v>
      </c>
    </row>
    <row r="32" spans="1:21" x14ac:dyDescent="0.3">
      <c r="A32" s="3" t="s">
        <v>140</v>
      </c>
      <c r="B32" s="3" t="s">
        <v>8</v>
      </c>
      <c r="C32">
        <v>26</v>
      </c>
      <c r="D32" t="s">
        <v>13</v>
      </c>
      <c r="E32" s="4">
        <v>44164</v>
      </c>
      <c r="F32" s="3" t="s">
        <v>12</v>
      </c>
      <c r="G32" s="20">
        <v>47360</v>
      </c>
      <c r="H32" t="s">
        <v>204</v>
      </c>
      <c r="I32" s="5">
        <f ca="1">(TODAY()-staff[[#This Row],[Date Joined]])/365</f>
        <v>3.2657534246575342</v>
      </c>
      <c r="J32" s="20">
        <f ca="1">ROUND(IF(staff[[#This Row],[Tenure]]&gt;2,3%,2%)*staff[[#This Row],[Salary]],0)</f>
        <v>1421</v>
      </c>
      <c r="K32" s="19">
        <f>_xlfn.XLOOKUP(staff[[#This Row],[Rating]],Sheet8!$B$3:$B$7,Sheet8!$C$3:$C$7)</f>
        <v>3</v>
      </c>
    </row>
    <row r="33" spans="1:11" x14ac:dyDescent="0.3">
      <c r="A33" s="3" t="s">
        <v>141</v>
      </c>
      <c r="B33" s="3" t="s">
        <v>15</v>
      </c>
      <c r="C33">
        <v>21</v>
      </c>
      <c r="D33" t="s">
        <v>13</v>
      </c>
      <c r="E33" s="4">
        <v>44256</v>
      </c>
      <c r="F33" s="3" t="s">
        <v>17</v>
      </c>
      <c r="G33" s="20">
        <v>65920</v>
      </c>
      <c r="H33" t="s">
        <v>204</v>
      </c>
      <c r="I33" s="5">
        <f ca="1">(TODAY()-staff[[#This Row],[Date Joined]])/365</f>
        <v>3.0136986301369864</v>
      </c>
      <c r="J33" s="20">
        <f ca="1">ROUND(IF(staff[[#This Row],[Tenure]]&gt;2,3%,2%)*staff[[#This Row],[Salary]],0)</f>
        <v>1978</v>
      </c>
      <c r="K33" s="19">
        <f>_xlfn.XLOOKUP(staff[[#This Row],[Rating]],Sheet8!$B$3:$B$7,Sheet8!$C$3:$C$7)</f>
        <v>3</v>
      </c>
    </row>
    <row r="34" spans="1:11" x14ac:dyDescent="0.3">
      <c r="A34" s="3" t="s">
        <v>142</v>
      </c>
      <c r="B34" s="3" t="s">
        <v>15</v>
      </c>
      <c r="C34">
        <v>28</v>
      </c>
      <c r="D34" t="s">
        <v>13</v>
      </c>
      <c r="E34" s="4">
        <v>44571</v>
      </c>
      <c r="F34" s="3" t="s">
        <v>12</v>
      </c>
      <c r="G34" s="20">
        <v>99970</v>
      </c>
      <c r="H34" t="s">
        <v>204</v>
      </c>
      <c r="I34" s="5">
        <f ca="1">(TODAY()-staff[[#This Row],[Date Joined]])/365</f>
        <v>2.1506849315068495</v>
      </c>
      <c r="J34" s="20">
        <f ca="1">ROUND(IF(staff[[#This Row],[Tenure]]&gt;2,3%,2%)*staff[[#This Row],[Salary]],0)</f>
        <v>2999</v>
      </c>
      <c r="K34" s="19">
        <f>_xlfn.XLOOKUP(staff[[#This Row],[Rating]],Sheet8!$B$3:$B$7,Sheet8!$C$3:$C$7)</f>
        <v>3</v>
      </c>
    </row>
    <row r="35" spans="1:11" x14ac:dyDescent="0.3">
      <c r="A35" s="3" t="s">
        <v>143</v>
      </c>
      <c r="B35" s="3" t="s">
        <v>15</v>
      </c>
      <c r="C35">
        <v>25</v>
      </c>
      <c r="D35" t="s">
        <v>10</v>
      </c>
      <c r="E35" s="4">
        <v>44633</v>
      </c>
      <c r="F35" s="3" t="s">
        <v>23</v>
      </c>
      <c r="G35" s="20">
        <v>80700</v>
      </c>
      <c r="H35" t="s">
        <v>204</v>
      </c>
      <c r="I35" s="5">
        <f ca="1">(TODAY()-staff[[#This Row],[Date Joined]])/365</f>
        <v>1.9808219178082191</v>
      </c>
      <c r="J35" s="20">
        <f ca="1">ROUND(IF(staff[[#This Row],[Tenure]]&gt;2,3%,2%)*staff[[#This Row],[Salary]],0)</f>
        <v>1614</v>
      </c>
      <c r="K35" s="19">
        <f>_xlfn.XLOOKUP(staff[[#This Row],[Rating]],Sheet8!$B$3:$B$7,Sheet8!$C$3:$C$7)</f>
        <v>4</v>
      </c>
    </row>
    <row r="36" spans="1:11" x14ac:dyDescent="0.3">
      <c r="A36" s="3" t="s">
        <v>144</v>
      </c>
      <c r="B36" s="3" t="s">
        <v>8</v>
      </c>
      <c r="C36">
        <v>24</v>
      </c>
      <c r="D36" t="s">
        <v>18</v>
      </c>
      <c r="E36" s="4">
        <v>44375</v>
      </c>
      <c r="F36" s="3" t="s">
        <v>17</v>
      </c>
      <c r="G36" s="20">
        <v>52610</v>
      </c>
      <c r="H36" t="s">
        <v>204</v>
      </c>
      <c r="I36" s="5">
        <f ca="1">(TODAY()-staff[[#This Row],[Date Joined]])/365</f>
        <v>2.6876712328767125</v>
      </c>
      <c r="J36" s="20">
        <f ca="1">ROUND(IF(staff[[#This Row],[Tenure]]&gt;2,3%,2%)*staff[[#This Row],[Salary]],0)</f>
        <v>1578</v>
      </c>
      <c r="K36" s="19">
        <f>_xlfn.XLOOKUP(staff[[#This Row],[Rating]],Sheet8!$B$3:$B$7,Sheet8!$C$3:$C$7)</f>
        <v>2</v>
      </c>
    </row>
    <row r="37" spans="1:11" x14ac:dyDescent="0.3">
      <c r="A37" s="3" t="s">
        <v>145</v>
      </c>
      <c r="B37" s="3" t="s">
        <v>8</v>
      </c>
      <c r="C37">
        <v>29</v>
      </c>
      <c r="D37" t="s">
        <v>18</v>
      </c>
      <c r="E37" s="4">
        <v>44119</v>
      </c>
      <c r="F37" s="3" t="s">
        <v>23</v>
      </c>
      <c r="G37" s="20">
        <v>112110</v>
      </c>
      <c r="H37" t="s">
        <v>204</v>
      </c>
      <c r="I37" s="5">
        <f ca="1">(TODAY()-staff[[#This Row],[Date Joined]])/365</f>
        <v>3.3890410958904109</v>
      </c>
      <c r="J37" s="20">
        <f ca="1">ROUND(IF(staff[[#This Row],[Tenure]]&gt;2,3%,2%)*staff[[#This Row],[Salary]],0)</f>
        <v>3363</v>
      </c>
      <c r="K37" s="19">
        <f>_xlfn.XLOOKUP(staff[[#This Row],[Rating]],Sheet8!$B$3:$B$7,Sheet8!$C$3:$C$7)</f>
        <v>2</v>
      </c>
    </row>
    <row r="38" spans="1:11" x14ac:dyDescent="0.3">
      <c r="A38" s="3" t="s">
        <v>146</v>
      </c>
      <c r="B38" s="3" t="s">
        <v>15</v>
      </c>
      <c r="C38">
        <v>27</v>
      </c>
      <c r="D38" t="s">
        <v>13</v>
      </c>
      <c r="E38" s="4">
        <v>44061</v>
      </c>
      <c r="F38" s="3" t="s">
        <v>26</v>
      </c>
      <c r="G38" s="20">
        <v>119110</v>
      </c>
      <c r="H38" t="s">
        <v>204</v>
      </c>
      <c r="I38" s="5">
        <f ca="1">(TODAY()-staff[[#This Row],[Date Joined]])/365</f>
        <v>3.547945205479452</v>
      </c>
      <c r="J38" s="20">
        <f ca="1">ROUND(IF(staff[[#This Row],[Tenure]]&gt;2,3%,2%)*staff[[#This Row],[Salary]],0)</f>
        <v>3573</v>
      </c>
      <c r="K38" s="19">
        <f>_xlfn.XLOOKUP(staff[[#This Row],[Rating]],Sheet8!$B$3:$B$7,Sheet8!$C$3:$C$7)</f>
        <v>3</v>
      </c>
    </row>
    <row r="39" spans="1:11" x14ac:dyDescent="0.3">
      <c r="A39" s="3" t="s">
        <v>147</v>
      </c>
      <c r="B39" s="3" t="s">
        <v>8</v>
      </c>
      <c r="C39">
        <v>22</v>
      </c>
      <c r="D39" t="s">
        <v>10</v>
      </c>
      <c r="E39" s="4">
        <v>44384</v>
      </c>
      <c r="F39" s="3" t="s">
        <v>9</v>
      </c>
      <c r="G39" s="20">
        <v>112780</v>
      </c>
      <c r="H39" t="s">
        <v>204</v>
      </c>
      <c r="I39" s="5">
        <f ca="1">(TODAY()-staff[[#This Row],[Date Joined]])/365</f>
        <v>2.6630136986301371</v>
      </c>
      <c r="J39" s="20">
        <f ca="1">ROUND(IF(staff[[#This Row],[Tenure]]&gt;2,3%,2%)*staff[[#This Row],[Salary]],0)</f>
        <v>3383</v>
      </c>
      <c r="K39" s="19">
        <f>_xlfn.XLOOKUP(staff[[#This Row],[Rating]],Sheet8!$B$3:$B$7,Sheet8!$C$3:$C$7)</f>
        <v>4</v>
      </c>
    </row>
    <row r="40" spans="1:11" x14ac:dyDescent="0.3">
      <c r="A40" s="3" t="s">
        <v>148</v>
      </c>
      <c r="B40" s="3" t="s">
        <v>15</v>
      </c>
      <c r="C40">
        <v>36</v>
      </c>
      <c r="D40" t="s">
        <v>13</v>
      </c>
      <c r="E40" s="4">
        <v>44023</v>
      </c>
      <c r="F40" s="3" t="s">
        <v>12</v>
      </c>
      <c r="G40" s="20">
        <v>114890</v>
      </c>
      <c r="H40" t="s">
        <v>204</v>
      </c>
      <c r="I40" s="5">
        <f ca="1">(TODAY()-staff[[#This Row],[Date Joined]])/365</f>
        <v>3.6520547945205482</v>
      </c>
      <c r="J40" s="20">
        <f ca="1">ROUND(IF(staff[[#This Row],[Tenure]]&gt;2,3%,2%)*staff[[#This Row],[Salary]],0)</f>
        <v>3447</v>
      </c>
      <c r="K40" s="19">
        <f>_xlfn.XLOOKUP(staff[[#This Row],[Rating]],Sheet8!$B$3:$B$7,Sheet8!$C$3:$C$7)</f>
        <v>3</v>
      </c>
    </row>
    <row r="41" spans="1:11" x14ac:dyDescent="0.3">
      <c r="A41" s="3" t="s">
        <v>149</v>
      </c>
      <c r="B41" s="3" t="s">
        <v>8</v>
      </c>
      <c r="C41">
        <v>27</v>
      </c>
      <c r="D41" t="s">
        <v>13</v>
      </c>
      <c r="E41" s="4">
        <v>44506</v>
      </c>
      <c r="F41" s="3" t="s">
        <v>17</v>
      </c>
      <c r="G41" s="20">
        <v>48980</v>
      </c>
      <c r="H41" t="s">
        <v>204</v>
      </c>
      <c r="I41" s="5">
        <f ca="1">(TODAY()-staff[[#This Row],[Date Joined]])/365</f>
        <v>2.3287671232876712</v>
      </c>
      <c r="J41" s="20">
        <f ca="1">ROUND(IF(staff[[#This Row],[Tenure]]&gt;2,3%,2%)*staff[[#This Row],[Salary]],0)</f>
        <v>1469</v>
      </c>
      <c r="K41" s="19">
        <f>_xlfn.XLOOKUP(staff[[#This Row],[Rating]],Sheet8!$B$3:$B$7,Sheet8!$C$3:$C$7)</f>
        <v>3</v>
      </c>
    </row>
    <row r="42" spans="1:11" x14ac:dyDescent="0.3">
      <c r="A42" s="3" t="s">
        <v>150</v>
      </c>
      <c r="B42" s="3" t="s">
        <v>8</v>
      </c>
      <c r="C42">
        <v>21</v>
      </c>
      <c r="D42" t="s">
        <v>13</v>
      </c>
      <c r="E42" s="4">
        <v>44180</v>
      </c>
      <c r="F42" s="3" t="s">
        <v>26</v>
      </c>
      <c r="G42" s="20">
        <v>75880</v>
      </c>
      <c r="H42" t="s">
        <v>204</v>
      </c>
      <c r="I42" s="5">
        <f ca="1">(TODAY()-staff[[#This Row],[Date Joined]])/365</f>
        <v>3.2219178082191782</v>
      </c>
      <c r="J42" s="20">
        <f ca="1">ROUND(IF(staff[[#This Row],[Tenure]]&gt;2,3%,2%)*staff[[#This Row],[Salary]],0)</f>
        <v>2276</v>
      </c>
      <c r="K42" s="19">
        <f>_xlfn.XLOOKUP(staff[[#This Row],[Rating]],Sheet8!$B$3:$B$7,Sheet8!$C$3:$C$7)</f>
        <v>3</v>
      </c>
    </row>
    <row r="43" spans="1:11" x14ac:dyDescent="0.3">
      <c r="A43" s="3" t="s">
        <v>151</v>
      </c>
      <c r="B43" s="3" t="s">
        <v>15</v>
      </c>
      <c r="C43">
        <v>28</v>
      </c>
      <c r="D43" t="s">
        <v>13</v>
      </c>
      <c r="E43" s="4">
        <v>44296</v>
      </c>
      <c r="F43" s="3" t="s">
        <v>9</v>
      </c>
      <c r="G43" s="20">
        <v>53240</v>
      </c>
      <c r="H43" t="s">
        <v>204</v>
      </c>
      <c r="I43" s="5">
        <f ca="1">(TODAY()-staff[[#This Row],[Date Joined]])/365</f>
        <v>2.904109589041096</v>
      </c>
      <c r="J43" s="20">
        <f ca="1">ROUND(IF(staff[[#This Row],[Tenure]]&gt;2,3%,2%)*staff[[#This Row],[Salary]],0)</f>
        <v>1597</v>
      </c>
      <c r="K43" s="19">
        <f>_xlfn.XLOOKUP(staff[[#This Row],[Rating]],Sheet8!$B$3:$B$7,Sheet8!$C$3:$C$7)</f>
        <v>3</v>
      </c>
    </row>
    <row r="44" spans="1:11" x14ac:dyDescent="0.3">
      <c r="A44" s="3" t="s">
        <v>152</v>
      </c>
      <c r="B44" s="3" t="s">
        <v>15</v>
      </c>
      <c r="C44">
        <v>34</v>
      </c>
      <c r="D44" t="s">
        <v>13</v>
      </c>
      <c r="E44" s="4">
        <v>44397</v>
      </c>
      <c r="F44" s="3" t="s">
        <v>17</v>
      </c>
      <c r="G44" s="20">
        <v>85000</v>
      </c>
      <c r="H44" t="s">
        <v>204</v>
      </c>
      <c r="I44" s="5">
        <f ca="1">(TODAY()-staff[[#This Row],[Date Joined]])/365</f>
        <v>2.6273972602739728</v>
      </c>
      <c r="J44" s="20">
        <f ca="1">ROUND(IF(staff[[#This Row],[Tenure]]&gt;2,3%,2%)*staff[[#This Row],[Salary]],0)</f>
        <v>2550</v>
      </c>
      <c r="K44" s="19">
        <f>_xlfn.XLOOKUP(staff[[#This Row],[Rating]],Sheet8!$B$3:$B$7,Sheet8!$C$3:$C$7)</f>
        <v>3</v>
      </c>
    </row>
    <row r="45" spans="1:11" x14ac:dyDescent="0.3">
      <c r="A45" s="3" t="s">
        <v>153</v>
      </c>
      <c r="B45" s="3" t="s">
        <v>15</v>
      </c>
      <c r="C45">
        <v>21</v>
      </c>
      <c r="D45" t="s">
        <v>13</v>
      </c>
      <c r="E45" s="4">
        <v>44619</v>
      </c>
      <c r="F45" s="3" t="s">
        <v>23</v>
      </c>
      <c r="G45" s="20">
        <v>33920</v>
      </c>
      <c r="H45" t="s">
        <v>204</v>
      </c>
      <c r="I45" s="5">
        <f ca="1">(TODAY()-staff[[#This Row],[Date Joined]])/365</f>
        <v>2.0191780821917806</v>
      </c>
      <c r="J45" s="20">
        <f ca="1">ROUND(IF(staff[[#This Row],[Tenure]]&gt;2,3%,2%)*staff[[#This Row],[Salary]],0)</f>
        <v>1018</v>
      </c>
      <c r="K45" s="19">
        <f>_xlfn.XLOOKUP(staff[[#This Row],[Rating]],Sheet8!$B$3:$B$7,Sheet8!$C$3:$C$7)</f>
        <v>3</v>
      </c>
    </row>
    <row r="46" spans="1:11" x14ac:dyDescent="0.3">
      <c r="A46" s="3" t="s">
        <v>154</v>
      </c>
      <c r="B46" s="3" t="s">
        <v>15</v>
      </c>
      <c r="C46">
        <v>33</v>
      </c>
      <c r="D46" t="s">
        <v>13</v>
      </c>
      <c r="E46" s="4">
        <v>44253</v>
      </c>
      <c r="F46" s="3" t="s">
        <v>23</v>
      </c>
      <c r="G46" s="20">
        <v>75280</v>
      </c>
      <c r="H46" t="s">
        <v>204</v>
      </c>
      <c r="I46" s="5">
        <f ca="1">(TODAY()-staff[[#This Row],[Date Joined]])/365</f>
        <v>3.021917808219178</v>
      </c>
      <c r="J46" s="20">
        <f ca="1">ROUND(IF(staff[[#This Row],[Tenure]]&gt;2,3%,2%)*staff[[#This Row],[Salary]],0)</f>
        <v>2258</v>
      </c>
      <c r="K46" s="19">
        <f>_xlfn.XLOOKUP(staff[[#This Row],[Rating]],Sheet8!$B$3:$B$7,Sheet8!$C$3:$C$7)</f>
        <v>3</v>
      </c>
    </row>
    <row r="47" spans="1:11" x14ac:dyDescent="0.3">
      <c r="A47" s="3" t="s">
        <v>155</v>
      </c>
      <c r="B47" s="3" t="s">
        <v>15</v>
      </c>
      <c r="C47">
        <v>34</v>
      </c>
      <c r="D47" t="s">
        <v>13</v>
      </c>
      <c r="E47" s="4">
        <v>44594</v>
      </c>
      <c r="F47" s="3" t="s">
        <v>17</v>
      </c>
      <c r="G47" s="20">
        <v>58940</v>
      </c>
      <c r="H47" t="s">
        <v>204</v>
      </c>
      <c r="I47" s="5">
        <f ca="1">(TODAY()-staff[[#This Row],[Date Joined]])/365</f>
        <v>2.0876712328767124</v>
      </c>
      <c r="J47" s="20">
        <f ca="1">ROUND(IF(staff[[#This Row],[Tenure]]&gt;2,3%,2%)*staff[[#This Row],[Salary]],0)</f>
        <v>1768</v>
      </c>
      <c r="K47" s="19">
        <f>_xlfn.XLOOKUP(staff[[#This Row],[Rating]],Sheet8!$B$3:$B$7,Sheet8!$C$3:$C$7)</f>
        <v>3</v>
      </c>
    </row>
    <row r="48" spans="1:11" x14ac:dyDescent="0.3">
      <c r="A48" s="3" t="s">
        <v>156</v>
      </c>
      <c r="B48" s="3" t="s">
        <v>15</v>
      </c>
      <c r="C48">
        <v>28</v>
      </c>
      <c r="D48" t="s">
        <v>13</v>
      </c>
      <c r="E48" s="4">
        <v>44425</v>
      </c>
      <c r="F48" s="3" t="s">
        <v>12</v>
      </c>
      <c r="G48" s="20">
        <v>104770</v>
      </c>
      <c r="H48" t="s">
        <v>204</v>
      </c>
      <c r="I48" s="5">
        <f ca="1">(TODAY()-staff[[#This Row],[Date Joined]])/365</f>
        <v>2.5506849315068494</v>
      </c>
      <c r="J48" s="20">
        <f ca="1">ROUND(IF(staff[[#This Row],[Tenure]]&gt;2,3%,2%)*staff[[#This Row],[Salary]],0)</f>
        <v>3143</v>
      </c>
      <c r="K48" s="19">
        <f>_xlfn.XLOOKUP(staff[[#This Row],[Rating]],Sheet8!$B$3:$B$7,Sheet8!$C$3:$C$7)</f>
        <v>3</v>
      </c>
    </row>
    <row r="49" spans="1:11" x14ac:dyDescent="0.3">
      <c r="A49" s="3" t="s">
        <v>157</v>
      </c>
      <c r="B49" s="3" t="s">
        <v>8</v>
      </c>
      <c r="C49">
        <v>21</v>
      </c>
      <c r="D49" t="s">
        <v>13</v>
      </c>
      <c r="E49" s="4">
        <v>44701</v>
      </c>
      <c r="F49" s="3" t="s">
        <v>12</v>
      </c>
      <c r="G49" s="20">
        <v>57090</v>
      </c>
      <c r="H49" t="s">
        <v>204</v>
      </c>
      <c r="I49" s="5">
        <f ca="1">(TODAY()-staff[[#This Row],[Date Joined]])/365</f>
        <v>1.7945205479452055</v>
      </c>
      <c r="J49" s="20">
        <f ca="1">ROUND(IF(staff[[#This Row],[Tenure]]&gt;2,3%,2%)*staff[[#This Row],[Salary]],0)</f>
        <v>1142</v>
      </c>
      <c r="K49" s="19">
        <f>_xlfn.XLOOKUP(staff[[#This Row],[Rating]],Sheet8!$B$3:$B$7,Sheet8!$C$3:$C$7)</f>
        <v>3</v>
      </c>
    </row>
    <row r="50" spans="1:11" x14ac:dyDescent="0.3">
      <c r="A50" s="3" t="s">
        <v>158</v>
      </c>
      <c r="B50" s="3" t="s">
        <v>8</v>
      </c>
      <c r="C50">
        <v>27</v>
      </c>
      <c r="D50" t="s">
        <v>10</v>
      </c>
      <c r="E50" s="4">
        <v>44174</v>
      </c>
      <c r="F50" s="3" t="s">
        <v>17</v>
      </c>
      <c r="G50" s="20">
        <v>91650</v>
      </c>
      <c r="H50" t="s">
        <v>204</v>
      </c>
      <c r="I50" s="5">
        <f ca="1">(TODAY()-staff[[#This Row],[Date Joined]])/365</f>
        <v>3.2383561643835614</v>
      </c>
      <c r="J50" s="20">
        <f ca="1">ROUND(IF(staff[[#This Row],[Tenure]]&gt;2,3%,2%)*staff[[#This Row],[Salary]],0)</f>
        <v>2750</v>
      </c>
      <c r="K50" s="19">
        <f>_xlfn.XLOOKUP(staff[[#This Row],[Rating]],Sheet8!$B$3:$B$7,Sheet8!$C$3:$C$7)</f>
        <v>4</v>
      </c>
    </row>
    <row r="51" spans="1:11" x14ac:dyDescent="0.3">
      <c r="A51" s="3" t="s">
        <v>159</v>
      </c>
      <c r="B51" s="3" t="s">
        <v>8</v>
      </c>
      <c r="C51">
        <v>42</v>
      </c>
      <c r="D51" t="s">
        <v>18</v>
      </c>
      <c r="E51" s="4">
        <v>44670</v>
      </c>
      <c r="F51" s="3" t="s">
        <v>17</v>
      </c>
      <c r="G51" s="20">
        <v>70270</v>
      </c>
      <c r="H51" t="s">
        <v>204</v>
      </c>
      <c r="I51" s="5">
        <f ca="1">(TODAY()-staff[[#This Row],[Date Joined]])/365</f>
        <v>1.8794520547945206</v>
      </c>
      <c r="J51" s="20">
        <f ca="1">ROUND(IF(staff[[#This Row],[Tenure]]&gt;2,3%,2%)*staff[[#This Row],[Salary]],0)</f>
        <v>1405</v>
      </c>
      <c r="K51" s="19">
        <f>_xlfn.XLOOKUP(staff[[#This Row],[Rating]],Sheet8!$B$3:$B$7,Sheet8!$C$3:$C$7)</f>
        <v>2</v>
      </c>
    </row>
    <row r="52" spans="1:11" x14ac:dyDescent="0.3">
      <c r="A52" s="3" t="s">
        <v>160</v>
      </c>
      <c r="B52" s="3" t="s">
        <v>15</v>
      </c>
      <c r="C52">
        <v>28</v>
      </c>
      <c r="D52" t="s">
        <v>13</v>
      </c>
      <c r="E52" s="4">
        <v>44124</v>
      </c>
      <c r="F52" s="3" t="s">
        <v>17</v>
      </c>
      <c r="G52" s="20">
        <v>75970</v>
      </c>
      <c r="H52" t="s">
        <v>204</v>
      </c>
      <c r="I52" s="5">
        <f ca="1">(TODAY()-staff[[#This Row],[Date Joined]])/365</f>
        <v>3.3753424657534246</v>
      </c>
      <c r="J52" s="20">
        <f ca="1">ROUND(IF(staff[[#This Row],[Tenure]]&gt;2,3%,2%)*staff[[#This Row],[Salary]],0)</f>
        <v>2279</v>
      </c>
      <c r="K52" s="19">
        <f>_xlfn.XLOOKUP(staff[[#This Row],[Rating]],Sheet8!$B$3:$B$7,Sheet8!$C$3:$C$7)</f>
        <v>3</v>
      </c>
    </row>
    <row r="53" spans="1:11" x14ac:dyDescent="0.3">
      <c r="A53" s="3" t="s">
        <v>161</v>
      </c>
      <c r="B53" s="3" t="s">
        <v>205</v>
      </c>
      <c r="C53">
        <v>27</v>
      </c>
      <c r="D53" t="s">
        <v>10</v>
      </c>
      <c r="E53" s="4">
        <v>44212</v>
      </c>
      <c r="F53" s="3" t="s">
        <v>23</v>
      </c>
      <c r="G53" s="20">
        <v>90700</v>
      </c>
      <c r="H53" t="s">
        <v>204</v>
      </c>
      <c r="I53" s="5">
        <f ca="1">(TODAY()-staff[[#This Row],[Date Joined]])/365</f>
        <v>3.1342465753424658</v>
      </c>
      <c r="J53" s="20">
        <f ca="1">ROUND(IF(staff[[#This Row],[Tenure]]&gt;2,3%,2%)*staff[[#This Row],[Salary]],0)</f>
        <v>2721</v>
      </c>
      <c r="K53" s="19">
        <f>_xlfn.XLOOKUP(staff[[#This Row],[Rating]],Sheet8!$B$3:$B$7,Sheet8!$C$3:$C$7)</f>
        <v>4</v>
      </c>
    </row>
    <row r="54" spans="1:11" x14ac:dyDescent="0.3">
      <c r="A54" s="3" t="s">
        <v>162</v>
      </c>
      <c r="B54" s="3" t="s">
        <v>8</v>
      </c>
      <c r="C54">
        <v>30</v>
      </c>
      <c r="D54" t="s">
        <v>13</v>
      </c>
      <c r="E54" s="4">
        <v>44607</v>
      </c>
      <c r="F54" s="3" t="s">
        <v>12</v>
      </c>
      <c r="G54" s="20">
        <v>60570</v>
      </c>
      <c r="H54" t="s">
        <v>204</v>
      </c>
      <c r="I54" s="5">
        <f ca="1">(TODAY()-staff[[#This Row],[Date Joined]])/365</f>
        <v>2.0520547945205481</v>
      </c>
      <c r="J54" s="20">
        <f ca="1">ROUND(IF(staff[[#This Row],[Tenure]]&gt;2,3%,2%)*staff[[#This Row],[Salary]],0)</f>
        <v>1817</v>
      </c>
      <c r="K54" s="19">
        <f>_xlfn.XLOOKUP(staff[[#This Row],[Rating]],Sheet8!$B$3:$B$7,Sheet8!$C$3:$C$7)</f>
        <v>3</v>
      </c>
    </row>
    <row r="55" spans="1:11" x14ac:dyDescent="0.3">
      <c r="A55" s="3" t="s">
        <v>163</v>
      </c>
      <c r="B55" s="3" t="s">
        <v>8</v>
      </c>
      <c r="C55">
        <v>33</v>
      </c>
      <c r="D55" t="s">
        <v>13</v>
      </c>
      <c r="E55" s="4">
        <v>44103</v>
      </c>
      <c r="F55" s="3" t="s">
        <v>12</v>
      </c>
      <c r="G55" s="20">
        <v>115920</v>
      </c>
      <c r="H55" t="s">
        <v>204</v>
      </c>
      <c r="I55" s="5">
        <f ca="1">(TODAY()-staff[[#This Row],[Date Joined]])/365</f>
        <v>3.4328767123287673</v>
      </c>
      <c r="J55" s="20">
        <f ca="1">ROUND(IF(staff[[#This Row],[Tenure]]&gt;2,3%,2%)*staff[[#This Row],[Salary]],0)</f>
        <v>3478</v>
      </c>
      <c r="K55" s="19">
        <f>_xlfn.XLOOKUP(staff[[#This Row],[Rating]],Sheet8!$B$3:$B$7,Sheet8!$C$3:$C$7)</f>
        <v>3</v>
      </c>
    </row>
    <row r="56" spans="1:11" x14ac:dyDescent="0.3">
      <c r="A56" s="3" t="s">
        <v>164</v>
      </c>
      <c r="B56" s="3" t="s">
        <v>15</v>
      </c>
      <c r="C56">
        <v>33</v>
      </c>
      <c r="D56" t="s">
        <v>13</v>
      </c>
      <c r="E56" s="4">
        <v>44006</v>
      </c>
      <c r="F56" s="3" t="s">
        <v>17</v>
      </c>
      <c r="G56" s="20">
        <v>65360</v>
      </c>
      <c r="H56" t="s">
        <v>204</v>
      </c>
      <c r="I56" s="5">
        <f ca="1">(TODAY()-staff[[#This Row],[Date Joined]])/365</f>
        <v>3.6986301369863015</v>
      </c>
      <c r="J56" s="20">
        <f ca="1">ROUND(IF(staff[[#This Row],[Tenure]]&gt;2,3%,2%)*staff[[#This Row],[Salary]],0)</f>
        <v>1961</v>
      </c>
      <c r="K56" s="19">
        <f>_xlfn.XLOOKUP(staff[[#This Row],[Rating]],Sheet8!$B$3:$B$7,Sheet8!$C$3:$C$7)</f>
        <v>3</v>
      </c>
    </row>
    <row r="57" spans="1:11" x14ac:dyDescent="0.3">
      <c r="A57" s="3" t="s">
        <v>165</v>
      </c>
      <c r="B57" s="3" t="s">
        <v>205</v>
      </c>
      <c r="C57">
        <v>30</v>
      </c>
      <c r="D57" t="s">
        <v>13</v>
      </c>
      <c r="E57" s="4">
        <v>44535</v>
      </c>
      <c r="F57" s="3" t="s">
        <v>17</v>
      </c>
      <c r="G57" s="20">
        <v>64000</v>
      </c>
      <c r="H57" t="s">
        <v>204</v>
      </c>
      <c r="I57" s="5">
        <f ca="1">(TODAY()-staff[[#This Row],[Date Joined]])/365</f>
        <v>2.2493150684931509</v>
      </c>
      <c r="J57" s="20">
        <f ca="1">ROUND(IF(staff[[#This Row],[Tenure]]&gt;2,3%,2%)*staff[[#This Row],[Salary]],0)</f>
        <v>1920</v>
      </c>
      <c r="K57" s="19">
        <f>_xlfn.XLOOKUP(staff[[#This Row],[Rating]],Sheet8!$B$3:$B$7,Sheet8!$C$3:$C$7)</f>
        <v>3</v>
      </c>
    </row>
    <row r="58" spans="1:11" x14ac:dyDescent="0.3">
      <c r="A58" s="3" t="s">
        <v>166</v>
      </c>
      <c r="B58" s="3" t="s">
        <v>15</v>
      </c>
      <c r="C58">
        <v>34</v>
      </c>
      <c r="D58" t="s">
        <v>13</v>
      </c>
      <c r="E58" s="4">
        <v>44383</v>
      </c>
      <c r="F58" s="3" t="s">
        <v>17</v>
      </c>
      <c r="G58" s="20">
        <v>92450</v>
      </c>
      <c r="H58" t="s">
        <v>204</v>
      </c>
      <c r="I58" s="5">
        <f ca="1">(TODAY()-staff[[#This Row],[Date Joined]])/365</f>
        <v>2.6657534246575341</v>
      </c>
      <c r="J58" s="20">
        <f ca="1">ROUND(IF(staff[[#This Row],[Tenure]]&gt;2,3%,2%)*staff[[#This Row],[Salary]],0)</f>
        <v>2774</v>
      </c>
      <c r="K58" s="19">
        <f>_xlfn.XLOOKUP(staff[[#This Row],[Rating]],Sheet8!$B$3:$B$7,Sheet8!$C$3:$C$7)</f>
        <v>3</v>
      </c>
    </row>
    <row r="59" spans="1:11" x14ac:dyDescent="0.3">
      <c r="A59" s="3" t="s">
        <v>167</v>
      </c>
      <c r="B59" s="3" t="s">
        <v>8</v>
      </c>
      <c r="C59">
        <v>31</v>
      </c>
      <c r="D59" t="s">
        <v>13</v>
      </c>
      <c r="E59" s="4">
        <v>44450</v>
      </c>
      <c r="F59" s="3" t="s">
        <v>23</v>
      </c>
      <c r="G59" s="20">
        <v>48950</v>
      </c>
      <c r="H59" t="s">
        <v>204</v>
      </c>
      <c r="I59" s="5">
        <f ca="1">(TODAY()-staff[[#This Row],[Date Joined]])/365</f>
        <v>2.4821917808219176</v>
      </c>
      <c r="J59" s="20">
        <f ca="1">ROUND(IF(staff[[#This Row],[Tenure]]&gt;2,3%,2%)*staff[[#This Row],[Salary]],0)</f>
        <v>1469</v>
      </c>
      <c r="K59" s="19">
        <f>_xlfn.XLOOKUP(staff[[#This Row],[Rating]],Sheet8!$B$3:$B$7,Sheet8!$C$3:$C$7)</f>
        <v>3</v>
      </c>
    </row>
    <row r="60" spans="1:11" x14ac:dyDescent="0.3">
      <c r="A60" s="3" t="s">
        <v>168</v>
      </c>
      <c r="B60" s="3" t="s">
        <v>15</v>
      </c>
      <c r="C60">
        <v>27</v>
      </c>
      <c r="D60" t="s">
        <v>13</v>
      </c>
      <c r="E60" s="4">
        <v>44625</v>
      </c>
      <c r="F60" s="3" t="s">
        <v>23</v>
      </c>
      <c r="G60" s="20">
        <v>83750</v>
      </c>
      <c r="H60" t="s">
        <v>204</v>
      </c>
      <c r="I60" s="5">
        <f ca="1">(TODAY()-staff[[#This Row],[Date Joined]])/365</f>
        <v>2.0027397260273974</v>
      </c>
      <c r="J60" s="20">
        <f ca="1">ROUND(IF(staff[[#This Row],[Tenure]]&gt;2,3%,2%)*staff[[#This Row],[Salary]],0)</f>
        <v>2513</v>
      </c>
      <c r="K60" s="19">
        <f>_xlfn.XLOOKUP(staff[[#This Row],[Rating]],Sheet8!$B$3:$B$7,Sheet8!$C$3:$C$7)</f>
        <v>3</v>
      </c>
    </row>
    <row r="61" spans="1:11" x14ac:dyDescent="0.3">
      <c r="A61" s="3" t="s">
        <v>169</v>
      </c>
      <c r="B61" s="3" t="s">
        <v>15</v>
      </c>
      <c r="C61">
        <v>40</v>
      </c>
      <c r="D61" t="s">
        <v>13</v>
      </c>
      <c r="E61" s="4">
        <v>44276</v>
      </c>
      <c r="F61" s="3" t="s">
        <v>23</v>
      </c>
      <c r="G61" s="20">
        <v>87620</v>
      </c>
      <c r="H61" t="s">
        <v>204</v>
      </c>
      <c r="I61" s="5">
        <f ca="1">(TODAY()-staff[[#This Row],[Date Joined]])/365</f>
        <v>2.9589041095890409</v>
      </c>
      <c r="J61" s="20">
        <f ca="1">ROUND(IF(staff[[#This Row],[Tenure]]&gt;2,3%,2%)*staff[[#This Row],[Salary]],0)</f>
        <v>2629</v>
      </c>
      <c r="K61" s="19">
        <f>_xlfn.XLOOKUP(staff[[#This Row],[Rating]],Sheet8!$B$3:$B$7,Sheet8!$C$3:$C$7)</f>
        <v>3</v>
      </c>
    </row>
    <row r="62" spans="1:11" x14ac:dyDescent="0.3">
      <c r="A62" s="3" t="s">
        <v>170</v>
      </c>
      <c r="B62" s="3" t="s">
        <v>15</v>
      </c>
      <c r="C62">
        <v>20</v>
      </c>
      <c r="D62" t="s">
        <v>18</v>
      </c>
      <c r="E62" s="4">
        <v>44476</v>
      </c>
      <c r="F62" s="3" t="s">
        <v>9</v>
      </c>
      <c r="G62" s="20">
        <v>68900</v>
      </c>
      <c r="H62" t="s">
        <v>204</v>
      </c>
      <c r="I62" s="5">
        <f ca="1">(TODAY()-staff[[#This Row],[Date Joined]])/365</f>
        <v>2.4109589041095889</v>
      </c>
      <c r="J62" s="20">
        <f ca="1">ROUND(IF(staff[[#This Row],[Tenure]]&gt;2,3%,2%)*staff[[#This Row],[Salary]],0)</f>
        <v>2067</v>
      </c>
      <c r="K62" s="19">
        <f>_xlfn.XLOOKUP(staff[[#This Row],[Rating]],Sheet8!$B$3:$B$7,Sheet8!$C$3:$C$7)</f>
        <v>2</v>
      </c>
    </row>
    <row r="63" spans="1:11" x14ac:dyDescent="0.3">
      <c r="A63" s="3" t="s">
        <v>171</v>
      </c>
      <c r="B63" s="3" t="s">
        <v>8</v>
      </c>
      <c r="C63">
        <v>32</v>
      </c>
      <c r="D63" t="s">
        <v>13</v>
      </c>
      <c r="E63" s="4">
        <v>44403</v>
      </c>
      <c r="F63" s="3" t="s">
        <v>9</v>
      </c>
      <c r="G63" s="20">
        <v>53540</v>
      </c>
      <c r="H63" t="s">
        <v>204</v>
      </c>
      <c r="I63" s="5">
        <f ca="1">(TODAY()-staff[[#This Row],[Date Joined]])/365</f>
        <v>2.6109589041095891</v>
      </c>
      <c r="J63" s="20">
        <f ca="1">ROUND(IF(staff[[#This Row],[Tenure]]&gt;2,3%,2%)*staff[[#This Row],[Salary]],0)</f>
        <v>1606</v>
      </c>
      <c r="K63" s="19">
        <f>_xlfn.XLOOKUP(staff[[#This Row],[Rating]],Sheet8!$B$3:$B$7,Sheet8!$C$3:$C$7)</f>
        <v>3</v>
      </c>
    </row>
    <row r="64" spans="1:11" x14ac:dyDescent="0.3">
      <c r="A64" s="3" t="s">
        <v>172</v>
      </c>
      <c r="B64" s="3" t="s">
        <v>8</v>
      </c>
      <c r="C64">
        <v>28</v>
      </c>
      <c r="D64" t="s">
        <v>49</v>
      </c>
      <c r="E64" s="4">
        <v>44758</v>
      </c>
      <c r="F64" s="3" t="s">
        <v>9</v>
      </c>
      <c r="G64" s="20">
        <v>43510</v>
      </c>
      <c r="H64" t="s">
        <v>204</v>
      </c>
      <c r="I64" s="5">
        <f ca="1">(TODAY()-staff[[#This Row],[Date Joined]])/365</f>
        <v>1.6383561643835616</v>
      </c>
      <c r="J64" s="20">
        <f ca="1">ROUND(IF(staff[[#This Row],[Tenure]]&gt;2,3%,2%)*staff[[#This Row],[Salary]],0)</f>
        <v>870</v>
      </c>
      <c r="K64" s="19">
        <f>_xlfn.XLOOKUP(staff[[#This Row],[Rating]],Sheet8!$B$3:$B$7,Sheet8!$C$3:$C$7)</f>
        <v>1</v>
      </c>
    </row>
    <row r="65" spans="1:11" x14ac:dyDescent="0.3">
      <c r="A65" s="3" t="s">
        <v>173</v>
      </c>
      <c r="B65" s="3" t="s">
        <v>15</v>
      </c>
      <c r="C65">
        <v>38</v>
      </c>
      <c r="D65" t="s">
        <v>43</v>
      </c>
      <c r="E65" s="4">
        <v>44316</v>
      </c>
      <c r="F65" s="3" t="s">
        <v>9</v>
      </c>
      <c r="G65" s="20">
        <v>109160</v>
      </c>
      <c r="H65" t="s">
        <v>204</v>
      </c>
      <c r="I65" s="5">
        <f ca="1">(TODAY()-staff[[#This Row],[Date Joined]])/365</f>
        <v>2.8493150684931505</v>
      </c>
      <c r="J65" s="20">
        <f ca="1">ROUND(IF(staff[[#This Row],[Tenure]]&gt;2,3%,2%)*staff[[#This Row],[Salary]],0)</f>
        <v>3275</v>
      </c>
      <c r="K65" s="19">
        <f>_xlfn.XLOOKUP(staff[[#This Row],[Rating]],Sheet8!$B$3:$B$7,Sheet8!$C$3:$C$7)</f>
        <v>5</v>
      </c>
    </row>
    <row r="66" spans="1:11" x14ac:dyDescent="0.3">
      <c r="A66" s="3" t="s">
        <v>174</v>
      </c>
      <c r="B66" s="3" t="s">
        <v>8</v>
      </c>
      <c r="C66">
        <v>40</v>
      </c>
      <c r="D66" t="s">
        <v>13</v>
      </c>
      <c r="E66" s="4">
        <v>44204</v>
      </c>
      <c r="F66" s="3" t="s">
        <v>12</v>
      </c>
      <c r="G66" s="20">
        <v>99750</v>
      </c>
      <c r="H66" t="s">
        <v>204</v>
      </c>
      <c r="I66" s="5">
        <f ca="1">(TODAY()-staff[[#This Row],[Date Joined]])/365</f>
        <v>3.1561643835616437</v>
      </c>
      <c r="J66" s="20">
        <f ca="1">ROUND(IF(staff[[#This Row],[Tenure]]&gt;2,3%,2%)*staff[[#This Row],[Salary]],0)</f>
        <v>2993</v>
      </c>
      <c r="K66" s="19">
        <f>_xlfn.XLOOKUP(staff[[#This Row],[Rating]],Sheet8!$B$3:$B$7,Sheet8!$C$3:$C$7)</f>
        <v>3</v>
      </c>
    </row>
    <row r="67" spans="1:11" x14ac:dyDescent="0.3">
      <c r="A67" s="3" t="s">
        <v>175</v>
      </c>
      <c r="B67" s="3" t="s">
        <v>15</v>
      </c>
      <c r="C67">
        <v>31</v>
      </c>
      <c r="D67" t="s">
        <v>13</v>
      </c>
      <c r="E67" s="4">
        <v>44084</v>
      </c>
      <c r="F67" s="3" t="s">
        <v>23</v>
      </c>
      <c r="G67" s="20">
        <v>41980</v>
      </c>
      <c r="H67" t="s">
        <v>204</v>
      </c>
      <c r="I67" s="5">
        <f ca="1">(TODAY()-staff[[#This Row],[Date Joined]])/365</f>
        <v>3.484931506849315</v>
      </c>
      <c r="J67" s="20">
        <f ca="1">ROUND(IF(staff[[#This Row],[Tenure]]&gt;2,3%,2%)*staff[[#This Row],[Salary]],0)</f>
        <v>1259</v>
      </c>
      <c r="K67" s="19">
        <f>_xlfn.XLOOKUP(staff[[#This Row],[Rating]],Sheet8!$B$3:$B$7,Sheet8!$C$3:$C$7)</f>
        <v>3</v>
      </c>
    </row>
    <row r="68" spans="1:11" x14ac:dyDescent="0.3">
      <c r="A68" s="3" t="s">
        <v>176</v>
      </c>
      <c r="B68" s="3" t="s">
        <v>8</v>
      </c>
      <c r="C68">
        <v>36</v>
      </c>
      <c r="D68" t="s">
        <v>13</v>
      </c>
      <c r="E68" s="4">
        <v>44272</v>
      </c>
      <c r="F68" s="3" t="s">
        <v>17</v>
      </c>
      <c r="G68" s="20">
        <v>71380</v>
      </c>
      <c r="H68" t="s">
        <v>204</v>
      </c>
      <c r="I68" s="5">
        <f ca="1">(TODAY()-staff[[#This Row],[Date Joined]])/365</f>
        <v>2.9698630136986299</v>
      </c>
      <c r="J68" s="20">
        <f ca="1">ROUND(IF(staff[[#This Row],[Tenure]]&gt;2,3%,2%)*staff[[#This Row],[Salary]],0)</f>
        <v>2141</v>
      </c>
      <c r="K68" s="19">
        <f>_xlfn.XLOOKUP(staff[[#This Row],[Rating]],Sheet8!$B$3:$B$7,Sheet8!$C$3:$C$7)</f>
        <v>3</v>
      </c>
    </row>
    <row r="69" spans="1:11" x14ac:dyDescent="0.3">
      <c r="A69" s="3" t="s">
        <v>177</v>
      </c>
      <c r="B69" s="3" t="s">
        <v>8</v>
      </c>
      <c r="C69">
        <v>27</v>
      </c>
      <c r="D69" t="s">
        <v>49</v>
      </c>
      <c r="E69" s="4">
        <v>44547</v>
      </c>
      <c r="F69" s="3" t="s">
        <v>12</v>
      </c>
      <c r="G69" s="20">
        <v>113280</v>
      </c>
      <c r="H69" t="s">
        <v>204</v>
      </c>
      <c r="I69" s="5">
        <f ca="1">(TODAY()-staff[[#This Row],[Date Joined]])/365</f>
        <v>2.2164383561643834</v>
      </c>
      <c r="J69" s="20">
        <f ca="1">ROUND(IF(staff[[#This Row],[Tenure]]&gt;2,3%,2%)*staff[[#This Row],[Salary]],0)</f>
        <v>3398</v>
      </c>
      <c r="K69" s="19">
        <f>_xlfn.XLOOKUP(staff[[#This Row],[Rating]],Sheet8!$B$3:$B$7,Sheet8!$C$3:$C$7)</f>
        <v>1</v>
      </c>
    </row>
    <row r="70" spans="1:11" x14ac:dyDescent="0.3">
      <c r="A70" s="3" t="s">
        <v>178</v>
      </c>
      <c r="B70" s="3" t="s">
        <v>15</v>
      </c>
      <c r="C70">
        <v>33</v>
      </c>
      <c r="D70" t="s">
        <v>13</v>
      </c>
      <c r="E70" s="4">
        <v>44747</v>
      </c>
      <c r="F70" s="3" t="s">
        <v>17</v>
      </c>
      <c r="G70" s="20">
        <v>86570</v>
      </c>
      <c r="H70" t="s">
        <v>204</v>
      </c>
      <c r="I70" s="5">
        <f ca="1">(TODAY()-staff[[#This Row],[Date Joined]])/365</f>
        <v>1.6684931506849314</v>
      </c>
      <c r="J70" s="20">
        <f ca="1">ROUND(IF(staff[[#This Row],[Tenure]]&gt;2,3%,2%)*staff[[#This Row],[Salary]],0)</f>
        <v>1731</v>
      </c>
      <c r="K70" s="19">
        <f>_xlfn.XLOOKUP(staff[[#This Row],[Rating]],Sheet8!$B$3:$B$7,Sheet8!$C$3:$C$7)</f>
        <v>3</v>
      </c>
    </row>
    <row r="71" spans="1:11" x14ac:dyDescent="0.3">
      <c r="A71" s="3" t="s">
        <v>179</v>
      </c>
      <c r="B71" s="3" t="s">
        <v>8</v>
      </c>
      <c r="C71">
        <v>26</v>
      </c>
      <c r="D71" t="s">
        <v>13</v>
      </c>
      <c r="E71" s="4">
        <v>44350</v>
      </c>
      <c r="F71" s="3" t="s">
        <v>12</v>
      </c>
      <c r="G71" s="20">
        <v>53540</v>
      </c>
      <c r="H71" t="s">
        <v>204</v>
      </c>
      <c r="I71" s="5">
        <f ca="1">(TODAY()-staff[[#This Row],[Date Joined]])/365</f>
        <v>2.7561643835616438</v>
      </c>
      <c r="J71" s="20">
        <f ca="1">ROUND(IF(staff[[#This Row],[Tenure]]&gt;2,3%,2%)*staff[[#This Row],[Salary]],0)</f>
        <v>1606</v>
      </c>
      <c r="K71" s="19">
        <f>_xlfn.XLOOKUP(staff[[#This Row],[Rating]],Sheet8!$B$3:$B$7,Sheet8!$C$3:$C$7)</f>
        <v>3</v>
      </c>
    </row>
    <row r="72" spans="1:11" x14ac:dyDescent="0.3">
      <c r="A72" s="3" t="s">
        <v>180</v>
      </c>
      <c r="B72" s="3" t="s">
        <v>8</v>
      </c>
      <c r="C72">
        <v>37</v>
      </c>
      <c r="D72" t="s">
        <v>13</v>
      </c>
      <c r="E72" s="4">
        <v>44640</v>
      </c>
      <c r="F72" s="3" t="s">
        <v>23</v>
      </c>
      <c r="G72" s="20">
        <v>69070</v>
      </c>
      <c r="H72" t="s">
        <v>204</v>
      </c>
      <c r="I72" s="5">
        <f ca="1">(TODAY()-staff[[#This Row],[Date Joined]])/365</f>
        <v>1.9616438356164383</v>
      </c>
      <c r="J72" s="20">
        <f ca="1">ROUND(IF(staff[[#This Row],[Tenure]]&gt;2,3%,2%)*staff[[#This Row],[Salary]],0)</f>
        <v>1381</v>
      </c>
      <c r="K72" s="19">
        <f>_xlfn.XLOOKUP(staff[[#This Row],[Rating]],Sheet8!$B$3:$B$7,Sheet8!$C$3:$C$7)</f>
        <v>3</v>
      </c>
    </row>
    <row r="73" spans="1:11" x14ac:dyDescent="0.3">
      <c r="A73" s="3" t="s">
        <v>181</v>
      </c>
      <c r="B73" s="3" t="s">
        <v>15</v>
      </c>
      <c r="C73">
        <v>30</v>
      </c>
      <c r="D73" t="s">
        <v>18</v>
      </c>
      <c r="E73" s="4">
        <v>44328</v>
      </c>
      <c r="F73" s="3" t="s">
        <v>17</v>
      </c>
      <c r="G73" s="20">
        <v>67910</v>
      </c>
      <c r="H73" t="s">
        <v>204</v>
      </c>
      <c r="I73" s="5">
        <f ca="1">(TODAY()-staff[[#This Row],[Date Joined]])/365</f>
        <v>2.8164383561643835</v>
      </c>
      <c r="J73" s="20">
        <f ca="1">ROUND(IF(staff[[#This Row],[Tenure]]&gt;2,3%,2%)*staff[[#This Row],[Salary]],0)</f>
        <v>2037</v>
      </c>
      <c r="K73" s="19">
        <f>_xlfn.XLOOKUP(staff[[#This Row],[Rating]],Sheet8!$B$3:$B$7,Sheet8!$C$3:$C$7)</f>
        <v>2</v>
      </c>
    </row>
    <row r="74" spans="1:11" x14ac:dyDescent="0.3">
      <c r="A74" s="3" t="s">
        <v>182</v>
      </c>
      <c r="B74" s="3" t="s">
        <v>8</v>
      </c>
      <c r="C74">
        <v>30</v>
      </c>
      <c r="D74" t="s">
        <v>13</v>
      </c>
      <c r="E74" s="4">
        <v>44214</v>
      </c>
      <c r="F74" s="3" t="s">
        <v>23</v>
      </c>
      <c r="G74" s="20">
        <v>69120</v>
      </c>
      <c r="H74" t="s">
        <v>204</v>
      </c>
      <c r="I74" s="5">
        <f ca="1">(TODAY()-staff[[#This Row],[Date Joined]])/365</f>
        <v>3.128767123287671</v>
      </c>
      <c r="J74" s="20">
        <f ca="1">ROUND(IF(staff[[#This Row],[Tenure]]&gt;2,3%,2%)*staff[[#This Row],[Salary]],0)</f>
        <v>2074</v>
      </c>
      <c r="K74" s="19">
        <f>_xlfn.XLOOKUP(staff[[#This Row],[Rating]],Sheet8!$B$3:$B$7,Sheet8!$C$3:$C$7)</f>
        <v>3</v>
      </c>
    </row>
    <row r="75" spans="1:11" x14ac:dyDescent="0.3">
      <c r="A75" s="3" t="s">
        <v>183</v>
      </c>
      <c r="B75" s="3" t="s">
        <v>15</v>
      </c>
      <c r="C75">
        <v>34</v>
      </c>
      <c r="D75" t="s">
        <v>13</v>
      </c>
      <c r="E75" s="4">
        <v>44550</v>
      </c>
      <c r="F75" s="3" t="s">
        <v>17</v>
      </c>
      <c r="G75" s="20">
        <v>60130</v>
      </c>
      <c r="H75" t="s">
        <v>204</v>
      </c>
      <c r="I75" s="5">
        <f ca="1">(TODAY()-staff[[#This Row],[Date Joined]])/365</f>
        <v>2.2082191780821918</v>
      </c>
      <c r="J75" s="20">
        <f ca="1">ROUND(IF(staff[[#This Row],[Tenure]]&gt;2,3%,2%)*staff[[#This Row],[Salary]],0)</f>
        <v>1804</v>
      </c>
      <c r="K75" s="19">
        <f>_xlfn.XLOOKUP(staff[[#This Row],[Rating]],Sheet8!$B$3:$B$7,Sheet8!$C$3:$C$7)</f>
        <v>3</v>
      </c>
    </row>
    <row r="76" spans="1:11" x14ac:dyDescent="0.3">
      <c r="A76" s="3" t="s">
        <v>184</v>
      </c>
      <c r="B76" s="3" t="s">
        <v>8</v>
      </c>
      <c r="C76">
        <v>23</v>
      </c>
      <c r="D76" t="s">
        <v>13</v>
      </c>
      <c r="E76" s="4">
        <v>44378</v>
      </c>
      <c r="F76" s="3" t="s">
        <v>12</v>
      </c>
      <c r="G76" s="20">
        <v>106460</v>
      </c>
      <c r="H76" t="s">
        <v>204</v>
      </c>
      <c r="I76" s="5">
        <f ca="1">(TODAY()-staff[[#This Row],[Date Joined]])/365</f>
        <v>2.6794520547945204</v>
      </c>
      <c r="J76" s="20">
        <f ca="1">ROUND(IF(staff[[#This Row],[Tenure]]&gt;2,3%,2%)*staff[[#This Row],[Salary]],0)</f>
        <v>3194</v>
      </c>
      <c r="K76" s="19">
        <f>_xlfn.XLOOKUP(staff[[#This Row],[Rating]],Sheet8!$B$3:$B$7,Sheet8!$C$3:$C$7)</f>
        <v>3</v>
      </c>
    </row>
    <row r="77" spans="1:11" x14ac:dyDescent="0.3">
      <c r="A77" s="3" t="s">
        <v>185</v>
      </c>
      <c r="B77" s="3" t="s">
        <v>15</v>
      </c>
      <c r="C77">
        <v>37</v>
      </c>
      <c r="D77" t="s">
        <v>13</v>
      </c>
      <c r="E77" s="4">
        <v>44389</v>
      </c>
      <c r="F77" s="3" t="s">
        <v>26</v>
      </c>
      <c r="G77" s="20">
        <v>118100</v>
      </c>
      <c r="H77" t="s">
        <v>204</v>
      </c>
      <c r="I77" s="5">
        <f ca="1">(TODAY()-staff[[#This Row],[Date Joined]])/365</f>
        <v>2.6493150684931508</v>
      </c>
      <c r="J77" s="20">
        <f ca="1">ROUND(IF(staff[[#This Row],[Tenure]]&gt;2,3%,2%)*staff[[#This Row],[Salary]],0)</f>
        <v>3543</v>
      </c>
      <c r="K77" s="19">
        <f>_xlfn.XLOOKUP(staff[[#This Row],[Rating]],Sheet8!$B$3:$B$7,Sheet8!$C$3:$C$7)</f>
        <v>3</v>
      </c>
    </row>
    <row r="78" spans="1:11" x14ac:dyDescent="0.3">
      <c r="A78" s="3" t="s">
        <v>186</v>
      </c>
      <c r="B78" s="3" t="s">
        <v>15</v>
      </c>
      <c r="C78">
        <v>36</v>
      </c>
      <c r="D78" t="s">
        <v>13</v>
      </c>
      <c r="E78" s="4">
        <v>44468</v>
      </c>
      <c r="F78" s="3" t="s">
        <v>12</v>
      </c>
      <c r="G78" s="20">
        <v>78390</v>
      </c>
      <c r="H78" t="s">
        <v>204</v>
      </c>
      <c r="I78" s="5">
        <f ca="1">(TODAY()-staff[[#This Row],[Date Joined]])/365</f>
        <v>2.4328767123287673</v>
      </c>
      <c r="J78" s="20">
        <f ca="1">ROUND(IF(staff[[#This Row],[Tenure]]&gt;2,3%,2%)*staff[[#This Row],[Salary]],0)</f>
        <v>2352</v>
      </c>
      <c r="K78" s="19">
        <f>_xlfn.XLOOKUP(staff[[#This Row],[Rating]],Sheet8!$B$3:$B$7,Sheet8!$C$3:$C$7)</f>
        <v>3</v>
      </c>
    </row>
    <row r="79" spans="1:11" x14ac:dyDescent="0.3">
      <c r="A79" s="3" t="s">
        <v>187</v>
      </c>
      <c r="B79" s="3" t="s">
        <v>15</v>
      </c>
      <c r="C79">
        <v>30</v>
      </c>
      <c r="D79" t="s">
        <v>13</v>
      </c>
      <c r="E79" s="4">
        <v>44789</v>
      </c>
      <c r="F79" s="3" t="s">
        <v>12</v>
      </c>
      <c r="G79" s="20">
        <v>114180</v>
      </c>
      <c r="H79" t="s">
        <v>204</v>
      </c>
      <c r="I79" s="5">
        <f ca="1">(TODAY()-staff[[#This Row],[Date Joined]])/365</f>
        <v>1.5534246575342465</v>
      </c>
      <c r="J79" s="20">
        <f ca="1">ROUND(IF(staff[[#This Row],[Tenure]]&gt;2,3%,2%)*staff[[#This Row],[Salary]],0)</f>
        <v>2284</v>
      </c>
      <c r="K79" s="19">
        <f>_xlfn.XLOOKUP(staff[[#This Row],[Rating]],Sheet8!$B$3:$B$7,Sheet8!$C$3:$C$7)</f>
        <v>3</v>
      </c>
    </row>
    <row r="80" spans="1:11" x14ac:dyDescent="0.3">
      <c r="A80" s="3" t="s">
        <v>188</v>
      </c>
      <c r="B80" s="3" t="s">
        <v>15</v>
      </c>
      <c r="C80">
        <v>28</v>
      </c>
      <c r="D80" t="s">
        <v>13</v>
      </c>
      <c r="E80" s="4">
        <v>44590</v>
      </c>
      <c r="F80" s="3" t="s">
        <v>12</v>
      </c>
      <c r="G80" s="20">
        <v>104120</v>
      </c>
      <c r="H80" t="s">
        <v>204</v>
      </c>
      <c r="I80" s="5">
        <f ca="1">(TODAY()-staff[[#This Row],[Date Joined]])/365</f>
        <v>2.0986301369863014</v>
      </c>
      <c r="J80" s="20">
        <f ca="1">ROUND(IF(staff[[#This Row],[Tenure]]&gt;2,3%,2%)*staff[[#This Row],[Salary]],0)</f>
        <v>3124</v>
      </c>
      <c r="K80" s="19">
        <f>_xlfn.XLOOKUP(staff[[#This Row],[Rating]],Sheet8!$B$3:$B$7,Sheet8!$C$3:$C$7)</f>
        <v>3</v>
      </c>
    </row>
    <row r="81" spans="1:11" x14ac:dyDescent="0.3">
      <c r="A81" s="3" t="s">
        <v>189</v>
      </c>
      <c r="B81" s="3" t="s">
        <v>8</v>
      </c>
      <c r="C81">
        <v>30</v>
      </c>
      <c r="D81" t="s">
        <v>13</v>
      </c>
      <c r="E81" s="4">
        <v>44640</v>
      </c>
      <c r="F81" s="3" t="s">
        <v>12</v>
      </c>
      <c r="G81" s="20">
        <v>67950</v>
      </c>
      <c r="H81" t="s">
        <v>204</v>
      </c>
      <c r="I81" s="5">
        <f ca="1">(TODAY()-staff[[#This Row],[Date Joined]])/365</f>
        <v>1.9616438356164383</v>
      </c>
      <c r="J81" s="20">
        <f ca="1">ROUND(IF(staff[[#This Row],[Tenure]]&gt;2,3%,2%)*staff[[#This Row],[Salary]],0)</f>
        <v>1359</v>
      </c>
      <c r="K81" s="19">
        <f>_xlfn.XLOOKUP(staff[[#This Row],[Rating]],Sheet8!$B$3:$B$7,Sheet8!$C$3:$C$7)</f>
        <v>3</v>
      </c>
    </row>
    <row r="82" spans="1:11" x14ac:dyDescent="0.3">
      <c r="A82" s="3" t="s">
        <v>190</v>
      </c>
      <c r="B82" s="3" t="s">
        <v>15</v>
      </c>
      <c r="C82">
        <v>29</v>
      </c>
      <c r="D82" t="s">
        <v>13</v>
      </c>
      <c r="E82" s="4">
        <v>43962</v>
      </c>
      <c r="F82" s="3" t="s">
        <v>23</v>
      </c>
      <c r="G82" s="20">
        <v>34980</v>
      </c>
      <c r="H82" t="s">
        <v>204</v>
      </c>
      <c r="I82" s="5">
        <f ca="1">(TODAY()-staff[[#This Row],[Date Joined]])/365</f>
        <v>3.8191780821917809</v>
      </c>
      <c r="J82" s="20">
        <f ca="1">ROUND(IF(staff[[#This Row],[Tenure]]&gt;2,3%,2%)*staff[[#This Row],[Salary]],0)</f>
        <v>1049</v>
      </c>
      <c r="K82" s="19">
        <f>_xlfn.XLOOKUP(staff[[#This Row],[Rating]],Sheet8!$B$3:$B$7,Sheet8!$C$3:$C$7)</f>
        <v>3</v>
      </c>
    </row>
    <row r="83" spans="1:11" x14ac:dyDescent="0.3">
      <c r="A83" s="3" t="s">
        <v>191</v>
      </c>
      <c r="B83" s="3" t="s">
        <v>15</v>
      </c>
      <c r="C83">
        <v>24</v>
      </c>
      <c r="D83" t="s">
        <v>13</v>
      </c>
      <c r="E83" s="4">
        <v>44087</v>
      </c>
      <c r="F83" s="3" t="s">
        <v>23</v>
      </c>
      <c r="G83" s="20">
        <v>62780</v>
      </c>
      <c r="H83" t="s">
        <v>204</v>
      </c>
      <c r="I83" s="5">
        <f ca="1">(TODAY()-staff[[#This Row],[Date Joined]])/365</f>
        <v>3.4767123287671233</v>
      </c>
      <c r="J83" s="20">
        <f ca="1">ROUND(IF(staff[[#This Row],[Tenure]]&gt;2,3%,2%)*staff[[#This Row],[Salary]],0)</f>
        <v>1883</v>
      </c>
      <c r="K83" s="19">
        <f>_xlfn.XLOOKUP(staff[[#This Row],[Rating]],Sheet8!$B$3:$B$7,Sheet8!$C$3:$C$7)</f>
        <v>3</v>
      </c>
    </row>
    <row r="84" spans="1:11" x14ac:dyDescent="0.3">
      <c r="A84" s="3" t="s">
        <v>192</v>
      </c>
      <c r="B84" s="3" t="s">
        <v>8</v>
      </c>
      <c r="C84">
        <v>20</v>
      </c>
      <c r="D84" t="s">
        <v>13</v>
      </c>
      <c r="E84" s="4">
        <v>44397</v>
      </c>
      <c r="F84" s="3" t="s">
        <v>23</v>
      </c>
      <c r="G84" s="20">
        <v>107700</v>
      </c>
      <c r="H84" t="s">
        <v>204</v>
      </c>
      <c r="I84" s="5">
        <f ca="1">(TODAY()-staff[[#This Row],[Date Joined]])/365</f>
        <v>2.6273972602739728</v>
      </c>
      <c r="J84" s="20">
        <f ca="1">ROUND(IF(staff[[#This Row],[Tenure]]&gt;2,3%,2%)*staff[[#This Row],[Salary]],0)</f>
        <v>3231</v>
      </c>
      <c r="K84" s="19">
        <f>_xlfn.XLOOKUP(staff[[#This Row],[Rating]],Sheet8!$B$3:$B$7,Sheet8!$C$3:$C$7)</f>
        <v>3</v>
      </c>
    </row>
    <row r="85" spans="1:11" x14ac:dyDescent="0.3">
      <c r="A85" s="3" t="s">
        <v>193</v>
      </c>
      <c r="B85" s="3" t="s">
        <v>8</v>
      </c>
      <c r="C85">
        <v>25</v>
      </c>
      <c r="D85" t="s">
        <v>13</v>
      </c>
      <c r="E85" s="4">
        <v>44322</v>
      </c>
      <c r="F85" s="3" t="s">
        <v>9</v>
      </c>
      <c r="G85" s="20">
        <v>65700</v>
      </c>
      <c r="H85" t="s">
        <v>204</v>
      </c>
      <c r="I85" s="5">
        <f ca="1">(TODAY()-staff[[#This Row],[Date Joined]])/365</f>
        <v>2.8328767123287673</v>
      </c>
      <c r="J85" s="20">
        <f ca="1">ROUND(IF(staff[[#This Row],[Tenure]]&gt;2,3%,2%)*staff[[#This Row],[Salary]],0)</f>
        <v>1971</v>
      </c>
      <c r="K85" s="19">
        <f>_xlfn.XLOOKUP(staff[[#This Row],[Rating]],Sheet8!$B$3:$B$7,Sheet8!$C$3:$C$7)</f>
        <v>3</v>
      </c>
    </row>
    <row r="86" spans="1:11" x14ac:dyDescent="0.3">
      <c r="A86" s="3" t="s">
        <v>194</v>
      </c>
      <c r="B86" s="3" t="s">
        <v>15</v>
      </c>
      <c r="C86">
        <v>33</v>
      </c>
      <c r="D86" t="s">
        <v>49</v>
      </c>
      <c r="E86" s="4">
        <v>44313</v>
      </c>
      <c r="F86" s="3" t="s">
        <v>23</v>
      </c>
      <c r="G86" s="20">
        <v>75480</v>
      </c>
      <c r="H86" t="s">
        <v>204</v>
      </c>
      <c r="I86" s="5">
        <f ca="1">(TODAY()-staff[[#This Row],[Date Joined]])/365</f>
        <v>2.8575342465753426</v>
      </c>
      <c r="J86" s="20">
        <f ca="1">ROUND(IF(staff[[#This Row],[Tenure]]&gt;2,3%,2%)*staff[[#This Row],[Salary]],0)</f>
        <v>2264</v>
      </c>
      <c r="K86" s="19">
        <f>_xlfn.XLOOKUP(staff[[#This Row],[Rating]],Sheet8!$B$3:$B$7,Sheet8!$C$3:$C$7)</f>
        <v>1</v>
      </c>
    </row>
    <row r="87" spans="1:11" x14ac:dyDescent="0.3">
      <c r="A87" s="3" t="s">
        <v>195</v>
      </c>
      <c r="B87" s="3" t="s">
        <v>8</v>
      </c>
      <c r="C87">
        <v>33</v>
      </c>
      <c r="D87" t="s">
        <v>13</v>
      </c>
      <c r="E87" s="4">
        <v>44448</v>
      </c>
      <c r="F87" s="3" t="s">
        <v>23</v>
      </c>
      <c r="G87" s="20">
        <v>53870</v>
      </c>
      <c r="H87" t="s">
        <v>204</v>
      </c>
      <c r="I87" s="5">
        <f ca="1">(TODAY()-staff[[#This Row],[Date Joined]])/365</f>
        <v>2.4876712328767123</v>
      </c>
      <c r="J87" s="20">
        <f ca="1">ROUND(IF(staff[[#This Row],[Tenure]]&gt;2,3%,2%)*staff[[#This Row],[Salary]],0)</f>
        <v>1616</v>
      </c>
      <c r="K87" s="19">
        <f>_xlfn.XLOOKUP(staff[[#This Row],[Rating]],Sheet8!$B$3:$B$7,Sheet8!$C$3:$C$7)</f>
        <v>3</v>
      </c>
    </row>
    <row r="88" spans="1:11" x14ac:dyDescent="0.3">
      <c r="A88" s="3" t="s">
        <v>196</v>
      </c>
      <c r="B88" s="3" t="s">
        <v>15</v>
      </c>
      <c r="C88">
        <v>36</v>
      </c>
      <c r="D88" t="s">
        <v>13</v>
      </c>
      <c r="E88" s="4">
        <v>44433</v>
      </c>
      <c r="F88" s="3" t="s">
        <v>9</v>
      </c>
      <c r="G88" s="20">
        <v>78540</v>
      </c>
      <c r="H88" t="s">
        <v>204</v>
      </c>
      <c r="I88" s="5">
        <f ca="1">(TODAY()-staff[[#This Row],[Date Joined]])/365</f>
        <v>2.5287671232876714</v>
      </c>
      <c r="J88" s="20">
        <f ca="1">ROUND(IF(staff[[#This Row],[Tenure]]&gt;2,3%,2%)*staff[[#This Row],[Salary]],0)</f>
        <v>2356</v>
      </c>
      <c r="K88" s="19">
        <f>_xlfn.XLOOKUP(staff[[#This Row],[Rating]],Sheet8!$B$3:$B$7,Sheet8!$C$3:$C$7)</f>
        <v>3</v>
      </c>
    </row>
    <row r="89" spans="1:11" x14ac:dyDescent="0.3">
      <c r="A89" s="3" t="s">
        <v>197</v>
      </c>
      <c r="B89" s="3" t="s">
        <v>8</v>
      </c>
      <c r="C89">
        <v>19</v>
      </c>
      <c r="D89" t="s">
        <v>13</v>
      </c>
      <c r="E89" s="4">
        <v>44218</v>
      </c>
      <c r="F89" s="3" t="s">
        <v>12</v>
      </c>
      <c r="G89" s="20">
        <v>58960</v>
      </c>
      <c r="H89" t="s">
        <v>204</v>
      </c>
      <c r="I89" s="5">
        <f ca="1">(TODAY()-staff[[#This Row],[Date Joined]])/365</f>
        <v>3.117808219178082</v>
      </c>
      <c r="J89" s="20">
        <f ca="1">ROUND(IF(staff[[#This Row],[Tenure]]&gt;2,3%,2%)*staff[[#This Row],[Salary]],0)</f>
        <v>1769</v>
      </c>
      <c r="K89" s="19">
        <f>_xlfn.XLOOKUP(staff[[#This Row],[Rating]],Sheet8!$B$3:$B$7,Sheet8!$C$3:$C$7)</f>
        <v>3</v>
      </c>
    </row>
    <row r="90" spans="1:11" x14ac:dyDescent="0.3">
      <c r="A90" s="3" t="s">
        <v>198</v>
      </c>
      <c r="B90" s="3" t="s">
        <v>8</v>
      </c>
      <c r="C90">
        <v>46</v>
      </c>
      <c r="D90" t="s">
        <v>13</v>
      </c>
      <c r="E90" s="4">
        <v>44697</v>
      </c>
      <c r="F90" s="3" t="s">
        <v>12</v>
      </c>
      <c r="G90" s="20">
        <v>70610</v>
      </c>
      <c r="H90" t="s">
        <v>204</v>
      </c>
      <c r="I90" s="5">
        <f ca="1">(TODAY()-staff[[#This Row],[Date Joined]])/365</f>
        <v>1.8054794520547945</v>
      </c>
      <c r="J90" s="20">
        <f ca="1">ROUND(IF(staff[[#This Row],[Tenure]]&gt;2,3%,2%)*staff[[#This Row],[Salary]],0)</f>
        <v>1412</v>
      </c>
      <c r="K90" s="19">
        <f>_xlfn.XLOOKUP(staff[[#This Row],[Rating]],Sheet8!$B$3:$B$7,Sheet8!$C$3:$C$7)</f>
        <v>3</v>
      </c>
    </row>
    <row r="91" spans="1:11" x14ac:dyDescent="0.3">
      <c r="A91" s="3" t="s">
        <v>199</v>
      </c>
      <c r="B91" s="3" t="s">
        <v>8</v>
      </c>
      <c r="C91">
        <v>33</v>
      </c>
      <c r="D91" t="s">
        <v>13</v>
      </c>
      <c r="E91" s="4">
        <v>44181</v>
      </c>
      <c r="F91" s="3" t="s">
        <v>17</v>
      </c>
      <c r="G91" s="20">
        <v>59430</v>
      </c>
      <c r="H91" t="s">
        <v>204</v>
      </c>
      <c r="I91" s="5">
        <f ca="1">(TODAY()-staff[[#This Row],[Date Joined]])/365</f>
        <v>3.2191780821917808</v>
      </c>
      <c r="J91" s="20">
        <f ca="1">ROUND(IF(staff[[#This Row],[Tenure]]&gt;2,3%,2%)*staff[[#This Row],[Salary]],0)</f>
        <v>1783</v>
      </c>
      <c r="K91" s="19">
        <f>_xlfn.XLOOKUP(staff[[#This Row],[Rating]],Sheet8!$B$3:$B$7,Sheet8!$C$3:$C$7)</f>
        <v>3</v>
      </c>
    </row>
    <row r="92" spans="1:11" x14ac:dyDescent="0.3">
      <c r="A92" s="3" t="s">
        <v>200</v>
      </c>
      <c r="B92" s="3" t="s">
        <v>8</v>
      </c>
      <c r="C92">
        <v>33</v>
      </c>
      <c r="D92" t="s">
        <v>10</v>
      </c>
      <c r="E92" s="4">
        <v>44640</v>
      </c>
      <c r="F92" s="3" t="s">
        <v>12</v>
      </c>
      <c r="G92" s="20">
        <v>48530</v>
      </c>
      <c r="H92" t="s">
        <v>204</v>
      </c>
      <c r="I92" s="5">
        <f ca="1">(TODAY()-staff[[#This Row],[Date Joined]])/365</f>
        <v>1.9616438356164383</v>
      </c>
      <c r="J92" s="20">
        <f ca="1">ROUND(IF(staff[[#This Row],[Tenure]]&gt;2,3%,2%)*staff[[#This Row],[Salary]],0)</f>
        <v>971</v>
      </c>
      <c r="K92" s="19">
        <f>_xlfn.XLOOKUP(staff[[#This Row],[Rating]],Sheet8!$B$3:$B$7,Sheet8!$C$3:$C$7)</f>
        <v>4</v>
      </c>
    </row>
    <row r="93" spans="1:11" x14ac:dyDescent="0.3">
      <c r="A93" s="3" t="s">
        <v>201</v>
      </c>
      <c r="B93" s="3" t="s">
        <v>15</v>
      </c>
      <c r="C93">
        <v>33</v>
      </c>
      <c r="D93" t="s">
        <v>13</v>
      </c>
      <c r="E93" s="4">
        <v>44129</v>
      </c>
      <c r="F93" s="3" t="s">
        <v>23</v>
      </c>
      <c r="G93" s="20">
        <v>96140</v>
      </c>
      <c r="H93" t="s">
        <v>204</v>
      </c>
      <c r="I93" s="5">
        <f ca="1">(TODAY()-staff[[#This Row],[Date Joined]])/365</f>
        <v>3.3616438356164382</v>
      </c>
      <c r="J93" s="20">
        <f ca="1">ROUND(IF(staff[[#This Row],[Tenure]]&gt;2,3%,2%)*staff[[#This Row],[Salary]],0)</f>
        <v>2884</v>
      </c>
      <c r="K93" s="19">
        <f>_xlfn.XLOOKUP(staff[[#This Row],[Rating]],Sheet8!$B$3:$B$7,Sheet8!$C$3:$C$7)</f>
        <v>3</v>
      </c>
    </row>
    <row r="94" spans="1:11" x14ac:dyDescent="0.3">
      <c r="A94" s="3" t="s">
        <v>7</v>
      </c>
      <c r="B94" s="3" t="s">
        <v>8</v>
      </c>
      <c r="C94">
        <v>22</v>
      </c>
      <c r="D94" t="s">
        <v>10</v>
      </c>
      <c r="E94" s="4">
        <v>44446</v>
      </c>
      <c r="F94" s="3" t="s">
        <v>9</v>
      </c>
      <c r="G94" s="20">
        <v>112780</v>
      </c>
      <c r="H94" t="s">
        <v>206</v>
      </c>
      <c r="I94" s="5">
        <f ca="1">(TODAY()-staff[[#This Row],[Date Joined]])/365</f>
        <v>2.493150684931507</v>
      </c>
      <c r="J94" s="20">
        <f ca="1">ROUND(IF(staff[[#This Row],[Tenure]]&gt;2,3%,2%)*staff[[#This Row],[Salary]],0)</f>
        <v>3383</v>
      </c>
      <c r="K94" s="19">
        <f>_xlfn.XLOOKUP(staff[[#This Row],[Rating]],Sheet8!$B$3:$B$7,Sheet8!$C$3:$C$7)</f>
        <v>4</v>
      </c>
    </row>
    <row r="95" spans="1:11" x14ac:dyDescent="0.3">
      <c r="A95" s="3" t="s">
        <v>11</v>
      </c>
      <c r="B95" s="3" t="s">
        <v>8</v>
      </c>
      <c r="C95">
        <v>46</v>
      </c>
      <c r="D95" t="s">
        <v>13</v>
      </c>
      <c r="E95" s="4">
        <v>44758</v>
      </c>
      <c r="F95" s="3" t="s">
        <v>12</v>
      </c>
      <c r="G95" s="20">
        <v>70610</v>
      </c>
      <c r="H95" t="s">
        <v>206</v>
      </c>
      <c r="I95" s="5">
        <f ca="1">(TODAY()-staff[[#This Row],[Date Joined]])/365</f>
        <v>1.6383561643835616</v>
      </c>
      <c r="J95" s="20">
        <f ca="1">ROUND(IF(staff[[#This Row],[Tenure]]&gt;2,3%,2%)*staff[[#This Row],[Salary]],0)</f>
        <v>1412</v>
      </c>
      <c r="K95" s="19">
        <f>_xlfn.XLOOKUP(staff[[#This Row],[Rating]],Sheet8!$B$3:$B$7,Sheet8!$C$3:$C$7)</f>
        <v>3</v>
      </c>
    </row>
    <row r="96" spans="1:11" x14ac:dyDescent="0.3">
      <c r="A96" s="3" t="s">
        <v>14</v>
      </c>
      <c r="B96" s="3" t="s">
        <v>15</v>
      </c>
      <c r="C96">
        <v>28</v>
      </c>
      <c r="D96" t="s">
        <v>13</v>
      </c>
      <c r="E96" s="4">
        <v>44357</v>
      </c>
      <c r="F96" s="3" t="s">
        <v>9</v>
      </c>
      <c r="G96" s="20">
        <v>53240</v>
      </c>
      <c r="H96" t="s">
        <v>206</v>
      </c>
      <c r="I96" s="5">
        <f ca="1">(TODAY()-staff[[#This Row],[Date Joined]])/365</f>
        <v>2.7369863013698632</v>
      </c>
      <c r="J96" s="20">
        <f ca="1">ROUND(IF(staff[[#This Row],[Tenure]]&gt;2,3%,2%)*staff[[#This Row],[Salary]],0)</f>
        <v>1597</v>
      </c>
      <c r="K96" s="19">
        <f>_xlfn.XLOOKUP(staff[[#This Row],[Rating]],Sheet8!$B$3:$B$7,Sheet8!$C$3:$C$7)</f>
        <v>3</v>
      </c>
    </row>
    <row r="97" spans="1:11" x14ac:dyDescent="0.3">
      <c r="A97" s="3" t="s">
        <v>16</v>
      </c>
      <c r="B97" s="3" t="s">
        <v>205</v>
      </c>
      <c r="C97">
        <v>37</v>
      </c>
      <c r="D97" t="s">
        <v>18</v>
      </c>
      <c r="E97" s="4">
        <v>44146</v>
      </c>
      <c r="F97" s="3" t="s">
        <v>17</v>
      </c>
      <c r="G97" s="20">
        <v>115440</v>
      </c>
      <c r="H97" t="s">
        <v>206</v>
      </c>
      <c r="I97" s="5">
        <f ca="1">(TODAY()-staff[[#This Row],[Date Joined]])/365</f>
        <v>3.3150684931506849</v>
      </c>
      <c r="J97" s="20">
        <f ca="1">ROUND(IF(staff[[#This Row],[Tenure]]&gt;2,3%,2%)*staff[[#This Row],[Salary]],0)</f>
        <v>3463</v>
      </c>
      <c r="K97" s="19">
        <f>_xlfn.XLOOKUP(staff[[#This Row],[Rating]],Sheet8!$B$3:$B$7,Sheet8!$C$3:$C$7)</f>
        <v>2</v>
      </c>
    </row>
    <row r="98" spans="1:11" x14ac:dyDescent="0.3">
      <c r="A98" s="3" t="s">
        <v>19</v>
      </c>
      <c r="B98" s="3" t="s">
        <v>8</v>
      </c>
      <c r="C98">
        <v>32</v>
      </c>
      <c r="D98" t="s">
        <v>13</v>
      </c>
      <c r="E98" s="4">
        <v>44465</v>
      </c>
      <c r="F98" s="3" t="s">
        <v>9</v>
      </c>
      <c r="G98" s="20">
        <v>53540</v>
      </c>
      <c r="H98" t="s">
        <v>206</v>
      </c>
      <c r="I98" s="5">
        <f ca="1">(TODAY()-staff[[#This Row],[Date Joined]])/365</f>
        <v>2.441095890410959</v>
      </c>
      <c r="J98" s="20">
        <f ca="1">ROUND(IF(staff[[#This Row],[Tenure]]&gt;2,3%,2%)*staff[[#This Row],[Salary]],0)</f>
        <v>1606</v>
      </c>
      <c r="K98" s="19">
        <f>_xlfn.XLOOKUP(staff[[#This Row],[Rating]],Sheet8!$B$3:$B$7,Sheet8!$C$3:$C$7)</f>
        <v>3</v>
      </c>
    </row>
    <row r="99" spans="1:11" x14ac:dyDescent="0.3">
      <c r="A99" s="3" t="s">
        <v>20</v>
      </c>
      <c r="B99" s="3" t="s">
        <v>15</v>
      </c>
      <c r="C99">
        <v>30</v>
      </c>
      <c r="D99" t="s">
        <v>13</v>
      </c>
      <c r="E99" s="4">
        <v>44861</v>
      </c>
      <c r="F99" s="3" t="s">
        <v>12</v>
      </c>
      <c r="G99" s="20">
        <v>112570</v>
      </c>
      <c r="H99" t="s">
        <v>206</v>
      </c>
      <c r="I99" s="5">
        <f ca="1">(TODAY()-staff[[#This Row],[Date Joined]])/365</f>
        <v>1.3561643835616439</v>
      </c>
      <c r="J99" s="20">
        <f ca="1">ROUND(IF(staff[[#This Row],[Tenure]]&gt;2,3%,2%)*staff[[#This Row],[Salary]],0)</f>
        <v>2251</v>
      </c>
      <c r="K99" s="19">
        <f>_xlfn.XLOOKUP(staff[[#This Row],[Rating]],Sheet8!$B$3:$B$7,Sheet8!$C$3:$C$7)</f>
        <v>3</v>
      </c>
    </row>
    <row r="100" spans="1:11" x14ac:dyDescent="0.3">
      <c r="A100" s="3" t="s">
        <v>21</v>
      </c>
      <c r="B100" s="3" t="s">
        <v>8</v>
      </c>
      <c r="C100">
        <v>33</v>
      </c>
      <c r="D100" t="s">
        <v>10</v>
      </c>
      <c r="E100" s="4">
        <v>44701</v>
      </c>
      <c r="F100" s="3" t="s">
        <v>12</v>
      </c>
      <c r="G100" s="20">
        <v>48530</v>
      </c>
      <c r="H100" t="s">
        <v>206</v>
      </c>
      <c r="I100" s="5">
        <f ca="1">(TODAY()-staff[[#This Row],[Date Joined]])/365</f>
        <v>1.7945205479452055</v>
      </c>
      <c r="J100" s="20">
        <f ca="1">ROUND(IF(staff[[#This Row],[Tenure]]&gt;2,3%,2%)*staff[[#This Row],[Salary]],0)</f>
        <v>971</v>
      </c>
      <c r="K100" s="19">
        <f>_xlfn.XLOOKUP(staff[[#This Row],[Rating]],Sheet8!$B$3:$B$7,Sheet8!$C$3:$C$7)</f>
        <v>4</v>
      </c>
    </row>
    <row r="101" spans="1:11" x14ac:dyDescent="0.3">
      <c r="A101" s="3" t="s">
        <v>22</v>
      </c>
      <c r="B101" s="3" t="s">
        <v>15</v>
      </c>
      <c r="C101">
        <v>24</v>
      </c>
      <c r="D101" t="s">
        <v>13</v>
      </c>
      <c r="E101" s="4">
        <v>44148</v>
      </c>
      <c r="F101" s="3" t="s">
        <v>23</v>
      </c>
      <c r="G101" s="20">
        <v>62780</v>
      </c>
      <c r="H101" t="s">
        <v>206</v>
      </c>
      <c r="I101" s="5">
        <f ca="1">(TODAY()-staff[[#This Row],[Date Joined]])/365</f>
        <v>3.3095890410958906</v>
      </c>
      <c r="J101" s="20">
        <f ca="1">ROUND(IF(staff[[#This Row],[Tenure]]&gt;2,3%,2%)*staff[[#This Row],[Salary]],0)</f>
        <v>1883</v>
      </c>
      <c r="K101" s="19">
        <f>_xlfn.XLOOKUP(staff[[#This Row],[Rating]],Sheet8!$B$3:$B$7,Sheet8!$C$3:$C$7)</f>
        <v>3</v>
      </c>
    </row>
    <row r="102" spans="1:11" x14ac:dyDescent="0.3">
      <c r="A102" s="3" t="s">
        <v>24</v>
      </c>
      <c r="B102" s="3" t="s">
        <v>8</v>
      </c>
      <c r="C102">
        <v>33</v>
      </c>
      <c r="D102" t="s">
        <v>13</v>
      </c>
      <c r="E102" s="4">
        <v>44509</v>
      </c>
      <c r="F102" s="3" t="s">
        <v>23</v>
      </c>
      <c r="G102" s="20">
        <v>53870</v>
      </c>
      <c r="H102" t="s">
        <v>206</v>
      </c>
      <c r="I102" s="5">
        <f ca="1">(TODAY()-staff[[#This Row],[Date Joined]])/365</f>
        <v>2.3205479452054796</v>
      </c>
      <c r="J102" s="20">
        <f ca="1">ROUND(IF(staff[[#This Row],[Tenure]]&gt;2,3%,2%)*staff[[#This Row],[Salary]],0)</f>
        <v>1616</v>
      </c>
      <c r="K102" s="19">
        <f>_xlfn.XLOOKUP(staff[[#This Row],[Rating]],Sheet8!$B$3:$B$7,Sheet8!$C$3:$C$7)</f>
        <v>3</v>
      </c>
    </row>
    <row r="103" spans="1:11" x14ac:dyDescent="0.3">
      <c r="A103" s="3" t="s">
        <v>25</v>
      </c>
      <c r="B103" s="3" t="s">
        <v>15</v>
      </c>
      <c r="C103">
        <v>27</v>
      </c>
      <c r="D103" t="s">
        <v>13</v>
      </c>
      <c r="E103" s="4">
        <v>44122</v>
      </c>
      <c r="F103" s="3" t="s">
        <v>26</v>
      </c>
      <c r="G103" s="20">
        <v>119110</v>
      </c>
      <c r="H103" t="s">
        <v>206</v>
      </c>
      <c r="I103" s="5">
        <f ca="1">(TODAY()-staff[[#This Row],[Date Joined]])/365</f>
        <v>3.3808219178082193</v>
      </c>
      <c r="J103" s="20">
        <f ca="1">ROUND(IF(staff[[#This Row],[Tenure]]&gt;2,3%,2%)*staff[[#This Row],[Salary]],0)</f>
        <v>3573</v>
      </c>
      <c r="K103" s="19">
        <f>_xlfn.XLOOKUP(staff[[#This Row],[Rating]],Sheet8!$B$3:$B$7,Sheet8!$C$3:$C$7)</f>
        <v>3</v>
      </c>
    </row>
    <row r="104" spans="1:11" x14ac:dyDescent="0.3">
      <c r="A104" s="3" t="s">
        <v>27</v>
      </c>
      <c r="B104" s="3" t="s">
        <v>8</v>
      </c>
      <c r="C104">
        <v>29</v>
      </c>
      <c r="D104" t="s">
        <v>18</v>
      </c>
      <c r="E104" s="4">
        <v>44180</v>
      </c>
      <c r="F104" s="3" t="s">
        <v>23</v>
      </c>
      <c r="G104" s="20">
        <v>112110</v>
      </c>
      <c r="H104" t="s">
        <v>206</v>
      </c>
      <c r="I104" s="5">
        <f ca="1">(TODAY()-staff[[#This Row],[Date Joined]])/365</f>
        <v>3.2219178082191782</v>
      </c>
      <c r="J104" s="20">
        <f ca="1">ROUND(IF(staff[[#This Row],[Tenure]]&gt;2,3%,2%)*staff[[#This Row],[Salary]],0)</f>
        <v>3363</v>
      </c>
      <c r="K104" s="19">
        <f>_xlfn.XLOOKUP(staff[[#This Row],[Rating]],Sheet8!$B$3:$B$7,Sheet8!$C$3:$C$7)</f>
        <v>2</v>
      </c>
    </row>
    <row r="105" spans="1:11" x14ac:dyDescent="0.3">
      <c r="A105" s="3" t="s">
        <v>28</v>
      </c>
      <c r="B105" s="3" t="s">
        <v>8</v>
      </c>
      <c r="C105">
        <v>25</v>
      </c>
      <c r="D105" t="s">
        <v>13</v>
      </c>
      <c r="E105" s="4">
        <v>44383</v>
      </c>
      <c r="F105" s="3" t="s">
        <v>9</v>
      </c>
      <c r="G105" s="20">
        <v>65700</v>
      </c>
      <c r="H105" t="s">
        <v>206</v>
      </c>
      <c r="I105" s="5">
        <f ca="1">(TODAY()-staff[[#This Row],[Date Joined]])/365</f>
        <v>2.6657534246575341</v>
      </c>
      <c r="J105" s="20">
        <f ca="1">ROUND(IF(staff[[#This Row],[Tenure]]&gt;2,3%,2%)*staff[[#This Row],[Salary]],0)</f>
        <v>1971</v>
      </c>
      <c r="K105" s="19">
        <f>_xlfn.XLOOKUP(staff[[#This Row],[Rating]],Sheet8!$B$3:$B$7,Sheet8!$C$3:$C$7)</f>
        <v>3</v>
      </c>
    </row>
    <row r="106" spans="1:11" x14ac:dyDescent="0.3">
      <c r="A106" s="3" t="s">
        <v>29</v>
      </c>
      <c r="B106" s="3" t="s">
        <v>8</v>
      </c>
      <c r="C106">
        <v>37</v>
      </c>
      <c r="D106" t="s">
        <v>13</v>
      </c>
      <c r="E106" s="4">
        <v>44701</v>
      </c>
      <c r="F106" s="3" t="s">
        <v>23</v>
      </c>
      <c r="G106" s="20">
        <v>69070</v>
      </c>
      <c r="H106" t="s">
        <v>206</v>
      </c>
      <c r="I106" s="5">
        <f ca="1">(TODAY()-staff[[#This Row],[Date Joined]])/365</f>
        <v>1.7945205479452055</v>
      </c>
      <c r="J106" s="20">
        <f ca="1">ROUND(IF(staff[[#This Row],[Tenure]]&gt;2,3%,2%)*staff[[#This Row],[Salary]],0)</f>
        <v>1381</v>
      </c>
      <c r="K106" s="19">
        <f>_xlfn.XLOOKUP(staff[[#This Row],[Rating]],Sheet8!$B$3:$B$7,Sheet8!$C$3:$C$7)</f>
        <v>3</v>
      </c>
    </row>
    <row r="107" spans="1:11" x14ac:dyDescent="0.3">
      <c r="A107" s="3" t="s">
        <v>30</v>
      </c>
      <c r="B107" s="3" t="s">
        <v>8</v>
      </c>
      <c r="C107">
        <v>20</v>
      </c>
      <c r="D107" t="s">
        <v>13</v>
      </c>
      <c r="E107" s="4">
        <v>44459</v>
      </c>
      <c r="F107" s="3" t="s">
        <v>23</v>
      </c>
      <c r="G107" s="20">
        <v>107700</v>
      </c>
      <c r="H107" t="s">
        <v>206</v>
      </c>
      <c r="I107" s="5">
        <f ca="1">(TODAY()-staff[[#This Row],[Date Joined]])/365</f>
        <v>2.4575342465753423</v>
      </c>
      <c r="J107" s="20">
        <f ca="1">ROUND(IF(staff[[#This Row],[Tenure]]&gt;2,3%,2%)*staff[[#This Row],[Salary]],0)</f>
        <v>3231</v>
      </c>
      <c r="K107" s="19">
        <f>_xlfn.XLOOKUP(staff[[#This Row],[Rating]],Sheet8!$B$3:$B$7,Sheet8!$C$3:$C$7)</f>
        <v>3</v>
      </c>
    </row>
    <row r="108" spans="1:11" x14ac:dyDescent="0.3">
      <c r="A108" s="3" t="s">
        <v>31</v>
      </c>
      <c r="B108" s="3" t="s">
        <v>15</v>
      </c>
      <c r="C108">
        <v>32</v>
      </c>
      <c r="D108" t="s">
        <v>10</v>
      </c>
      <c r="E108" s="4">
        <v>44354</v>
      </c>
      <c r="F108" s="3" t="s">
        <v>23</v>
      </c>
      <c r="G108" s="20">
        <v>43840</v>
      </c>
      <c r="H108" t="s">
        <v>206</v>
      </c>
      <c r="I108" s="5">
        <f ca="1">(TODAY()-staff[[#This Row],[Date Joined]])/365</f>
        <v>2.7452054794520548</v>
      </c>
      <c r="J108" s="20">
        <f ca="1">ROUND(IF(staff[[#This Row],[Tenure]]&gt;2,3%,2%)*staff[[#This Row],[Salary]],0)</f>
        <v>1315</v>
      </c>
      <c r="K108" s="19">
        <f>_xlfn.XLOOKUP(staff[[#This Row],[Rating]],Sheet8!$B$3:$B$7,Sheet8!$C$3:$C$7)</f>
        <v>4</v>
      </c>
    </row>
    <row r="109" spans="1:11" x14ac:dyDescent="0.3">
      <c r="A109" s="3" t="s">
        <v>32</v>
      </c>
      <c r="B109" s="3" t="s">
        <v>8</v>
      </c>
      <c r="C109">
        <v>40</v>
      </c>
      <c r="D109" t="s">
        <v>13</v>
      </c>
      <c r="E109" s="4">
        <v>44263</v>
      </c>
      <c r="F109" s="3" t="s">
        <v>12</v>
      </c>
      <c r="G109" s="20">
        <v>99750</v>
      </c>
      <c r="H109" t="s">
        <v>206</v>
      </c>
      <c r="I109" s="5">
        <f ca="1">(TODAY()-staff[[#This Row],[Date Joined]])/365</f>
        <v>2.9945205479452053</v>
      </c>
      <c r="J109" s="20">
        <f ca="1">ROUND(IF(staff[[#This Row],[Tenure]]&gt;2,3%,2%)*staff[[#This Row],[Salary]],0)</f>
        <v>2993</v>
      </c>
      <c r="K109" s="19">
        <f>_xlfn.XLOOKUP(staff[[#This Row],[Rating]],Sheet8!$B$3:$B$7,Sheet8!$C$3:$C$7)</f>
        <v>3</v>
      </c>
    </row>
    <row r="110" spans="1:11" x14ac:dyDescent="0.3">
      <c r="A110" s="3" t="s">
        <v>33</v>
      </c>
      <c r="B110" s="3" t="s">
        <v>8</v>
      </c>
      <c r="C110">
        <v>21</v>
      </c>
      <c r="D110" t="s">
        <v>13</v>
      </c>
      <c r="E110" s="4">
        <v>44104</v>
      </c>
      <c r="F110" s="3" t="s">
        <v>12</v>
      </c>
      <c r="G110" s="20">
        <v>37920</v>
      </c>
      <c r="H110" t="s">
        <v>206</v>
      </c>
      <c r="I110" s="5">
        <f ca="1">(TODAY()-staff[[#This Row],[Date Joined]])/365</f>
        <v>3.43013698630137</v>
      </c>
      <c r="J110" s="20">
        <f ca="1">ROUND(IF(staff[[#This Row],[Tenure]]&gt;2,3%,2%)*staff[[#This Row],[Salary]],0)</f>
        <v>1138</v>
      </c>
      <c r="K110" s="19">
        <f>_xlfn.XLOOKUP(staff[[#This Row],[Rating]],Sheet8!$B$3:$B$7,Sheet8!$C$3:$C$7)</f>
        <v>3</v>
      </c>
    </row>
    <row r="111" spans="1:11" x14ac:dyDescent="0.3">
      <c r="A111" s="3" t="s">
        <v>34</v>
      </c>
      <c r="B111" s="3" t="s">
        <v>8</v>
      </c>
      <c r="C111">
        <v>21</v>
      </c>
      <c r="D111" t="s">
        <v>13</v>
      </c>
      <c r="E111" s="4">
        <v>44762</v>
      </c>
      <c r="F111" s="3" t="s">
        <v>12</v>
      </c>
      <c r="G111" s="20">
        <v>57090</v>
      </c>
      <c r="H111" t="s">
        <v>206</v>
      </c>
      <c r="I111" s="5">
        <f ca="1">(TODAY()-staff[[#This Row],[Date Joined]])/365</f>
        <v>1.6273972602739726</v>
      </c>
      <c r="J111" s="20">
        <f ca="1">ROUND(IF(staff[[#This Row],[Tenure]]&gt;2,3%,2%)*staff[[#This Row],[Salary]],0)</f>
        <v>1142</v>
      </c>
      <c r="K111" s="19">
        <f>_xlfn.XLOOKUP(staff[[#This Row],[Rating]],Sheet8!$B$3:$B$7,Sheet8!$C$3:$C$7)</f>
        <v>3</v>
      </c>
    </row>
    <row r="112" spans="1:11" x14ac:dyDescent="0.3">
      <c r="A112" s="3" t="s">
        <v>35</v>
      </c>
      <c r="B112" s="3" t="s">
        <v>15</v>
      </c>
      <c r="C112">
        <v>31</v>
      </c>
      <c r="D112" t="s">
        <v>13</v>
      </c>
      <c r="E112" s="4">
        <v>44145</v>
      </c>
      <c r="F112" s="3" t="s">
        <v>23</v>
      </c>
      <c r="G112" s="20">
        <v>41980</v>
      </c>
      <c r="H112" t="s">
        <v>206</v>
      </c>
      <c r="I112" s="5">
        <f ca="1">(TODAY()-staff[[#This Row],[Date Joined]])/365</f>
        <v>3.3178082191780822</v>
      </c>
      <c r="J112" s="20">
        <f ca="1">ROUND(IF(staff[[#This Row],[Tenure]]&gt;2,3%,2%)*staff[[#This Row],[Salary]],0)</f>
        <v>1259</v>
      </c>
      <c r="K112" s="19">
        <f>_xlfn.XLOOKUP(staff[[#This Row],[Rating]],Sheet8!$B$3:$B$7,Sheet8!$C$3:$C$7)</f>
        <v>3</v>
      </c>
    </row>
    <row r="113" spans="1:11" x14ac:dyDescent="0.3">
      <c r="A113" s="3" t="s">
        <v>36</v>
      </c>
      <c r="B113" s="3" t="s">
        <v>8</v>
      </c>
      <c r="C113">
        <v>21</v>
      </c>
      <c r="D113" t="s">
        <v>13</v>
      </c>
      <c r="E113" s="4">
        <v>44242</v>
      </c>
      <c r="F113" s="3" t="s">
        <v>26</v>
      </c>
      <c r="G113" s="20">
        <v>75880</v>
      </c>
      <c r="H113" t="s">
        <v>206</v>
      </c>
      <c r="I113" s="5">
        <f ca="1">(TODAY()-staff[[#This Row],[Date Joined]])/365</f>
        <v>3.0520547945205481</v>
      </c>
      <c r="J113" s="20">
        <f ca="1">ROUND(IF(staff[[#This Row],[Tenure]]&gt;2,3%,2%)*staff[[#This Row],[Salary]],0)</f>
        <v>2276</v>
      </c>
      <c r="K113" s="19">
        <f>_xlfn.XLOOKUP(staff[[#This Row],[Rating]],Sheet8!$B$3:$B$7,Sheet8!$C$3:$C$7)</f>
        <v>3</v>
      </c>
    </row>
    <row r="114" spans="1:11" x14ac:dyDescent="0.3">
      <c r="A114" s="3" t="s">
        <v>37</v>
      </c>
      <c r="B114" s="3" t="s">
        <v>15</v>
      </c>
      <c r="C114">
        <v>34</v>
      </c>
      <c r="D114" t="s">
        <v>13</v>
      </c>
      <c r="E114" s="4">
        <v>44653</v>
      </c>
      <c r="F114" s="3" t="s">
        <v>17</v>
      </c>
      <c r="G114" s="20">
        <v>58940</v>
      </c>
      <c r="H114" t="s">
        <v>206</v>
      </c>
      <c r="I114" s="5">
        <f ca="1">(TODAY()-staff[[#This Row],[Date Joined]])/365</f>
        <v>1.9260273972602739</v>
      </c>
      <c r="J114" s="20">
        <f ca="1">ROUND(IF(staff[[#This Row],[Tenure]]&gt;2,3%,2%)*staff[[#This Row],[Salary]],0)</f>
        <v>1179</v>
      </c>
      <c r="K114" s="19">
        <f>_xlfn.XLOOKUP(staff[[#This Row],[Rating]],Sheet8!$B$3:$B$7,Sheet8!$C$3:$C$7)</f>
        <v>3</v>
      </c>
    </row>
    <row r="115" spans="1:11" x14ac:dyDescent="0.3">
      <c r="A115" s="3" t="s">
        <v>38</v>
      </c>
      <c r="B115" s="3" t="s">
        <v>15</v>
      </c>
      <c r="C115">
        <v>30</v>
      </c>
      <c r="D115" t="s">
        <v>18</v>
      </c>
      <c r="E115" s="4">
        <v>44389</v>
      </c>
      <c r="F115" s="3" t="s">
        <v>17</v>
      </c>
      <c r="G115" s="20">
        <v>67910</v>
      </c>
      <c r="H115" t="s">
        <v>206</v>
      </c>
      <c r="I115" s="5">
        <f ca="1">(TODAY()-staff[[#This Row],[Date Joined]])/365</f>
        <v>2.6493150684931508</v>
      </c>
      <c r="J115" s="20">
        <f ca="1">ROUND(IF(staff[[#This Row],[Tenure]]&gt;2,3%,2%)*staff[[#This Row],[Salary]],0)</f>
        <v>2037</v>
      </c>
      <c r="K115" s="19">
        <f>_xlfn.XLOOKUP(staff[[#This Row],[Rating]],Sheet8!$B$3:$B$7,Sheet8!$C$3:$C$7)</f>
        <v>2</v>
      </c>
    </row>
    <row r="116" spans="1:11" x14ac:dyDescent="0.3">
      <c r="A116" s="3" t="s">
        <v>39</v>
      </c>
      <c r="B116" s="3" t="s">
        <v>15</v>
      </c>
      <c r="C116">
        <v>31</v>
      </c>
      <c r="D116" t="s">
        <v>13</v>
      </c>
      <c r="E116" s="4">
        <v>44663</v>
      </c>
      <c r="F116" s="3" t="s">
        <v>23</v>
      </c>
      <c r="G116" s="20">
        <v>58100</v>
      </c>
      <c r="H116" t="s">
        <v>206</v>
      </c>
      <c r="I116" s="5">
        <f ca="1">(TODAY()-staff[[#This Row],[Date Joined]])/365</f>
        <v>1.8986301369863015</v>
      </c>
      <c r="J116" s="20">
        <f ca="1">ROUND(IF(staff[[#This Row],[Tenure]]&gt;2,3%,2%)*staff[[#This Row],[Salary]],0)</f>
        <v>1162</v>
      </c>
      <c r="K116" s="19">
        <f>_xlfn.XLOOKUP(staff[[#This Row],[Rating]],Sheet8!$B$3:$B$7,Sheet8!$C$3:$C$7)</f>
        <v>3</v>
      </c>
    </row>
    <row r="117" spans="1:11" x14ac:dyDescent="0.3">
      <c r="A117" s="3" t="s">
        <v>40</v>
      </c>
      <c r="B117" s="3" t="s">
        <v>8</v>
      </c>
      <c r="C117">
        <v>27</v>
      </c>
      <c r="D117" t="s">
        <v>13</v>
      </c>
      <c r="E117" s="4">
        <v>44567</v>
      </c>
      <c r="F117" s="3" t="s">
        <v>17</v>
      </c>
      <c r="G117" s="20">
        <v>48980</v>
      </c>
      <c r="H117" t="s">
        <v>206</v>
      </c>
      <c r="I117" s="5">
        <f ca="1">(TODAY()-staff[[#This Row],[Date Joined]])/365</f>
        <v>2.1616438356164385</v>
      </c>
      <c r="J117" s="20">
        <f ca="1">ROUND(IF(staff[[#This Row],[Tenure]]&gt;2,3%,2%)*staff[[#This Row],[Salary]],0)</f>
        <v>1469</v>
      </c>
      <c r="K117" s="19">
        <f>_xlfn.XLOOKUP(staff[[#This Row],[Rating]],Sheet8!$B$3:$B$7,Sheet8!$C$3:$C$7)</f>
        <v>3</v>
      </c>
    </row>
    <row r="118" spans="1:11" x14ac:dyDescent="0.3">
      <c r="A118" s="3" t="s">
        <v>41</v>
      </c>
      <c r="B118" s="3" t="s">
        <v>205</v>
      </c>
      <c r="C118">
        <v>30</v>
      </c>
      <c r="D118" t="s">
        <v>13</v>
      </c>
      <c r="E118" s="4">
        <v>44597</v>
      </c>
      <c r="F118" s="3" t="s">
        <v>17</v>
      </c>
      <c r="G118" s="20">
        <v>64000</v>
      </c>
      <c r="H118" t="s">
        <v>206</v>
      </c>
      <c r="I118" s="5">
        <f ca="1">(TODAY()-staff[[#This Row],[Date Joined]])/365</f>
        <v>2.0794520547945203</v>
      </c>
      <c r="J118" s="20">
        <f ca="1">ROUND(IF(staff[[#This Row],[Tenure]]&gt;2,3%,2%)*staff[[#This Row],[Salary]],0)</f>
        <v>1920</v>
      </c>
      <c r="K118" s="19">
        <f>_xlfn.XLOOKUP(staff[[#This Row],[Rating]],Sheet8!$B$3:$B$7,Sheet8!$C$3:$C$7)</f>
        <v>3</v>
      </c>
    </row>
    <row r="119" spans="1:11" x14ac:dyDescent="0.3">
      <c r="A119" s="3" t="s">
        <v>42</v>
      </c>
      <c r="B119" s="3" t="s">
        <v>15</v>
      </c>
      <c r="C119">
        <v>42</v>
      </c>
      <c r="D119" t="s">
        <v>43</v>
      </c>
      <c r="E119" s="4">
        <v>44779</v>
      </c>
      <c r="F119" s="3" t="s">
        <v>12</v>
      </c>
      <c r="G119" s="20">
        <v>75000</v>
      </c>
      <c r="H119" t="s">
        <v>206</v>
      </c>
      <c r="I119" s="5">
        <f ca="1">(TODAY()-staff[[#This Row],[Date Joined]])/365</f>
        <v>1.5808219178082192</v>
      </c>
      <c r="J119" s="20">
        <f ca="1">ROUND(IF(staff[[#This Row],[Tenure]]&gt;2,3%,2%)*staff[[#This Row],[Salary]],0)</f>
        <v>1500</v>
      </c>
      <c r="K119" s="19">
        <f>_xlfn.XLOOKUP(staff[[#This Row],[Rating]],Sheet8!$B$3:$B$7,Sheet8!$C$3:$C$7)</f>
        <v>5</v>
      </c>
    </row>
    <row r="120" spans="1:11" x14ac:dyDescent="0.3">
      <c r="A120" s="3" t="s">
        <v>44</v>
      </c>
      <c r="B120" s="3" t="s">
        <v>15</v>
      </c>
      <c r="C120">
        <v>40</v>
      </c>
      <c r="D120" t="s">
        <v>13</v>
      </c>
      <c r="E120" s="4">
        <v>44337</v>
      </c>
      <c r="F120" s="3" t="s">
        <v>23</v>
      </c>
      <c r="G120" s="20">
        <v>87620</v>
      </c>
      <c r="H120" t="s">
        <v>206</v>
      </c>
      <c r="I120" s="5">
        <f ca="1">(TODAY()-staff[[#This Row],[Date Joined]])/365</f>
        <v>2.7917808219178082</v>
      </c>
      <c r="J120" s="20">
        <f ca="1">ROUND(IF(staff[[#This Row],[Tenure]]&gt;2,3%,2%)*staff[[#This Row],[Salary]],0)</f>
        <v>2629</v>
      </c>
      <c r="K120" s="19">
        <f>_xlfn.XLOOKUP(staff[[#This Row],[Rating]],Sheet8!$B$3:$B$7,Sheet8!$C$3:$C$7)</f>
        <v>3</v>
      </c>
    </row>
    <row r="121" spans="1:11" x14ac:dyDescent="0.3">
      <c r="A121" s="3" t="s">
        <v>45</v>
      </c>
      <c r="B121" s="3" t="s">
        <v>15</v>
      </c>
      <c r="C121">
        <v>29</v>
      </c>
      <c r="D121" t="s">
        <v>13</v>
      </c>
      <c r="E121" s="4">
        <v>44023</v>
      </c>
      <c r="F121" s="3" t="s">
        <v>23</v>
      </c>
      <c r="G121" s="20">
        <v>34980</v>
      </c>
      <c r="H121" t="s">
        <v>206</v>
      </c>
      <c r="I121" s="5">
        <f ca="1">(TODAY()-staff[[#This Row],[Date Joined]])/365</f>
        <v>3.6520547945205482</v>
      </c>
      <c r="J121" s="20">
        <f ca="1">ROUND(IF(staff[[#This Row],[Tenure]]&gt;2,3%,2%)*staff[[#This Row],[Salary]],0)</f>
        <v>1049</v>
      </c>
      <c r="K121" s="19">
        <f>_xlfn.XLOOKUP(staff[[#This Row],[Rating]],Sheet8!$B$3:$B$7,Sheet8!$C$3:$C$7)</f>
        <v>3</v>
      </c>
    </row>
    <row r="122" spans="1:11" x14ac:dyDescent="0.3">
      <c r="A122" s="3" t="s">
        <v>46</v>
      </c>
      <c r="B122" s="3" t="s">
        <v>15</v>
      </c>
      <c r="C122">
        <v>28</v>
      </c>
      <c r="D122" t="s">
        <v>13</v>
      </c>
      <c r="E122" s="4">
        <v>44185</v>
      </c>
      <c r="F122" s="3" t="s">
        <v>17</v>
      </c>
      <c r="G122" s="20">
        <v>75970</v>
      </c>
      <c r="H122" t="s">
        <v>206</v>
      </c>
      <c r="I122" s="5">
        <f ca="1">(TODAY()-staff[[#This Row],[Date Joined]])/365</f>
        <v>3.2082191780821918</v>
      </c>
      <c r="J122" s="20">
        <f ca="1">ROUND(IF(staff[[#This Row],[Tenure]]&gt;2,3%,2%)*staff[[#This Row],[Salary]],0)</f>
        <v>2279</v>
      </c>
      <c r="K122" s="19">
        <f>_xlfn.XLOOKUP(staff[[#This Row],[Rating]],Sheet8!$B$3:$B$7,Sheet8!$C$3:$C$7)</f>
        <v>3</v>
      </c>
    </row>
    <row r="123" spans="1:11" x14ac:dyDescent="0.3">
      <c r="A123" s="3" t="s">
        <v>47</v>
      </c>
      <c r="B123" s="3" t="s">
        <v>15</v>
      </c>
      <c r="C123">
        <v>34</v>
      </c>
      <c r="D123" t="s">
        <v>13</v>
      </c>
      <c r="E123" s="4">
        <v>44612</v>
      </c>
      <c r="F123" s="3" t="s">
        <v>17</v>
      </c>
      <c r="G123" s="20">
        <v>60130</v>
      </c>
      <c r="H123" t="s">
        <v>206</v>
      </c>
      <c r="I123" s="5">
        <f ca="1">(TODAY()-staff[[#This Row],[Date Joined]])/365</f>
        <v>2.0383561643835617</v>
      </c>
      <c r="J123" s="20">
        <f ca="1">ROUND(IF(staff[[#This Row],[Tenure]]&gt;2,3%,2%)*staff[[#This Row],[Salary]],0)</f>
        <v>1804</v>
      </c>
      <c r="K123" s="19">
        <f>_xlfn.XLOOKUP(staff[[#This Row],[Rating]],Sheet8!$B$3:$B$7,Sheet8!$C$3:$C$7)</f>
        <v>3</v>
      </c>
    </row>
    <row r="124" spans="1:11" x14ac:dyDescent="0.3">
      <c r="A124" s="3" t="s">
        <v>48</v>
      </c>
      <c r="B124" s="3" t="s">
        <v>15</v>
      </c>
      <c r="C124">
        <v>33</v>
      </c>
      <c r="D124" t="s">
        <v>49</v>
      </c>
      <c r="E124" s="4">
        <v>44374</v>
      </c>
      <c r="F124" s="3" t="s">
        <v>23</v>
      </c>
      <c r="G124" s="20">
        <v>75480</v>
      </c>
      <c r="H124" t="s">
        <v>206</v>
      </c>
      <c r="I124" s="5">
        <f ca="1">(TODAY()-staff[[#This Row],[Date Joined]])/365</f>
        <v>2.6904109589041094</v>
      </c>
      <c r="J124" s="20">
        <f ca="1">ROUND(IF(staff[[#This Row],[Tenure]]&gt;2,3%,2%)*staff[[#This Row],[Salary]],0)</f>
        <v>2264</v>
      </c>
      <c r="K124" s="19">
        <f>_xlfn.XLOOKUP(staff[[#This Row],[Rating]],Sheet8!$B$3:$B$7,Sheet8!$C$3:$C$7)</f>
        <v>1</v>
      </c>
    </row>
    <row r="125" spans="1:11" x14ac:dyDescent="0.3">
      <c r="A125" s="3" t="s">
        <v>50</v>
      </c>
      <c r="B125" s="3" t="s">
        <v>8</v>
      </c>
      <c r="C125">
        <v>33</v>
      </c>
      <c r="D125" t="s">
        <v>13</v>
      </c>
      <c r="E125" s="4">
        <v>44164</v>
      </c>
      <c r="F125" s="3" t="s">
        <v>12</v>
      </c>
      <c r="G125" s="20">
        <v>115920</v>
      </c>
      <c r="H125" t="s">
        <v>206</v>
      </c>
      <c r="I125" s="5">
        <f ca="1">(TODAY()-staff[[#This Row],[Date Joined]])/365</f>
        <v>3.2657534246575342</v>
      </c>
      <c r="J125" s="20">
        <f ca="1">ROUND(IF(staff[[#This Row],[Tenure]]&gt;2,3%,2%)*staff[[#This Row],[Salary]],0)</f>
        <v>3478</v>
      </c>
      <c r="K125" s="19">
        <f>_xlfn.XLOOKUP(staff[[#This Row],[Rating]],Sheet8!$B$3:$B$7,Sheet8!$C$3:$C$7)</f>
        <v>3</v>
      </c>
    </row>
    <row r="126" spans="1:11" x14ac:dyDescent="0.3">
      <c r="A126" s="3" t="s">
        <v>51</v>
      </c>
      <c r="B126" s="3" t="s">
        <v>15</v>
      </c>
      <c r="C126">
        <v>36</v>
      </c>
      <c r="D126" t="s">
        <v>13</v>
      </c>
      <c r="E126" s="4">
        <v>44494</v>
      </c>
      <c r="F126" s="3" t="s">
        <v>9</v>
      </c>
      <c r="G126" s="20">
        <v>78540</v>
      </c>
      <c r="H126" t="s">
        <v>206</v>
      </c>
      <c r="I126" s="5">
        <f ca="1">(TODAY()-staff[[#This Row],[Date Joined]])/365</f>
        <v>2.3616438356164382</v>
      </c>
      <c r="J126" s="20">
        <f ca="1">ROUND(IF(staff[[#This Row],[Tenure]]&gt;2,3%,2%)*staff[[#This Row],[Salary]],0)</f>
        <v>2356</v>
      </c>
      <c r="K126" s="19">
        <f>_xlfn.XLOOKUP(staff[[#This Row],[Rating]],Sheet8!$B$3:$B$7,Sheet8!$C$3:$C$7)</f>
        <v>3</v>
      </c>
    </row>
    <row r="127" spans="1:11" x14ac:dyDescent="0.3">
      <c r="A127" s="3" t="s">
        <v>52</v>
      </c>
      <c r="B127" s="3" t="s">
        <v>8</v>
      </c>
      <c r="C127">
        <v>25</v>
      </c>
      <c r="D127" t="s">
        <v>10</v>
      </c>
      <c r="E127" s="4">
        <v>44726</v>
      </c>
      <c r="F127" s="3" t="s">
        <v>12</v>
      </c>
      <c r="G127" s="20">
        <v>109190</v>
      </c>
      <c r="H127" t="s">
        <v>206</v>
      </c>
      <c r="I127" s="5">
        <f ca="1">(TODAY()-staff[[#This Row],[Date Joined]])/365</f>
        <v>1.726027397260274</v>
      </c>
      <c r="J127" s="20">
        <f ca="1">ROUND(IF(staff[[#This Row],[Tenure]]&gt;2,3%,2%)*staff[[#This Row],[Salary]],0)</f>
        <v>2184</v>
      </c>
      <c r="K127" s="19">
        <f>_xlfn.XLOOKUP(staff[[#This Row],[Rating]],Sheet8!$B$3:$B$7,Sheet8!$C$3:$C$7)</f>
        <v>4</v>
      </c>
    </row>
    <row r="128" spans="1:11" x14ac:dyDescent="0.3">
      <c r="A128" s="3" t="s">
        <v>53</v>
      </c>
      <c r="B128" s="3" t="s">
        <v>15</v>
      </c>
      <c r="C128">
        <v>34</v>
      </c>
      <c r="D128" t="s">
        <v>18</v>
      </c>
      <c r="E128" s="4">
        <v>44721</v>
      </c>
      <c r="F128" s="3" t="s">
        <v>9</v>
      </c>
      <c r="G128" s="20">
        <v>49630</v>
      </c>
      <c r="H128" t="s">
        <v>206</v>
      </c>
      <c r="I128" s="5">
        <f ca="1">(TODAY()-staff[[#This Row],[Date Joined]])/365</f>
        <v>1.7397260273972603</v>
      </c>
      <c r="J128" s="20">
        <f ca="1">ROUND(IF(staff[[#This Row],[Tenure]]&gt;2,3%,2%)*staff[[#This Row],[Salary]],0)</f>
        <v>993</v>
      </c>
      <c r="K128" s="19">
        <f>_xlfn.XLOOKUP(staff[[#This Row],[Rating]],Sheet8!$B$3:$B$7,Sheet8!$C$3:$C$7)</f>
        <v>2</v>
      </c>
    </row>
    <row r="129" spans="1:11" x14ac:dyDescent="0.3">
      <c r="A129" s="3" t="s">
        <v>54</v>
      </c>
      <c r="B129" s="3" t="s">
        <v>15</v>
      </c>
      <c r="C129">
        <v>28</v>
      </c>
      <c r="D129" t="s">
        <v>13</v>
      </c>
      <c r="E129" s="4">
        <v>44630</v>
      </c>
      <c r="F129" s="3" t="s">
        <v>12</v>
      </c>
      <c r="G129" s="20">
        <v>99970</v>
      </c>
      <c r="H129" t="s">
        <v>206</v>
      </c>
      <c r="I129" s="5">
        <f ca="1">(TODAY()-staff[[#This Row],[Date Joined]])/365</f>
        <v>1.989041095890411</v>
      </c>
      <c r="J129" s="20">
        <f ca="1">ROUND(IF(staff[[#This Row],[Tenure]]&gt;2,3%,2%)*staff[[#This Row],[Salary]],0)</f>
        <v>1999</v>
      </c>
      <c r="K129" s="19">
        <f>_xlfn.XLOOKUP(staff[[#This Row],[Rating]],Sheet8!$B$3:$B$7,Sheet8!$C$3:$C$7)</f>
        <v>3</v>
      </c>
    </row>
    <row r="130" spans="1:11" x14ac:dyDescent="0.3">
      <c r="A130" s="3" t="s">
        <v>55</v>
      </c>
      <c r="B130" s="3" t="s">
        <v>15</v>
      </c>
      <c r="C130">
        <v>33</v>
      </c>
      <c r="D130" t="s">
        <v>13</v>
      </c>
      <c r="E130" s="4">
        <v>44190</v>
      </c>
      <c r="F130" s="3" t="s">
        <v>23</v>
      </c>
      <c r="G130" s="20">
        <v>96140</v>
      </c>
      <c r="H130" t="s">
        <v>206</v>
      </c>
      <c r="I130" s="5">
        <f ca="1">(TODAY()-staff[[#This Row],[Date Joined]])/365</f>
        <v>3.1945205479452055</v>
      </c>
      <c r="J130" s="20">
        <f ca="1">ROUND(IF(staff[[#This Row],[Tenure]]&gt;2,3%,2%)*staff[[#This Row],[Salary]],0)</f>
        <v>2884</v>
      </c>
      <c r="K130" s="19">
        <f>_xlfn.XLOOKUP(staff[[#This Row],[Rating]],Sheet8!$B$3:$B$7,Sheet8!$C$3:$C$7)</f>
        <v>3</v>
      </c>
    </row>
    <row r="131" spans="1:11" x14ac:dyDescent="0.3">
      <c r="A131" s="3" t="s">
        <v>56</v>
      </c>
      <c r="B131" s="3" t="s">
        <v>8</v>
      </c>
      <c r="C131">
        <v>31</v>
      </c>
      <c r="D131" t="s">
        <v>13</v>
      </c>
      <c r="E131" s="4">
        <v>44724</v>
      </c>
      <c r="F131" s="3" t="s">
        <v>12</v>
      </c>
      <c r="G131" s="20">
        <v>103550</v>
      </c>
      <c r="H131" t="s">
        <v>206</v>
      </c>
      <c r="I131" s="5">
        <f ca="1">(TODAY()-staff[[#This Row],[Date Joined]])/365</f>
        <v>1.7315068493150685</v>
      </c>
      <c r="J131" s="20">
        <f ca="1">ROUND(IF(staff[[#This Row],[Tenure]]&gt;2,3%,2%)*staff[[#This Row],[Salary]],0)</f>
        <v>2071</v>
      </c>
      <c r="K131" s="19">
        <f>_xlfn.XLOOKUP(staff[[#This Row],[Rating]],Sheet8!$B$3:$B$7,Sheet8!$C$3:$C$7)</f>
        <v>3</v>
      </c>
    </row>
    <row r="132" spans="1:11" x14ac:dyDescent="0.3">
      <c r="A132" s="3" t="s">
        <v>57</v>
      </c>
      <c r="B132" s="3" t="s">
        <v>8</v>
      </c>
      <c r="C132">
        <v>31</v>
      </c>
      <c r="D132" t="s">
        <v>13</v>
      </c>
      <c r="E132" s="4">
        <v>44511</v>
      </c>
      <c r="F132" s="3" t="s">
        <v>23</v>
      </c>
      <c r="G132" s="20">
        <v>48950</v>
      </c>
      <c r="H132" t="s">
        <v>206</v>
      </c>
      <c r="I132" s="5">
        <f ca="1">(TODAY()-staff[[#This Row],[Date Joined]])/365</f>
        <v>2.3150684931506849</v>
      </c>
      <c r="J132" s="20">
        <f ca="1">ROUND(IF(staff[[#This Row],[Tenure]]&gt;2,3%,2%)*staff[[#This Row],[Salary]],0)</f>
        <v>1469</v>
      </c>
      <c r="K132" s="19">
        <f>_xlfn.XLOOKUP(staff[[#This Row],[Rating]],Sheet8!$B$3:$B$7,Sheet8!$C$3:$C$7)</f>
        <v>3</v>
      </c>
    </row>
    <row r="133" spans="1:11" x14ac:dyDescent="0.3">
      <c r="A133" s="3" t="s">
        <v>58</v>
      </c>
      <c r="B133" s="3" t="s">
        <v>8</v>
      </c>
      <c r="C133">
        <v>24</v>
      </c>
      <c r="D133" t="s">
        <v>18</v>
      </c>
      <c r="E133" s="4">
        <v>44436</v>
      </c>
      <c r="F133" s="3" t="s">
        <v>17</v>
      </c>
      <c r="G133" s="20">
        <v>52610</v>
      </c>
      <c r="H133" t="s">
        <v>206</v>
      </c>
      <c r="I133" s="5">
        <f ca="1">(TODAY()-staff[[#This Row],[Date Joined]])/365</f>
        <v>2.5205479452054793</v>
      </c>
      <c r="J133" s="20">
        <f ca="1">ROUND(IF(staff[[#This Row],[Tenure]]&gt;2,3%,2%)*staff[[#This Row],[Salary]],0)</f>
        <v>1578</v>
      </c>
      <c r="K133" s="19">
        <f>_xlfn.XLOOKUP(staff[[#This Row],[Rating]],Sheet8!$B$3:$B$7,Sheet8!$C$3:$C$7)</f>
        <v>2</v>
      </c>
    </row>
    <row r="134" spans="1:11" x14ac:dyDescent="0.3">
      <c r="A134" s="3" t="s">
        <v>59</v>
      </c>
      <c r="B134" s="3" t="s">
        <v>15</v>
      </c>
      <c r="C134">
        <v>36</v>
      </c>
      <c r="D134" t="s">
        <v>13</v>
      </c>
      <c r="E134" s="4">
        <v>44529</v>
      </c>
      <c r="F134" s="3" t="s">
        <v>12</v>
      </c>
      <c r="G134" s="20">
        <v>78390</v>
      </c>
      <c r="H134" t="s">
        <v>206</v>
      </c>
      <c r="I134" s="5">
        <f ca="1">(TODAY()-staff[[#This Row],[Date Joined]])/365</f>
        <v>2.2657534246575342</v>
      </c>
      <c r="J134" s="20">
        <f ca="1">ROUND(IF(staff[[#This Row],[Tenure]]&gt;2,3%,2%)*staff[[#This Row],[Salary]],0)</f>
        <v>2352</v>
      </c>
      <c r="K134" s="19">
        <f>_xlfn.XLOOKUP(staff[[#This Row],[Rating]],Sheet8!$B$3:$B$7,Sheet8!$C$3:$C$7)</f>
        <v>3</v>
      </c>
    </row>
    <row r="135" spans="1:11" x14ac:dyDescent="0.3">
      <c r="A135" s="3" t="s">
        <v>60</v>
      </c>
      <c r="B135" s="3" t="s">
        <v>15</v>
      </c>
      <c r="C135">
        <v>33</v>
      </c>
      <c r="D135" t="s">
        <v>13</v>
      </c>
      <c r="E135" s="4">
        <v>44809</v>
      </c>
      <c r="F135" s="3" t="s">
        <v>17</v>
      </c>
      <c r="G135" s="20">
        <v>86570</v>
      </c>
      <c r="H135" t="s">
        <v>206</v>
      </c>
      <c r="I135" s="5">
        <f ca="1">(TODAY()-staff[[#This Row],[Date Joined]])/365</f>
        <v>1.4986301369863013</v>
      </c>
      <c r="J135" s="20">
        <f ca="1">ROUND(IF(staff[[#This Row],[Tenure]]&gt;2,3%,2%)*staff[[#This Row],[Salary]],0)</f>
        <v>1731</v>
      </c>
      <c r="K135" s="19">
        <f>_xlfn.XLOOKUP(staff[[#This Row],[Rating]],Sheet8!$B$3:$B$7,Sheet8!$C$3:$C$7)</f>
        <v>3</v>
      </c>
    </row>
    <row r="136" spans="1:11" x14ac:dyDescent="0.3">
      <c r="A136" s="3" t="s">
        <v>61</v>
      </c>
      <c r="B136" s="3" t="s">
        <v>15</v>
      </c>
      <c r="C136">
        <v>27</v>
      </c>
      <c r="D136" t="s">
        <v>13</v>
      </c>
      <c r="E136" s="4">
        <v>44686</v>
      </c>
      <c r="F136" s="3" t="s">
        <v>23</v>
      </c>
      <c r="G136" s="20">
        <v>83750</v>
      </c>
      <c r="H136" t="s">
        <v>206</v>
      </c>
      <c r="I136" s="5">
        <f ca="1">(TODAY()-staff[[#This Row],[Date Joined]])/365</f>
        <v>1.8356164383561644</v>
      </c>
      <c r="J136" s="20">
        <f ca="1">ROUND(IF(staff[[#This Row],[Tenure]]&gt;2,3%,2%)*staff[[#This Row],[Salary]],0)</f>
        <v>1675</v>
      </c>
      <c r="K136" s="19">
        <f>_xlfn.XLOOKUP(staff[[#This Row],[Rating]],Sheet8!$B$3:$B$7,Sheet8!$C$3:$C$7)</f>
        <v>3</v>
      </c>
    </row>
    <row r="137" spans="1:11" x14ac:dyDescent="0.3">
      <c r="A137" s="3" t="s">
        <v>62</v>
      </c>
      <c r="B137" s="3" t="s">
        <v>15</v>
      </c>
      <c r="C137">
        <v>34</v>
      </c>
      <c r="D137" t="s">
        <v>13</v>
      </c>
      <c r="E137" s="4">
        <v>44445</v>
      </c>
      <c r="F137" s="3" t="s">
        <v>17</v>
      </c>
      <c r="G137" s="20">
        <v>92450</v>
      </c>
      <c r="H137" t="s">
        <v>206</v>
      </c>
      <c r="I137" s="5">
        <f ca="1">(TODAY()-staff[[#This Row],[Date Joined]])/365</f>
        <v>2.495890410958904</v>
      </c>
      <c r="J137" s="20">
        <f ca="1">ROUND(IF(staff[[#This Row],[Tenure]]&gt;2,3%,2%)*staff[[#This Row],[Salary]],0)</f>
        <v>2774</v>
      </c>
      <c r="K137" s="19">
        <f>_xlfn.XLOOKUP(staff[[#This Row],[Rating]],Sheet8!$B$3:$B$7,Sheet8!$C$3:$C$7)</f>
        <v>3</v>
      </c>
    </row>
    <row r="138" spans="1:11" x14ac:dyDescent="0.3">
      <c r="A138" s="3" t="s">
        <v>63</v>
      </c>
      <c r="B138" s="3" t="s">
        <v>8</v>
      </c>
      <c r="C138">
        <v>20</v>
      </c>
      <c r="D138" t="s">
        <v>13</v>
      </c>
      <c r="E138" s="4">
        <v>44183</v>
      </c>
      <c r="F138" s="3" t="s">
        <v>23</v>
      </c>
      <c r="G138" s="20">
        <v>112650</v>
      </c>
      <c r="H138" t="s">
        <v>206</v>
      </c>
      <c r="I138" s="5">
        <f ca="1">(TODAY()-staff[[#This Row],[Date Joined]])/365</f>
        <v>3.2136986301369861</v>
      </c>
      <c r="J138" s="20">
        <f ca="1">ROUND(IF(staff[[#This Row],[Tenure]]&gt;2,3%,2%)*staff[[#This Row],[Salary]],0)</f>
        <v>3380</v>
      </c>
      <c r="K138" s="19">
        <f>_xlfn.XLOOKUP(staff[[#This Row],[Rating]],Sheet8!$B$3:$B$7,Sheet8!$C$3:$C$7)</f>
        <v>3</v>
      </c>
    </row>
    <row r="139" spans="1:11" x14ac:dyDescent="0.3">
      <c r="A139" s="3" t="s">
        <v>64</v>
      </c>
      <c r="B139" s="3" t="s">
        <v>8</v>
      </c>
      <c r="C139">
        <v>20</v>
      </c>
      <c r="D139" t="s">
        <v>13</v>
      </c>
      <c r="E139" s="4">
        <v>44744</v>
      </c>
      <c r="F139" s="3" t="s">
        <v>12</v>
      </c>
      <c r="G139" s="20">
        <v>79570</v>
      </c>
      <c r="H139" t="s">
        <v>206</v>
      </c>
      <c r="I139" s="5">
        <f ca="1">(TODAY()-staff[[#This Row],[Date Joined]])/365</f>
        <v>1.6767123287671233</v>
      </c>
      <c r="J139" s="20">
        <f ca="1">ROUND(IF(staff[[#This Row],[Tenure]]&gt;2,3%,2%)*staff[[#This Row],[Salary]],0)</f>
        <v>1591</v>
      </c>
      <c r="K139" s="19">
        <f>_xlfn.XLOOKUP(staff[[#This Row],[Rating]],Sheet8!$B$3:$B$7,Sheet8!$C$3:$C$7)</f>
        <v>3</v>
      </c>
    </row>
    <row r="140" spans="1:11" x14ac:dyDescent="0.3">
      <c r="A140" s="3" t="s">
        <v>65</v>
      </c>
      <c r="B140" s="3" t="s">
        <v>15</v>
      </c>
      <c r="C140">
        <v>20</v>
      </c>
      <c r="D140" t="s">
        <v>18</v>
      </c>
      <c r="E140" s="4">
        <v>44537</v>
      </c>
      <c r="F140" s="3" t="s">
        <v>9</v>
      </c>
      <c r="G140" s="20">
        <v>68900</v>
      </c>
      <c r="H140" t="s">
        <v>206</v>
      </c>
      <c r="I140" s="5">
        <f ca="1">(TODAY()-staff[[#This Row],[Date Joined]])/365</f>
        <v>2.2438356164383562</v>
      </c>
      <c r="J140" s="20">
        <f ca="1">ROUND(IF(staff[[#This Row],[Tenure]]&gt;2,3%,2%)*staff[[#This Row],[Salary]],0)</f>
        <v>2067</v>
      </c>
      <c r="K140" s="19">
        <f>_xlfn.XLOOKUP(staff[[#This Row],[Rating]],Sheet8!$B$3:$B$7,Sheet8!$C$3:$C$7)</f>
        <v>2</v>
      </c>
    </row>
    <row r="141" spans="1:11" x14ac:dyDescent="0.3">
      <c r="A141" s="3" t="s">
        <v>66</v>
      </c>
      <c r="B141" s="3" t="s">
        <v>15</v>
      </c>
      <c r="C141">
        <v>25</v>
      </c>
      <c r="D141" t="s">
        <v>10</v>
      </c>
      <c r="E141" s="4">
        <v>44694</v>
      </c>
      <c r="F141" s="3" t="s">
        <v>23</v>
      </c>
      <c r="G141" s="20">
        <v>80700</v>
      </c>
      <c r="H141" t="s">
        <v>206</v>
      </c>
      <c r="I141" s="5">
        <f ca="1">(TODAY()-staff[[#This Row],[Date Joined]])/365</f>
        <v>1.8136986301369864</v>
      </c>
      <c r="J141" s="20">
        <f ca="1">ROUND(IF(staff[[#This Row],[Tenure]]&gt;2,3%,2%)*staff[[#This Row],[Salary]],0)</f>
        <v>1614</v>
      </c>
      <c r="K141" s="19">
        <f>_xlfn.XLOOKUP(staff[[#This Row],[Rating]],Sheet8!$B$3:$B$7,Sheet8!$C$3:$C$7)</f>
        <v>4</v>
      </c>
    </row>
    <row r="142" spans="1:11" x14ac:dyDescent="0.3">
      <c r="A142" s="3" t="s">
        <v>67</v>
      </c>
      <c r="B142" s="3" t="s">
        <v>8</v>
      </c>
      <c r="C142">
        <v>19</v>
      </c>
      <c r="D142" t="s">
        <v>13</v>
      </c>
      <c r="E142" s="4">
        <v>44277</v>
      </c>
      <c r="F142" s="3" t="s">
        <v>12</v>
      </c>
      <c r="G142" s="20">
        <v>58960</v>
      </c>
      <c r="H142" t="s">
        <v>206</v>
      </c>
      <c r="I142" s="5">
        <f ca="1">(TODAY()-staff[[#This Row],[Date Joined]])/365</f>
        <v>2.956164383561644</v>
      </c>
      <c r="J142" s="20">
        <f ca="1">ROUND(IF(staff[[#This Row],[Tenure]]&gt;2,3%,2%)*staff[[#This Row],[Salary]],0)</f>
        <v>1769</v>
      </c>
      <c r="K142" s="19">
        <f>_xlfn.XLOOKUP(staff[[#This Row],[Rating]],Sheet8!$B$3:$B$7,Sheet8!$C$3:$C$7)</f>
        <v>3</v>
      </c>
    </row>
    <row r="143" spans="1:11" x14ac:dyDescent="0.3">
      <c r="A143" s="3" t="s">
        <v>68</v>
      </c>
      <c r="B143" s="3" t="s">
        <v>8</v>
      </c>
      <c r="C143">
        <v>36</v>
      </c>
      <c r="D143" t="s">
        <v>13</v>
      </c>
      <c r="E143" s="4">
        <v>44019</v>
      </c>
      <c r="F143" s="3" t="s">
        <v>23</v>
      </c>
      <c r="G143" s="20">
        <v>118840</v>
      </c>
      <c r="H143" t="s">
        <v>206</v>
      </c>
      <c r="I143" s="5">
        <f ca="1">(TODAY()-staff[[#This Row],[Date Joined]])/365</f>
        <v>3.6630136986301371</v>
      </c>
      <c r="J143" s="20">
        <f ca="1">ROUND(IF(staff[[#This Row],[Tenure]]&gt;2,3%,2%)*staff[[#This Row],[Salary]],0)</f>
        <v>3565</v>
      </c>
      <c r="K143" s="19">
        <f>_xlfn.XLOOKUP(staff[[#This Row],[Rating]],Sheet8!$B$3:$B$7,Sheet8!$C$3:$C$7)</f>
        <v>3</v>
      </c>
    </row>
    <row r="144" spans="1:11" x14ac:dyDescent="0.3">
      <c r="A144" s="3" t="s">
        <v>69</v>
      </c>
      <c r="B144" s="3" t="s">
        <v>8</v>
      </c>
      <c r="C144">
        <v>28</v>
      </c>
      <c r="D144" t="s">
        <v>10</v>
      </c>
      <c r="E144" s="4">
        <v>44041</v>
      </c>
      <c r="F144" s="3" t="s">
        <v>17</v>
      </c>
      <c r="G144" s="20">
        <v>48170</v>
      </c>
      <c r="H144" t="s">
        <v>206</v>
      </c>
      <c r="I144" s="5">
        <f ca="1">(TODAY()-staff[[#This Row],[Date Joined]])/365</f>
        <v>3.6027397260273974</v>
      </c>
      <c r="J144" s="20">
        <f ca="1">ROUND(IF(staff[[#This Row],[Tenure]]&gt;2,3%,2%)*staff[[#This Row],[Salary]],0)</f>
        <v>1445</v>
      </c>
      <c r="K144" s="19">
        <f>_xlfn.XLOOKUP(staff[[#This Row],[Rating]],Sheet8!$B$3:$B$7,Sheet8!$C$3:$C$7)</f>
        <v>4</v>
      </c>
    </row>
    <row r="145" spans="1:11" x14ac:dyDescent="0.3">
      <c r="A145" s="3" t="s">
        <v>70</v>
      </c>
      <c r="B145" s="3" t="s">
        <v>15</v>
      </c>
      <c r="C145">
        <v>32</v>
      </c>
      <c r="D145" t="s">
        <v>13</v>
      </c>
      <c r="E145" s="4">
        <v>44400</v>
      </c>
      <c r="F145" s="3" t="s">
        <v>26</v>
      </c>
      <c r="G145" s="20">
        <v>45510</v>
      </c>
      <c r="H145" t="s">
        <v>206</v>
      </c>
      <c r="I145" s="5">
        <f ca="1">(TODAY()-staff[[#This Row],[Date Joined]])/365</f>
        <v>2.6191780821917807</v>
      </c>
      <c r="J145" s="20">
        <f ca="1">ROUND(IF(staff[[#This Row],[Tenure]]&gt;2,3%,2%)*staff[[#This Row],[Salary]],0)</f>
        <v>1365</v>
      </c>
      <c r="K145" s="19">
        <f>_xlfn.XLOOKUP(staff[[#This Row],[Rating]],Sheet8!$B$3:$B$7,Sheet8!$C$3:$C$7)</f>
        <v>3</v>
      </c>
    </row>
    <row r="146" spans="1:11" x14ac:dyDescent="0.3">
      <c r="A146" s="3" t="s">
        <v>71</v>
      </c>
      <c r="B146" s="3" t="s">
        <v>15</v>
      </c>
      <c r="C146">
        <v>36</v>
      </c>
      <c r="D146" t="s">
        <v>13</v>
      </c>
      <c r="E146" s="4">
        <v>44085</v>
      </c>
      <c r="F146" s="3" t="s">
        <v>12</v>
      </c>
      <c r="G146" s="20">
        <v>114890</v>
      </c>
      <c r="H146" t="s">
        <v>206</v>
      </c>
      <c r="I146" s="5">
        <f ca="1">(TODAY()-staff[[#This Row],[Date Joined]])/365</f>
        <v>3.4821917808219176</v>
      </c>
      <c r="J146" s="20">
        <f ca="1">ROUND(IF(staff[[#This Row],[Tenure]]&gt;2,3%,2%)*staff[[#This Row],[Salary]],0)</f>
        <v>3447</v>
      </c>
      <c r="K146" s="19">
        <f>_xlfn.XLOOKUP(staff[[#This Row],[Rating]],Sheet8!$B$3:$B$7,Sheet8!$C$3:$C$7)</f>
        <v>3</v>
      </c>
    </row>
    <row r="147" spans="1:11" x14ac:dyDescent="0.3">
      <c r="A147" s="3" t="s">
        <v>72</v>
      </c>
      <c r="B147" s="3" t="s">
        <v>8</v>
      </c>
      <c r="C147">
        <v>30</v>
      </c>
      <c r="D147" t="s">
        <v>13</v>
      </c>
      <c r="E147" s="4">
        <v>44850</v>
      </c>
      <c r="F147" s="3" t="s">
        <v>23</v>
      </c>
      <c r="G147" s="20">
        <v>69710</v>
      </c>
      <c r="H147" t="s">
        <v>206</v>
      </c>
      <c r="I147" s="5">
        <f ca="1">(TODAY()-staff[[#This Row],[Date Joined]])/365</f>
        <v>1.3863013698630138</v>
      </c>
      <c r="J147" s="20">
        <f ca="1">ROUND(IF(staff[[#This Row],[Tenure]]&gt;2,3%,2%)*staff[[#This Row],[Salary]],0)</f>
        <v>1394</v>
      </c>
      <c r="K147" s="19">
        <f>_xlfn.XLOOKUP(staff[[#This Row],[Rating]],Sheet8!$B$3:$B$7,Sheet8!$C$3:$C$7)</f>
        <v>3</v>
      </c>
    </row>
    <row r="148" spans="1:11" x14ac:dyDescent="0.3">
      <c r="A148" s="3" t="s">
        <v>73</v>
      </c>
      <c r="B148" s="3" t="s">
        <v>8</v>
      </c>
      <c r="C148">
        <v>36</v>
      </c>
      <c r="D148" t="s">
        <v>13</v>
      </c>
      <c r="E148" s="4">
        <v>44333</v>
      </c>
      <c r="F148" s="3" t="s">
        <v>17</v>
      </c>
      <c r="G148" s="20">
        <v>71380</v>
      </c>
      <c r="H148" t="s">
        <v>206</v>
      </c>
      <c r="I148" s="5">
        <f ca="1">(TODAY()-staff[[#This Row],[Date Joined]])/365</f>
        <v>2.8027397260273972</v>
      </c>
      <c r="J148" s="20">
        <f ca="1">ROUND(IF(staff[[#This Row],[Tenure]]&gt;2,3%,2%)*staff[[#This Row],[Salary]],0)</f>
        <v>2141</v>
      </c>
      <c r="K148" s="19">
        <f>_xlfn.XLOOKUP(staff[[#This Row],[Rating]],Sheet8!$B$3:$B$7,Sheet8!$C$3:$C$7)</f>
        <v>3</v>
      </c>
    </row>
    <row r="149" spans="1:11" x14ac:dyDescent="0.3">
      <c r="A149" s="3" t="s">
        <v>74</v>
      </c>
      <c r="B149" s="3" t="s">
        <v>15</v>
      </c>
      <c r="C149">
        <v>38</v>
      </c>
      <c r="D149" t="s">
        <v>43</v>
      </c>
      <c r="E149" s="4">
        <v>44377</v>
      </c>
      <c r="F149" s="3" t="s">
        <v>9</v>
      </c>
      <c r="G149" s="20">
        <v>109160</v>
      </c>
      <c r="H149" t="s">
        <v>206</v>
      </c>
      <c r="I149" s="5">
        <f ca="1">(TODAY()-staff[[#This Row],[Date Joined]])/365</f>
        <v>2.6821917808219178</v>
      </c>
      <c r="J149" s="20">
        <f ca="1">ROUND(IF(staff[[#This Row],[Tenure]]&gt;2,3%,2%)*staff[[#This Row],[Salary]],0)</f>
        <v>3275</v>
      </c>
      <c r="K149" s="19">
        <f>_xlfn.XLOOKUP(staff[[#This Row],[Rating]],Sheet8!$B$3:$B$7,Sheet8!$C$3:$C$7)</f>
        <v>5</v>
      </c>
    </row>
    <row r="150" spans="1:11" x14ac:dyDescent="0.3">
      <c r="A150" s="3" t="s">
        <v>75</v>
      </c>
      <c r="B150" s="3" t="s">
        <v>8</v>
      </c>
      <c r="C150">
        <v>27</v>
      </c>
      <c r="D150" t="s">
        <v>49</v>
      </c>
      <c r="E150" s="4">
        <v>44609</v>
      </c>
      <c r="F150" s="3" t="s">
        <v>12</v>
      </c>
      <c r="G150" s="20">
        <v>113280</v>
      </c>
      <c r="H150" t="s">
        <v>206</v>
      </c>
      <c r="I150" s="5">
        <f ca="1">(TODAY()-staff[[#This Row],[Date Joined]])/365</f>
        <v>2.0465753424657533</v>
      </c>
      <c r="J150" s="20">
        <f ca="1">ROUND(IF(staff[[#This Row],[Tenure]]&gt;2,3%,2%)*staff[[#This Row],[Salary]],0)</f>
        <v>3398</v>
      </c>
      <c r="K150" s="19">
        <f>_xlfn.XLOOKUP(staff[[#This Row],[Rating]],Sheet8!$B$3:$B$7,Sheet8!$C$3:$C$7)</f>
        <v>1</v>
      </c>
    </row>
    <row r="151" spans="1:11" x14ac:dyDescent="0.3">
      <c r="A151" s="3" t="s">
        <v>76</v>
      </c>
      <c r="B151" s="3" t="s">
        <v>8</v>
      </c>
      <c r="C151">
        <v>30</v>
      </c>
      <c r="D151" t="s">
        <v>13</v>
      </c>
      <c r="E151" s="4">
        <v>44273</v>
      </c>
      <c r="F151" s="3" t="s">
        <v>23</v>
      </c>
      <c r="G151" s="20">
        <v>69120</v>
      </c>
      <c r="H151" t="s">
        <v>206</v>
      </c>
      <c r="I151" s="5">
        <f ca="1">(TODAY()-staff[[#This Row],[Date Joined]])/365</f>
        <v>2.967123287671233</v>
      </c>
      <c r="J151" s="20">
        <f ca="1">ROUND(IF(staff[[#This Row],[Tenure]]&gt;2,3%,2%)*staff[[#This Row],[Salary]],0)</f>
        <v>2074</v>
      </c>
      <c r="K151" s="19">
        <f>_xlfn.XLOOKUP(staff[[#This Row],[Rating]],Sheet8!$B$3:$B$7,Sheet8!$C$3:$C$7)</f>
        <v>3</v>
      </c>
    </row>
    <row r="152" spans="1:11" x14ac:dyDescent="0.3">
      <c r="A152" s="3" t="s">
        <v>77</v>
      </c>
      <c r="B152" s="3" t="s">
        <v>15</v>
      </c>
      <c r="C152">
        <v>37</v>
      </c>
      <c r="D152" t="s">
        <v>13</v>
      </c>
      <c r="E152" s="4">
        <v>44451</v>
      </c>
      <c r="F152" s="3" t="s">
        <v>26</v>
      </c>
      <c r="G152" s="20">
        <v>118100</v>
      </c>
      <c r="H152" t="s">
        <v>206</v>
      </c>
      <c r="I152" s="5">
        <f ca="1">(TODAY()-staff[[#This Row],[Date Joined]])/365</f>
        <v>2.4794520547945207</v>
      </c>
      <c r="J152" s="20">
        <f ca="1">ROUND(IF(staff[[#This Row],[Tenure]]&gt;2,3%,2%)*staff[[#This Row],[Salary]],0)</f>
        <v>3543</v>
      </c>
      <c r="K152" s="19">
        <f>_xlfn.XLOOKUP(staff[[#This Row],[Rating]],Sheet8!$B$3:$B$7,Sheet8!$C$3:$C$7)</f>
        <v>3</v>
      </c>
    </row>
    <row r="153" spans="1:11" x14ac:dyDescent="0.3">
      <c r="A153" s="3" t="s">
        <v>78</v>
      </c>
      <c r="B153" s="3" t="s">
        <v>15</v>
      </c>
      <c r="C153">
        <v>22</v>
      </c>
      <c r="D153" t="s">
        <v>10</v>
      </c>
      <c r="E153" s="4">
        <v>44450</v>
      </c>
      <c r="F153" s="3" t="s">
        <v>12</v>
      </c>
      <c r="G153" s="20">
        <v>76900</v>
      </c>
      <c r="H153" t="s">
        <v>206</v>
      </c>
      <c r="I153" s="5">
        <f ca="1">(TODAY()-staff[[#This Row],[Date Joined]])/365</f>
        <v>2.4821917808219176</v>
      </c>
      <c r="J153" s="20">
        <f ca="1">ROUND(IF(staff[[#This Row],[Tenure]]&gt;2,3%,2%)*staff[[#This Row],[Salary]],0)</f>
        <v>2307</v>
      </c>
      <c r="K153" s="19">
        <f>_xlfn.XLOOKUP(staff[[#This Row],[Rating]],Sheet8!$B$3:$B$7,Sheet8!$C$3:$C$7)</f>
        <v>4</v>
      </c>
    </row>
    <row r="154" spans="1:11" x14ac:dyDescent="0.3">
      <c r="A154" s="3" t="s">
        <v>79</v>
      </c>
      <c r="B154" s="3" t="s">
        <v>15</v>
      </c>
      <c r="C154">
        <v>43</v>
      </c>
      <c r="D154" t="s">
        <v>13</v>
      </c>
      <c r="E154" s="4">
        <v>45045</v>
      </c>
      <c r="F154" s="3" t="s">
        <v>23</v>
      </c>
      <c r="G154" s="20">
        <v>114870</v>
      </c>
      <c r="H154" t="s">
        <v>206</v>
      </c>
      <c r="I154" s="5">
        <f ca="1">(TODAY()-staff[[#This Row],[Date Joined]])/365</f>
        <v>0.852054794520548</v>
      </c>
      <c r="J154" s="20">
        <f ca="1">ROUND(IF(staff[[#This Row],[Tenure]]&gt;2,3%,2%)*staff[[#This Row],[Salary]],0)</f>
        <v>2297</v>
      </c>
      <c r="K154" s="19">
        <f>_xlfn.XLOOKUP(staff[[#This Row],[Rating]],Sheet8!$B$3:$B$7,Sheet8!$C$3:$C$7)</f>
        <v>3</v>
      </c>
    </row>
    <row r="155" spans="1:11" x14ac:dyDescent="0.3">
      <c r="A155" s="3" t="s">
        <v>80</v>
      </c>
      <c r="B155" s="3" t="s">
        <v>205</v>
      </c>
      <c r="C155">
        <v>32</v>
      </c>
      <c r="D155" t="s">
        <v>13</v>
      </c>
      <c r="E155" s="4">
        <v>44774</v>
      </c>
      <c r="F155" s="3" t="s">
        <v>23</v>
      </c>
      <c r="G155" s="20">
        <v>91310</v>
      </c>
      <c r="H155" t="s">
        <v>206</v>
      </c>
      <c r="I155" s="5">
        <f ca="1">(TODAY()-staff[[#This Row],[Date Joined]])/365</f>
        <v>1.5945205479452054</v>
      </c>
      <c r="J155" s="20">
        <f ca="1">ROUND(IF(staff[[#This Row],[Tenure]]&gt;2,3%,2%)*staff[[#This Row],[Salary]],0)</f>
        <v>1826</v>
      </c>
      <c r="K155" s="19">
        <f>_xlfn.XLOOKUP(staff[[#This Row],[Rating]],Sheet8!$B$3:$B$7,Sheet8!$C$3:$C$7)</f>
        <v>3</v>
      </c>
    </row>
    <row r="156" spans="1:11" x14ac:dyDescent="0.3">
      <c r="A156" s="3" t="s">
        <v>81</v>
      </c>
      <c r="B156" s="3" t="s">
        <v>15</v>
      </c>
      <c r="C156">
        <v>28</v>
      </c>
      <c r="D156" t="s">
        <v>13</v>
      </c>
      <c r="E156" s="4">
        <v>44486</v>
      </c>
      <c r="F156" s="3" t="s">
        <v>12</v>
      </c>
      <c r="G156" s="20">
        <v>104770</v>
      </c>
      <c r="H156" t="s">
        <v>206</v>
      </c>
      <c r="I156" s="5">
        <f ca="1">(TODAY()-staff[[#This Row],[Date Joined]])/365</f>
        <v>2.3835616438356166</v>
      </c>
      <c r="J156" s="20">
        <f ca="1">ROUND(IF(staff[[#This Row],[Tenure]]&gt;2,3%,2%)*staff[[#This Row],[Salary]],0)</f>
        <v>3143</v>
      </c>
      <c r="K156" s="19">
        <f>_xlfn.XLOOKUP(staff[[#This Row],[Rating]],Sheet8!$B$3:$B$7,Sheet8!$C$3:$C$7)</f>
        <v>3</v>
      </c>
    </row>
    <row r="157" spans="1:11" x14ac:dyDescent="0.3">
      <c r="A157" s="3" t="s">
        <v>82</v>
      </c>
      <c r="B157" s="3" t="s">
        <v>8</v>
      </c>
      <c r="C157">
        <v>27</v>
      </c>
      <c r="D157" t="s">
        <v>13</v>
      </c>
      <c r="E157" s="4">
        <v>44134</v>
      </c>
      <c r="F157" s="3" t="s">
        <v>9</v>
      </c>
      <c r="G157" s="20">
        <v>54970</v>
      </c>
      <c r="H157" t="s">
        <v>206</v>
      </c>
      <c r="I157" s="5">
        <f ca="1">(TODAY()-staff[[#This Row],[Date Joined]])/365</f>
        <v>3.3479452054794518</v>
      </c>
      <c r="J157" s="20">
        <f ca="1">ROUND(IF(staff[[#This Row],[Tenure]]&gt;2,3%,2%)*staff[[#This Row],[Salary]],0)</f>
        <v>1649</v>
      </c>
      <c r="K157" s="19">
        <f>_xlfn.XLOOKUP(staff[[#This Row],[Rating]],Sheet8!$B$3:$B$7,Sheet8!$C$3:$C$7)</f>
        <v>3</v>
      </c>
    </row>
    <row r="158" spans="1:11" x14ac:dyDescent="0.3">
      <c r="A158" s="3" t="s">
        <v>83</v>
      </c>
      <c r="B158" s="3" t="s">
        <v>205</v>
      </c>
      <c r="C158">
        <v>26</v>
      </c>
      <c r="D158" t="s">
        <v>10</v>
      </c>
      <c r="E158" s="4">
        <v>44271</v>
      </c>
      <c r="F158" s="3" t="s">
        <v>23</v>
      </c>
      <c r="G158" s="20">
        <v>90700</v>
      </c>
      <c r="H158" t="s">
        <v>206</v>
      </c>
      <c r="I158" s="5">
        <f ca="1">(TODAY()-staff[[#This Row],[Date Joined]])/365</f>
        <v>2.9726027397260273</v>
      </c>
      <c r="J158" s="20">
        <f ca="1">ROUND(IF(staff[[#This Row],[Tenure]]&gt;2,3%,2%)*staff[[#This Row],[Salary]],0)</f>
        <v>2721</v>
      </c>
      <c r="K158" s="19">
        <f>_xlfn.XLOOKUP(staff[[#This Row],[Rating]],Sheet8!$B$3:$B$7,Sheet8!$C$3:$C$7)</f>
        <v>4</v>
      </c>
    </row>
    <row r="159" spans="1:11" x14ac:dyDescent="0.3">
      <c r="A159" s="3" t="s">
        <v>84</v>
      </c>
      <c r="B159" s="3" t="s">
        <v>15</v>
      </c>
      <c r="C159">
        <v>38</v>
      </c>
      <c r="D159" t="s">
        <v>10</v>
      </c>
      <c r="E159" s="4">
        <v>44329</v>
      </c>
      <c r="F159" s="3" t="s">
        <v>9</v>
      </c>
      <c r="G159" s="20">
        <v>56870</v>
      </c>
      <c r="H159" t="s">
        <v>206</v>
      </c>
      <c r="I159" s="5">
        <f ca="1">(TODAY()-staff[[#This Row],[Date Joined]])/365</f>
        <v>2.8136986301369862</v>
      </c>
      <c r="J159" s="20">
        <f ca="1">ROUND(IF(staff[[#This Row],[Tenure]]&gt;2,3%,2%)*staff[[#This Row],[Salary]],0)</f>
        <v>1706</v>
      </c>
      <c r="K159" s="19">
        <f>_xlfn.XLOOKUP(staff[[#This Row],[Rating]],Sheet8!$B$3:$B$7,Sheet8!$C$3:$C$7)</f>
        <v>4</v>
      </c>
    </row>
    <row r="160" spans="1:11" x14ac:dyDescent="0.3">
      <c r="A160" s="3" t="s">
        <v>85</v>
      </c>
      <c r="B160" s="3" t="s">
        <v>15</v>
      </c>
      <c r="C160">
        <v>25</v>
      </c>
      <c r="D160" t="s">
        <v>13</v>
      </c>
      <c r="E160" s="4">
        <v>44205</v>
      </c>
      <c r="F160" s="3" t="s">
        <v>9</v>
      </c>
      <c r="G160" s="20">
        <v>92700</v>
      </c>
      <c r="H160" t="s">
        <v>206</v>
      </c>
      <c r="I160" s="5">
        <f ca="1">(TODAY()-staff[[#This Row],[Date Joined]])/365</f>
        <v>3.1534246575342464</v>
      </c>
      <c r="J160" s="20">
        <f ca="1">ROUND(IF(staff[[#This Row],[Tenure]]&gt;2,3%,2%)*staff[[#This Row],[Salary]],0)</f>
        <v>2781</v>
      </c>
      <c r="K160" s="19">
        <f>_xlfn.XLOOKUP(staff[[#This Row],[Rating]],Sheet8!$B$3:$B$7,Sheet8!$C$3:$C$7)</f>
        <v>3</v>
      </c>
    </row>
    <row r="161" spans="1:11" x14ac:dyDescent="0.3">
      <c r="A161" s="3" t="s">
        <v>86</v>
      </c>
      <c r="B161" s="3" t="s">
        <v>15</v>
      </c>
      <c r="C161">
        <v>21</v>
      </c>
      <c r="D161" t="s">
        <v>13</v>
      </c>
      <c r="E161" s="4">
        <v>44317</v>
      </c>
      <c r="F161" s="3" t="s">
        <v>17</v>
      </c>
      <c r="G161" s="20">
        <v>65920</v>
      </c>
      <c r="H161" t="s">
        <v>206</v>
      </c>
      <c r="I161" s="5">
        <f ca="1">(TODAY()-staff[[#This Row],[Date Joined]])/365</f>
        <v>2.8465753424657536</v>
      </c>
      <c r="J161" s="20">
        <f ca="1">ROUND(IF(staff[[#This Row],[Tenure]]&gt;2,3%,2%)*staff[[#This Row],[Salary]],0)</f>
        <v>1978</v>
      </c>
      <c r="K161" s="19">
        <f>_xlfn.XLOOKUP(staff[[#This Row],[Rating]],Sheet8!$B$3:$B$7,Sheet8!$C$3:$C$7)</f>
        <v>3</v>
      </c>
    </row>
    <row r="162" spans="1:11" x14ac:dyDescent="0.3">
      <c r="A162" s="3" t="s">
        <v>87</v>
      </c>
      <c r="B162" s="3" t="s">
        <v>8</v>
      </c>
      <c r="C162">
        <v>26</v>
      </c>
      <c r="D162" t="s">
        <v>13</v>
      </c>
      <c r="E162" s="4">
        <v>44225</v>
      </c>
      <c r="F162" s="3" t="s">
        <v>12</v>
      </c>
      <c r="G162" s="20">
        <v>47360</v>
      </c>
      <c r="H162" t="s">
        <v>206</v>
      </c>
      <c r="I162" s="5">
        <f ca="1">(TODAY()-staff[[#This Row],[Date Joined]])/365</f>
        <v>3.0986301369863014</v>
      </c>
      <c r="J162" s="20">
        <f ca="1">ROUND(IF(staff[[#This Row],[Tenure]]&gt;2,3%,2%)*staff[[#This Row],[Salary]],0)</f>
        <v>1421</v>
      </c>
      <c r="K162" s="19">
        <f>_xlfn.XLOOKUP(staff[[#This Row],[Rating]],Sheet8!$B$3:$B$7,Sheet8!$C$3:$C$7)</f>
        <v>3</v>
      </c>
    </row>
    <row r="163" spans="1:11" x14ac:dyDescent="0.3">
      <c r="A163" s="3" t="s">
        <v>88</v>
      </c>
      <c r="B163" s="3" t="s">
        <v>8</v>
      </c>
      <c r="C163">
        <v>30</v>
      </c>
      <c r="D163" t="s">
        <v>13</v>
      </c>
      <c r="E163" s="4">
        <v>44666</v>
      </c>
      <c r="F163" s="3" t="s">
        <v>12</v>
      </c>
      <c r="G163" s="20">
        <v>60570</v>
      </c>
      <c r="H163" t="s">
        <v>206</v>
      </c>
      <c r="I163" s="5">
        <f ca="1">(TODAY()-staff[[#This Row],[Date Joined]])/365</f>
        <v>1.8904109589041096</v>
      </c>
      <c r="J163" s="20">
        <f ca="1">ROUND(IF(staff[[#This Row],[Tenure]]&gt;2,3%,2%)*staff[[#This Row],[Salary]],0)</f>
        <v>1211</v>
      </c>
      <c r="K163" s="19">
        <f>_xlfn.XLOOKUP(staff[[#This Row],[Rating]],Sheet8!$B$3:$B$7,Sheet8!$C$3:$C$7)</f>
        <v>3</v>
      </c>
    </row>
    <row r="164" spans="1:11" x14ac:dyDescent="0.3">
      <c r="A164" s="3" t="s">
        <v>89</v>
      </c>
      <c r="B164" s="3" t="s">
        <v>15</v>
      </c>
      <c r="C164">
        <v>28</v>
      </c>
      <c r="D164" t="s">
        <v>13</v>
      </c>
      <c r="E164" s="4">
        <v>44649</v>
      </c>
      <c r="F164" s="3" t="s">
        <v>12</v>
      </c>
      <c r="G164" s="20">
        <v>104120</v>
      </c>
      <c r="H164" t="s">
        <v>206</v>
      </c>
      <c r="I164" s="5">
        <f ca="1">(TODAY()-staff[[#This Row],[Date Joined]])/365</f>
        <v>1.9369863013698629</v>
      </c>
      <c r="J164" s="20">
        <f ca="1">ROUND(IF(staff[[#This Row],[Tenure]]&gt;2,3%,2%)*staff[[#This Row],[Salary]],0)</f>
        <v>2082</v>
      </c>
      <c r="K164" s="19">
        <f>_xlfn.XLOOKUP(staff[[#This Row],[Rating]],Sheet8!$B$3:$B$7,Sheet8!$C$3:$C$7)</f>
        <v>3</v>
      </c>
    </row>
    <row r="165" spans="1:11" x14ac:dyDescent="0.3">
      <c r="A165" s="3" t="s">
        <v>90</v>
      </c>
      <c r="B165" s="3" t="s">
        <v>8</v>
      </c>
      <c r="C165">
        <v>37</v>
      </c>
      <c r="D165" t="s">
        <v>18</v>
      </c>
      <c r="E165" s="4">
        <v>44338</v>
      </c>
      <c r="F165" s="3" t="s">
        <v>23</v>
      </c>
      <c r="G165" s="20">
        <v>88050</v>
      </c>
      <c r="H165" t="s">
        <v>206</v>
      </c>
      <c r="I165" s="5">
        <f ca="1">(TODAY()-staff[[#This Row],[Date Joined]])/365</f>
        <v>2.7890410958904108</v>
      </c>
      <c r="J165" s="20">
        <f ca="1">ROUND(IF(staff[[#This Row],[Tenure]]&gt;2,3%,2%)*staff[[#This Row],[Salary]],0)</f>
        <v>2642</v>
      </c>
      <c r="K165" s="19">
        <f>_xlfn.XLOOKUP(staff[[#This Row],[Rating]],Sheet8!$B$3:$B$7,Sheet8!$C$3:$C$7)</f>
        <v>2</v>
      </c>
    </row>
    <row r="166" spans="1:11" x14ac:dyDescent="0.3">
      <c r="A166" s="3" t="s">
        <v>91</v>
      </c>
      <c r="B166" s="3" t="s">
        <v>8</v>
      </c>
      <c r="C166">
        <v>24</v>
      </c>
      <c r="D166" t="s">
        <v>13</v>
      </c>
      <c r="E166" s="4">
        <v>44686</v>
      </c>
      <c r="F166" s="3" t="s">
        <v>23</v>
      </c>
      <c r="G166" s="20">
        <v>100420</v>
      </c>
      <c r="H166" t="s">
        <v>206</v>
      </c>
      <c r="I166" s="5">
        <f ca="1">(TODAY()-staff[[#This Row],[Date Joined]])/365</f>
        <v>1.8356164383561644</v>
      </c>
      <c r="J166" s="20">
        <f ca="1">ROUND(IF(staff[[#This Row],[Tenure]]&gt;2,3%,2%)*staff[[#This Row],[Salary]],0)</f>
        <v>2008</v>
      </c>
      <c r="K166" s="19">
        <f>_xlfn.XLOOKUP(staff[[#This Row],[Rating]],Sheet8!$B$3:$B$7,Sheet8!$C$3:$C$7)</f>
        <v>3</v>
      </c>
    </row>
    <row r="167" spans="1:11" x14ac:dyDescent="0.3">
      <c r="A167" s="3" t="s">
        <v>92</v>
      </c>
      <c r="B167" s="3" t="s">
        <v>15</v>
      </c>
      <c r="C167">
        <v>30</v>
      </c>
      <c r="D167" t="s">
        <v>13</v>
      </c>
      <c r="E167" s="4">
        <v>44850</v>
      </c>
      <c r="F167" s="3" t="s">
        <v>12</v>
      </c>
      <c r="G167" s="20">
        <v>114180</v>
      </c>
      <c r="H167" t="s">
        <v>206</v>
      </c>
      <c r="I167" s="5">
        <f ca="1">(TODAY()-staff[[#This Row],[Date Joined]])/365</f>
        <v>1.3863013698630138</v>
      </c>
      <c r="J167" s="20">
        <f ca="1">ROUND(IF(staff[[#This Row],[Tenure]]&gt;2,3%,2%)*staff[[#This Row],[Salary]],0)</f>
        <v>2284</v>
      </c>
      <c r="K167" s="19">
        <f>_xlfn.XLOOKUP(staff[[#This Row],[Rating]],Sheet8!$B$3:$B$7,Sheet8!$C$3:$C$7)</f>
        <v>3</v>
      </c>
    </row>
    <row r="168" spans="1:11" x14ac:dyDescent="0.3">
      <c r="A168" s="3" t="s">
        <v>93</v>
      </c>
      <c r="B168" s="3" t="s">
        <v>15</v>
      </c>
      <c r="C168">
        <v>21</v>
      </c>
      <c r="D168" t="s">
        <v>13</v>
      </c>
      <c r="E168" s="4">
        <v>44678</v>
      </c>
      <c r="F168" s="3" t="s">
        <v>23</v>
      </c>
      <c r="G168" s="20">
        <v>33920</v>
      </c>
      <c r="H168" t="s">
        <v>206</v>
      </c>
      <c r="I168" s="5">
        <f ca="1">(TODAY()-staff[[#This Row],[Date Joined]])/365</f>
        <v>1.8575342465753424</v>
      </c>
      <c r="J168" s="20">
        <f ca="1">ROUND(IF(staff[[#This Row],[Tenure]]&gt;2,3%,2%)*staff[[#This Row],[Salary]],0)</f>
        <v>678</v>
      </c>
      <c r="K168" s="19">
        <f>_xlfn.XLOOKUP(staff[[#This Row],[Rating]],Sheet8!$B$3:$B$7,Sheet8!$C$3:$C$7)</f>
        <v>3</v>
      </c>
    </row>
    <row r="169" spans="1:11" x14ac:dyDescent="0.3">
      <c r="A169" s="3" t="s">
        <v>94</v>
      </c>
      <c r="B169" s="3" t="s">
        <v>8</v>
      </c>
      <c r="C169">
        <v>23</v>
      </c>
      <c r="D169" t="s">
        <v>13</v>
      </c>
      <c r="E169" s="4">
        <v>44440</v>
      </c>
      <c r="F169" s="3" t="s">
        <v>12</v>
      </c>
      <c r="G169" s="20">
        <v>106460</v>
      </c>
      <c r="H169" t="s">
        <v>206</v>
      </c>
      <c r="I169" s="5">
        <f ca="1">(TODAY()-staff[[#This Row],[Date Joined]])/365</f>
        <v>2.5095890410958903</v>
      </c>
      <c r="J169" s="20">
        <f ca="1">ROUND(IF(staff[[#This Row],[Tenure]]&gt;2,3%,2%)*staff[[#This Row],[Salary]],0)</f>
        <v>3194</v>
      </c>
      <c r="K169" s="19">
        <f>_xlfn.XLOOKUP(staff[[#This Row],[Rating]],Sheet8!$B$3:$B$7,Sheet8!$C$3:$C$7)</f>
        <v>3</v>
      </c>
    </row>
    <row r="170" spans="1:11" x14ac:dyDescent="0.3">
      <c r="A170" s="3" t="s">
        <v>95</v>
      </c>
      <c r="B170" s="3" t="s">
        <v>8</v>
      </c>
      <c r="C170">
        <v>35</v>
      </c>
      <c r="D170" t="s">
        <v>13</v>
      </c>
      <c r="E170" s="4">
        <v>44727</v>
      </c>
      <c r="F170" s="3" t="s">
        <v>12</v>
      </c>
      <c r="G170" s="20">
        <v>40400</v>
      </c>
      <c r="H170" t="s">
        <v>206</v>
      </c>
      <c r="I170" s="5">
        <f ca="1">(TODAY()-staff[[#This Row],[Date Joined]])/365</f>
        <v>1.7232876712328766</v>
      </c>
      <c r="J170" s="20">
        <f ca="1">ROUND(IF(staff[[#This Row],[Tenure]]&gt;2,3%,2%)*staff[[#This Row],[Salary]],0)</f>
        <v>808</v>
      </c>
      <c r="K170" s="19">
        <f>_xlfn.XLOOKUP(staff[[#This Row],[Rating]],Sheet8!$B$3:$B$7,Sheet8!$C$3:$C$7)</f>
        <v>3</v>
      </c>
    </row>
    <row r="171" spans="1:11" x14ac:dyDescent="0.3">
      <c r="A171" s="3" t="s">
        <v>96</v>
      </c>
      <c r="B171" s="3" t="s">
        <v>8</v>
      </c>
      <c r="C171">
        <v>27</v>
      </c>
      <c r="D171" t="s">
        <v>10</v>
      </c>
      <c r="E171" s="4">
        <v>44236</v>
      </c>
      <c r="F171" s="3" t="s">
        <v>17</v>
      </c>
      <c r="G171" s="20">
        <v>91650</v>
      </c>
      <c r="H171" t="s">
        <v>206</v>
      </c>
      <c r="I171" s="5">
        <f ca="1">(TODAY()-staff[[#This Row],[Date Joined]])/365</f>
        <v>3.0684931506849313</v>
      </c>
      <c r="J171" s="20">
        <f ca="1">ROUND(IF(staff[[#This Row],[Tenure]]&gt;2,3%,2%)*staff[[#This Row],[Salary]],0)</f>
        <v>2750</v>
      </c>
      <c r="K171" s="19">
        <f>_xlfn.XLOOKUP(staff[[#This Row],[Rating]],Sheet8!$B$3:$B$7,Sheet8!$C$3:$C$7)</f>
        <v>4</v>
      </c>
    </row>
    <row r="172" spans="1:11" x14ac:dyDescent="0.3">
      <c r="A172" s="3" t="s">
        <v>97</v>
      </c>
      <c r="B172" s="3" t="s">
        <v>8</v>
      </c>
      <c r="C172">
        <v>43</v>
      </c>
      <c r="D172" t="s">
        <v>13</v>
      </c>
      <c r="E172" s="4">
        <v>44620</v>
      </c>
      <c r="F172" s="3" t="s">
        <v>9</v>
      </c>
      <c r="G172" s="20">
        <v>36040</v>
      </c>
      <c r="H172" t="s">
        <v>206</v>
      </c>
      <c r="I172" s="5">
        <f ca="1">(TODAY()-staff[[#This Row],[Date Joined]])/365</f>
        <v>2.0164383561643837</v>
      </c>
      <c r="J172" s="20">
        <f ca="1">ROUND(IF(staff[[#This Row],[Tenure]]&gt;2,3%,2%)*staff[[#This Row],[Salary]],0)</f>
        <v>1081</v>
      </c>
      <c r="K172" s="19">
        <f>_xlfn.XLOOKUP(staff[[#This Row],[Rating]],Sheet8!$B$3:$B$7,Sheet8!$C$3:$C$7)</f>
        <v>3</v>
      </c>
    </row>
    <row r="173" spans="1:11" x14ac:dyDescent="0.3">
      <c r="A173" s="3" t="s">
        <v>98</v>
      </c>
      <c r="B173" s="3" t="s">
        <v>15</v>
      </c>
      <c r="C173">
        <v>40</v>
      </c>
      <c r="D173" t="s">
        <v>13</v>
      </c>
      <c r="E173" s="4">
        <v>44381</v>
      </c>
      <c r="F173" s="3" t="s">
        <v>23</v>
      </c>
      <c r="G173" s="20">
        <v>104410</v>
      </c>
      <c r="H173" t="s">
        <v>206</v>
      </c>
      <c r="I173" s="5">
        <f ca="1">(TODAY()-staff[[#This Row],[Date Joined]])/365</f>
        <v>2.6712328767123288</v>
      </c>
      <c r="J173" s="20">
        <f ca="1">ROUND(IF(staff[[#This Row],[Tenure]]&gt;2,3%,2%)*staff[[#This Row],[Salary]],0)</f>
        <v>3132</v>
      </c>
      <c r="K173" s="19">
        <f>_xlfn.XLOOKUP(staff[[#This Row],[Rating]],Sheet8!$B$3:$B$7,Sheet8!$C$3:$C$7)</f>
        <v>3</v>
      </c>
    </row>
    <row r="174" spans="1:11" x14ac:dyDescent="0.3">
      <c r="A174" s="3" t="s">
        <v>99</v>
      </c>
      <c r="B174" s="3" t="s">
        <v>8</v>
      </c>
      <c r="C174">
        <v>30</v>
      </c>
      <c r="D174" t="s">
        <v>13</v>
      </c>
      <c r="E174" s="4">
        <v>44606</v>
      </c>
      <c r="F174" s="3" t="s">
        <v>17</v>
      </c>
      <c r="G174" s="20">
        <v>96800</v>
      </c>
      <c r="H174" t="s">
        <v>206</v>
      </c>
      <c r="I174" s="5">
        <f ca="1">(TODAY()-staff[[#This Row],[Date Joined]])/365</f>
        <v>2.0547945205479454</v>
      </c>
      <c r="J174" s="20">
        <f ca="1">ROUND(IF(staff[[#This Row],[Tenure]]&gt;2,3%,2%)*staff[[#This Row],[Salary]],0)</f>
        <v>2904</v>
      </c>
      <c r="K174" s="19">
        <f>_xlfn.XLOOKUP(staff[[#This Row],[Rating]],Sheet8!$B$3:$B$7,Sheet8!$C$3:$C$7)</f>
        <v>3</v>
      </c>
    </row>
    <row r="175" spans="1:11" x14ac:dyDescent="0.3">
      <c r="A175" s="3" t="s">
        <v>100</v>
      </c>
      <c r="B175" s="3" t="s">
        <v>15</v>
      </c>
      <c r="C175">
        <v>34</v>
      </c>
      <c r="D175" t="s">
        <v>13</v>
      </c>
      <c r="E175" s="4">
        <v>44459</v>
      </c>
      <c r="F175" s="3" t="s">
        <v>17</v>
      </c>
      <c r="G175" s="20">
        <v>85000</v>
      </c>
      <c r="H175" t="s">
        <v>206</v>
      </c>
      <c r="I175" s="5">
        <f ca="1">(TODAY()-staff[[#This Row],[Date Joined]])/365</f>
        <v>2.4575342465753423</v>
      </c>
      <c r="J175" s="20">
        <f ca="1">ROUND(IF(staff[[#This Row],[Tenure]]&gt;2,3%,2%)*staff[[#This Row],[Salary]],0)</f>
        <v>2550</v>
      </c>
      <c r="K175" s="19">
        <f>_xlfn.XLOOKUP(staff[[#This Row],[Rating]],Sheet8!$B$3:$B$7,Sheet8!$C$3:$C$7)</f>
        <v>3</v>
      </c>
    </row>
    <row r="176" spans="1:11" x14ac:dyDescent="0.3">
      <c r="A176" s="3" t="s">
        <v>101</v>
      </c>
      <c r="B176" s="3" t="s">
        <v>8</v>
      </c>
      <c r="C176">
        <v>28</v>
      </c>
      <c r="D176" t="s">
        <v>49</v>
      </c>
      <c r="E176" s="4">
        <v>44820</v>
      </c>
      <c r="F176" s="3" t="s">
        <v>9</v>
      </c>
      <c r="G176" s="20">
        <v>43510</v>
      </c>
      <c r="H176" t="s">
        <v>206</v>
      </c>
      <c r="I176" s="5">
        <f ca="1">(TODAY()-staff[[#This Row],[Date Joined]])/365</f>
        <v>1.4684931506849315</v>
      </c>
      <c r="J176" s="20">
        <f ca="1">ROUND(IF(staff[[#This Row],[Tenure]]&gt;2,3%,2%)*staff[[#This Row],[Salary]],0)</f>
        <v>870</v>
      </c>
      <c r="K176" s="19">
        <f>_xlfn.XLOOKUP(staff[[#This Row],[Rating]],Sheet8!$B$3:$B$7,Sheet8!$C$3:$C$7)</f>
        <v>1</v>
      </c>
    </row>
    <row r="177" spans="1:11" x14ac:dyDescent="0.3">
      <c r="A177" s="3" t="s">
        <v>102</v>
      </c>
      <c r="B177" s="3" t="s">
        <v>8</v>
      </c>
      <c r="C177">
        <v>33</v>
      </c>
      <c r="D177" t="s">
        <v>13</v>
      </c>
      <c r="E177" s="4">
        <v>44243</v>
      </c>
      <c r="F177" s="3" t="s">
        <v>17</v>
      </c>
      <c r="G177" s="20">
        <v>59430</v>
      </c>
      <c r="H177" t="s">
        <v>206</v>
      </c>
      <c r="I177" s="5">
        <f ca="1">(TODAY()-staff[[#This Row],[Date Joined]])/365</f>
        <v>3.0493150684931507</v>
      </c>
      <c r="J177" s="20">
        <f ca="1">ROUND(IF(staff[[#This Row],[Tenure]]&gt;2,3%,2%)*staff[[#This Row],[Salary]],0)</f>
        <v>1783</v>
      </c>
      <c r="K177" s="19">
        <f>_xlfn.XLOOKUP(staff[[#This Row],[Rating]],Sheet8!$B$3:$B$7,Sheet8!$C$3:$C$7)</f>
        <v>3</v>
      </c>
    </row>
    <row r="178" spans="1:11" x14ac:dyDescent="0.3">
      <c r="A178" s="3" t="s">
        <v>103</v>
      </c>
      <c r="B178" s="3" t="s">
        <v>15</v>
      </c>
      <c r="C178">
        <v>33</v>
      </c>
      <c r="D178" t="s">
        <v>13</v>
      </c>
      <c r="E178" s="4">
        <v>44067</v>
      </c>
      <c r="F178" s="3" t="s">
        <v>17</v>
      </c>
      <c r="G178" s="20">
        <v>65360</v>
      </c>
      <c r="H178" t="s">
        <v>206</v>
      </c>
      <c r="I178" s="5">
        <f ca="1">(TODAY()-staff[[#This Row],[Date Joined]])/365</f>
        <v>3.5315068493150683</v>
      </c>
      <c r="J178" s="20">
        <f ca="1">ROUND(IF(staff[[#This Row],[Tenure]]&gt;2,3%,2%)*staff[[#This Row],[Salary]],0)</f>
        <v>1961</v>
      </c>
      <c r="K178" s="19">
        <f>_xlfn.XLOOKUP(staff[[#This Row],[Rating]],Sheet8!$B$3:$B$7,Sheet8!$C$3:$C$7)</f>
        <v>3</v>
      </c>
    </row>
    <row r="179" spans="1:11" x14ac:dyDescent="0.3">
      <c r="A179" s="3" t="s">
        <v>104</v>
      </c>
      <c r="B179" s="3" t="s">
        <v>15</v>
      </c>
      <c r="C179">
        <v>32</v>
      </c>
      <c r="D179" t="s">
        <v>13</v>
      </c>
      <c r="E179" s="4">
        <v>44611</v>
      </c>
      <c r="F179" s="3" t="s">
        <v>12</v>
      </c>
      <c r="G179" s="20">
        <v>41570</v>
      </c>
      <c r="H179" t="s">
        <v>206</v>
      </c>
      <c r="I179" s="5">
        <f ca="1">(TODAY()-staff[[#This Row],[Date Joined]])/365</f>
        <v>2.0410958904109591</v>
      </c>
      <c r="J179" s="20">
        <f ca="1">ROUND(IF(staff[[#This Row],[Tenure]]&gt;2,3%,2%)*staff[[#This Row],[Salary]],0)</f>
        <v>1247</v>
      </c>
      <c r="K179" s="19">
        <f>_xlfn.XLOOKUP(staff[[#This Row],[Rating]],Sheet8!$B$3:$B$7,Sheet8!$C$3:$C$7)</f>
        <v>3</v>
      </c>
    </row>
    <row r="180" spans="1:11" x14ac:dyDescent="0.3">
      <c r="A180" s="3" t="s">
        <v>105</v>
      </c>
      <c r="B180" s="3" t="s">
        <v>15</v>
      </c>
      <c r="C180">
        <v>33</v>
      </c>
      <c r="D180" t="s">
        <v>13</v>
      </c>
      <c r="E180" s="4">
        <v>44312</v>
      </c>
      <c r="F180" s="3" t="s">
        <v>23</v>
      </c>
      <c r="G180" s="20">
        <v>75280</v>
      </c>
      <c r="H180" t="s">
        <v>206</v>
      </c>
      <c r="I180" s="5">
        <f ca="1">(TODAY()-staff[[#This Row],[Date Joined]])/365</f>
        <v>2.8602739726027395</v>
      </c>
      <c r="J180" s="20">
        <f ca="1">ROUND(IF(staff[[#This Row],[Tenure]]&gt;2,3%,2%)*staff[[#This Row],[Salary]],0)</f>
        <v>2258</v>
      </c>
      <c r="K180" s="19">
        <f>_xlfn.XLOOKUP(staff[[#This Row],[Rating]],Sheet8!$B$3:$B$7,Sheet8!$C$3:$C$7)</f>
        <v>3</v>
      </c>
    </row>
    <row r="181" spans="1:11" x14ac:dyDescent="0.3">
      <c r="A181" s="3" t="s">
        <v>106</v>
      </c>
      <c r="B181" s="3" t="s">
        <v>8</v>
      </c>
      <c r="C181">
        <v>33</v>
      </c>
      <c r="D181" t="s">
        <v>13</v>
      </c>
      <c r="E181" s="4">
        <v>44385</v>
      </c>
      <c r="F181" s="3" t="s">
        <v>9</v>
      </c>
      <c r="G181" s="20">
        <v>74550</v>
      </c>
      <c r="H181" t="s">
        <v>206</v>
      </c>
      <c r="I181" s="5">
        <f ca="1">(TODAY()-staff[[#This Row],[Date Joined]])/365</f>
        <v>2.6602739726027398</v>
      </c>
      <c r="J181" s="20">
        <f ca="1">ROUND(IF(staff[[#This Row],[Tenure]]&gt;2,3%,2%)*staff[[#This Row],[Salary]],0)</f>
        <v>2237</v>
      </c>
      <c r="K181" s="19">
        <f>_xlfn.XLOOKUP(staff[[#This Row],[Rating]],Sheet8!$B$3:$B$7,Sheet8!$C$3:$C$7)</f>
        <v>3</v>
      </c>
    </row>
    <row r="182" spans="1:11" x14ac:dyDescent="0.3">
      <c r="A182" s="3" t="s">
        <v>107</v>
      </c>
      <c r="B182" s="3" t="s">
        <v>8</v>
      </c>
      <c r="C182">
        <v>30</v>
      </c>
      <c r="D182" t="s">
        <v>13</v>
      </c>
      <c r="E182" s="4">
        <v>44701</v>
      </c>
      <c r="F182" s="3" t="s">
        <v>12</v>
      </c>
      <c r="G182" s="20">
        <v>67950</v>
      </c>
      <c r="H182" t="s">
        <v>206</v>
      </c>
      <c r="I182" s="5">
        <f ca="1">(TODAY()-staff[[#This Row],[Date Joined]])/365</f>
        <v>1.7945205479452055</v>
      </c>
      <c r="J182" s="20">
        <f ca="1">ROUND(IF(staff[[#This Row],[Tenure]]&gt;2,3%,2%)*staff[[#This Row],[Salary]],0)</f>
        <v>1359</v>
      </c>
      <c r="K182" s="19">
        <f>_xlfn.XLOOKUP(staff[[#This Row],[Rating]],Sheet8!$B$3:$B$7,Sheet8!$C$3:$C$7)</f>
        <v>3</v>
      </c>
    </row>
    <row r="183" spans="1:11" x14ac:dyDescent="0.3">
      <c r="A183" s="3" t="s">
        <v>108</v>
      </c>
      <c r="B183" s="3" t="s">
        <v>8</v>
      </c>
      <c r="C183">
        <v>42</v>
      </c>
      <c r="D183" t="s">
        <v>18</v>
      </c>
      <c r="E183" s="4">
        <v>44731</v>
      </c>
      <c r="F183" s="3" t="s">
        <v>17</v>
      </c>
      <c r="G183" s="20">
        <v>70270</v>
      </c>
      <c r="H183" t="s">
        <v>206</v>
      </c>
      <c r="I183" s="5">
        <f ca="1">(TODAY()-staff[[#This Row],[Date Joined]])/365</f>
        <v>1.7123287671232876</v>
      </c>
      <c r="J183" s="20">
        <f ca="1">ROUND(IF(staff[[#This Row],[Tenure]]&gt;2,3%,2%)*staff[[#This Row],[Salary]],0)</f>
        <v>1405</v>
      </c>
      <c r="K183" s="19">
        <f>_xlfn.XLOOKUP(staff[[#This Row],[Rating]],Sheet8!$B$3:$B$7,Sheet8!$C$3:$C$7)</f>
        <v>2</v>
      </c>
    </row>
    <row r="184" spans="1:11" x14ac:dyDescent="0.3">
      <c r="A184" s="3" t="s">
        <v>109</v>
      </c>
      <c r="B184" s="3" t="s">
        <v>8</v>
      </c>
      <c r="C184">
        <v>26</v>
      </c>
      <c r="D184" t="s">
        <v>13</v>
      </c>
      <c r="E184" s="4">
        <v>44411</v>
      </c>
      <c r="F184" s="3" t="s">
        <v>12</v>
      </c>
      <c r="G184" s="20">
        <v>53540</v>
      </c>
      <c r="H184" t="s">
        <v>206</v>
      </c>
      <c r="I184" s="5">
        <f ca="1">(TODAY()-staff[[#This Row],[Date Joined]])/365</f>
        <v>2.5890410958904111</v>
      </c>
      <c r="J184" s="20">
        <f ca="1">ROUND(IF(staff[[#This Row],[Tenure]]&gt;2,3%,2%)*staff[[#This Row],[Salary]],0)</f>
        <v>1606</v>
      </c>
      <c r="K184" s="19">
        <f>_xlfn.XLOOKUP(staff[[#This Row],[Rating]],Sheet8!$B$3:$B$7,Sheet8!$C$3:$C$7)</f>
        <v>3</v>
      </c>
    </row>
  </sheetData>
  <conditionalFormatting sqref="G1:G1048576">
    <cfRule type="colorScale" priority="1">
      <colorScale>
        <cfvo type="min"/>
        <cfvo type="percentile" val="50"/>
        <cfvo type="max"/>
        <color rgb="FF5A8AC6"/>
        <color rgb="FFFCFCFF"/>
        <color rgb="FFF8696B"/>
      </colorScale>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EE3F-D2C0-47F9-8992-A7AFF061AC50}">
  <sheetPr>
    <tabColor theme="5" tint="-0.249977111117893"/>
  </sheetPr>
  <dimension ref="B4:L37"/>
  <sheetViews>
    <sheetView workbookViewId="0">
      <selection activeCell="B4" sqref="B4"/>
    </sheetView>
  </sheetViews>
  <sheetFormatPr defaultRowHeight="14.4" x14ac:dyDescent="0.3"/>
  <cols>
    <col min="2" max="2" width="16.21875" bestFit="1" customWidth="1"/>
    <col min="3" max="3" width="16.77734375" customWidth="1"/>
  </cols>
  <sheetData>
    <row r="4" spans="2:12" x14ac:dyDescent="0.3">
      <c r="B4" s="7">
        <v>3</v>
      </c>
      <c r="C4" t="s">
        <v>219</v>
      </c>
    </row>
    <row r="6" spans="2:12" x14ac:dyDescent="0.3">
      <c r="B6" s="14" t="s">
        <v>220</v>
      </c>
      <c r="C6" s="15" t="s">
        <v>9</v>
      </c>
    </row>
    <row r="8" spans="2:12" x14ac:dyDescent="0.3">
      <c r="B8" t="s">
        <v>221</v>
      </c>
      <c r="C8">
        <f>COUNTIFS(staff[Department],C6)</f>
        <v>28</v>
      </c>
    </row>
    <row r="10" spans="2:12" x14ac:dyDescent="0.3">
      <c r="B10" t="str" cm="1">
        <f t="array" aca="1" ref="B10:L37" ca="1">_xlfn._xlws.SORT(_xlfn._xlws.FILTER(staff[],staff[Department]=C6),7,-1)</f>
        <v>Krishnakanta Vellanki</v>
      </c>
      <c r="C10" t="str">
        <f ca="1"/>
        <v>Male</v>
      </c>
      <c r="D10">
        <f ca="1"/>
        <v>22</v>
      </c>
      <c r="E10" t="str">
        <f ca="1"/>
        <v>Above average</v>
      </c>
      <c r="F10">
        <f ca="1"/>
        <v>44384</v>
      </c>
      <c r="G10" t="str">
        <f ca="1"/>
        <v>Sales</v>
      </c>
      <c r="H10">
        <f ca="1"/>
        <v>112780</v>
      </c>
      <c r="I10" t="str">
        <f ca="1"/>
        <v>ind</v>
      </c>
      <c r="J10">
        <f ca="1"/>
        <v>2.6630136986301371</v>
      </c>
      <c r="K10">
        <f ca="1"/>
        <v>3383</v>
      </c>
      <c r="L10">
        <f ca="1"/>
        <v>4</v>
      </c>
    </row>
    <row r="11" spans="2:12" x14ac:dyDescent="0.3">
      <c r="B11" t="str">
        <f ca="1"/>
        <v>Lindy Guillet</v>
      </c>
      <c r="C11" t="str">
        <f ca="1"/>
        <v>Male</v>
      </c>
      <c r="D11">
        <f ca="1"/>
        <v>22</v>
      </c>
      <c r="E11" t="str">
        <f ca="1"/>
        <v>Above average</v>
      </c>
      <c r="F11">
        <f ca="1"/>
        <v>44446</v>
      </c>
      <c r="G11" t="str">
        <f ca="1"/>
        <v>Sales</v>
      </c>
      <c r="H11">
        <f ca="1"/>
        <v>112780</v>
      </c>
      <c r="I11" t="str">
        <f ca="1"/>
        <v>nz</v>
      </c>
      <c r="J11">
        <f ca="1"/>
        <v>2.493150684931507</v>
      </c>
      <c r="K11">
        <f ca="1"/>
        <v>3383</v>
      </c>
      <c r="L11">
        <f ca="1"/>
        <v>4</v>
      </c>
    </row>
    <row r="12" spans="2:12" x14ac:dyDescent="0.3">
      <c r="B12" t="str">
        <f ca="1"/>
        <v>Sawini Chandan</v>
      </c>
      <c r="C12" t="str">
        <f ca="1"/>
        <v>Female</v>
      </c>
      <c r="D12">
        <f ca="1"/>
        <v>38</v>
      </c>
      <c r="E12" t="str">
        <f ca="1"/>
        <v>Exceptional</v>
      </c>
      <c r="F12">
        <f ca="1"/>
        <v>44316</v>
      </c>
      <c r="G12" t="str">
        <f ca="1"/>
        <v>Sales</v>
      </c>
      <c r="H12">
        <f ca="1"/>
        <v>109160</v>
      </c>
      <c r="I12" t="str">
        <f ca="1"/>
        <v>ind</v>
      </c>
      <c r="J12">
        <f ca="1"/>
        <v>2.8493150684931505</v>
      </c>
      <c r="K12">
        <f ca="1"/>
        <v>3275</v>
      </c>
      <c r="L12">
        <f ca="1"/>
        <v>5</v>
      </c>
    </row>
    <row r="13" spans="2:12" x14ac:dyDescent="0.3">
      <c r="B13" t="str">
        <f ca="1"/>
        <v>Rafaelita Blaksland</v>
      </c>
      <c r="C13" t="str">
        <f ca="1"/>
        <v>Female</v>
      </c>
      <c r="D13">
        <f ca="1"/>
        <v>38</v>
      </c>
      <c r="E13" t="str">
        <f ca="1"/>
        <v>Exceptional</v>
      </c>
      <c r="F13">
        <f ca="1"/>
        <v>44377</v>
      </c>
      <c r="G13" t="str">
        <f ca="1"/>
        <v>Sales</v>
      </c>
      <c r="H13">
        <f ca="1"/>
        <v>109160</v>
      </c>
      <c r="I13" t="str">
        <f ca="1"/>
        <v>nz</v>
      </c>
      <c r="J13">
        <f ca="1"/>
        <v>2.6821917808219178</v>
      </c>
      <c r="K13">
        <f ca="1"/>
        <v>3275</v>
      </c>
      <c r="L13">
        <f ca="1"/>
        <v>5</v>
      </c>
    </row>
    <row r="14" spans="2:12" x14ac:dyDescent="0.3">
      <c r="B14" t="str">
        <f ca="1"/>
        <v>Purnendu Vijayarangan</v>
      </c>
      <c r="C14" t="str">
        <f ca="1"/>
        <v>Female</v>
      </c>
      <c r="D14">
        <f ca="1"/>
        <v>25</v>
      </c>
      <c r="E14" t="str">
        <f ca="1"/>
        <v>Average</v>
      </c>
      <c r="F14">
        <f ca="1"/>
        <v>44144</v>
      </c>
      <c r="G14" t="str">
        <f ca="1"/>
        <v>Sales</v>
      </c>
      <c r="H14">
        <f ca="1"/>
        <v>92700</v>
      </c>
      <c r="I14" t="str">
        <f ca="1"/>
        <v>ind</v>
      </c>
      <c r="J14">
        <f ca="1"/>
        <v>3.3205479452054796</v>
      </c>
      <c r="K14">
        <f ca="1"/>
        <v>2781</v>
      </c>
      <c r="L14">
        <f ca="1"/>
        <v>3</v>
      </c>
    </row>
    <row r="15" spans="2:12" x14ac:dyDescent="0.3">
      <c r="B15" t="str">
        <f ca="1"/>
        <v>Hinda Label</v>
      </c>
      <c r="C15" t="str">
        <f ca="1"/>
        <v>Female</v>
      </c>
      <c r="D15">
        <f ca="1"/>
        <v>25</v>
      </c>
      <c r="E15" t="str">
        <f ca="1"/>
        <v>Average</v>
      </c>
      <c r="F15">
        <f ca="1"/>
        <v>44205</v>
      </c>
      <c r="G15" t="str">
        <f ca="1"/>
        <v>Sales</v>
      </c>
      <c r="H15">
        <f ca="1"/>
        <v>92700</v>
      </c>
      <c r="I15" t="str">
        <f ca="1"/>
        <v>nz</v>
      </c>
      <c r="J15">
        <f ca="1"/>
        <v>3.1534246575342464</v>
      </c>
      <c r="K15">
        <f ca="1"/>
        <v>2781</v>
      </c>
      <c r="L15">
        <f ca="1"/>
        <v>3</v>
      </c>
    </row>
    <row r="16" spans="2:12" x14ac:dyDescent="0.3">
      <c r="B16" t="str">
        <f ca="1"/>
        <v>Shulabh Qutub Sundaramoorthy</v>
      </c>
      <c r="C16" t="str">
        <f ca="1"/>
        <v>Female</v>
      </c>
      <c r="D16">
        <f ca="1"/>
        <v>36</v>
      </c>
      <c r="E16" t="str">
        <f ca="1"/>
        <v>Average</v>
      </c>
      <c r="F16">
        <f ca="1"/>
        <v>44433</v>
      </c>
      <c r="G16" t="str">
        <f ca="1"/>
        <v>Sales</v>
      </c>
      <c r="H16">
        <f ca="1"/>
        <v>78540</v>
      </c>
      <c r="I16" t="str">
        <f ca="1"/>
        <v>ind</v>
      </c>
      <c r="J16">
        <f ca="1"/>
        <v>2.5287671232876714</v>
      </c>
      <c r="K16">
        <f ca="1"/>
        <v>2356</v>
      </c>
      <c r="L16">
        <f ca="1"/>
        <v>3</v>
      </c>
    </row>
    <row r="17" spans="2:12" x14ac:dyDescent="0.3">
      <c r="B17" t="str">
        <f ca="1"/>
        <v>Gray Seamon</v>
      </c>
      <c r="C17" t="str">
        <f ca="1"/>
        <v>Female</v>
      </c>
      <c r="D17">
        <f ca="1"/>
        <v>36</v>
      </c>
      <c r="E17" t="str">
        <f ca="1"/>
        <v>Average</v>
      </c>
      <c r="F17">
        <f ca="1"/>
        <v>44494</v>
      </c>
      <c r="G17" t="str">
        <f ca="1"/>
        <v>Sales</v>
      </c>
      <c r="H17">
        <f ca="1"/>
        <v>78540</v>
      </c>
      <c r="I17" t="str">
        <f ca="1"/>
        <v>nz</v>
      </c>
      <c r="J17">
        <f ca="1"/>
        <v>2.3616438356164382</v>
      </c>
      <c r="K17">
        <f ca="1"/>
        <v>2356</v>
      </c>
      <c r="L17">
        <f ca="1"/>
        <v>3</v>
      </c>
    </row>
    <row r="18" spans="2:12" x14ac:dyDescent="0.3">
      <c r="B18" t="str">
        <f ca="1"/>
        <v>Yauvani Tarpa</v>
      </c>
      <c r="C18" t="str">
        <f ca="1"/>
        <v>Male</v>
      </c>
      <c r="D18">
        <f ca="1"/>
        <v>33</v>
      </c>
      <c r="E18" t="str">
        <f ca="1"/>
        <v>Average</v>
      </c>
      <c r="F18">
        <f ca="1"/>
        <v>44324</v>
      </c>
      <c r="G18" t="str">
        <f ca="1"/>
        <v>Sales</v>
      </c>
      <c r="H18">
        <f ca="1"/>
        <v>74550</v>
      </c>
      <c r="I18" t="str">
        <f ca="1"/>
        <v>ind</v>
      </c>
      <c r="J18">
        <f ca="1"/>
        <v>2.8273972602739725</v>
      </c>
      <c r="K18">
        <f ca="1"/>
        <v>2237</v>
      </c>
      <c r="L18">
        <f ca="1"/>
        <v>3</v>
      </c>
    </row>
    <row r="19" spans="2:12" x14ac:dyDescent="0.3">
      <c r="B19" t="str">
        <f ca="1"/>
        <v>Gigi Bohling</v>
      </c>
      <c r="C19" t="str">
        <f ca="1"/>
        <v>Male</v>
      </c>
      <c r="D19">
        <f ca="1"/>
        <v>33</v>
      </c>
      <c r="E19" t="str">
        <f ca="1"/>
        <v>Average</v>
      </c>
      <c r="F19">
        <f ca="1"/>
        <v>44385</v>
      </c>
      <c r="G19" t="str">
        <f ca="1"/>
        <v>Sales</v>
      </c>
      <c r="H19">
        <f ca="1"/>
        <v>74550</v>
      </c>
      <c r="I19" t="str">
        <f ca="1"/>
        <v>nz</v>
      </c>
      <c r="J19">
        <f ca="1"/>
        <v>2.6602739726027398</v>
      </c>
      <c r="K19">
        <f ca="1"/>
        <v>2237</v>
      </c>
      <c r="L19">
        <f ca="1"/>
        <v>3</v>
      </c>
    </row>
    <row r="20" spans="2:12" x14ac:dyDescent="0.3">
      <c r="B20" t="str">
        <f ca="1"/>
        <v>Devasree Fullara Saurin</v>
      </c>
      <c r="C20" t="str">
        <f ca="1"/>
        <v>Female</v>
      </c>
      <c r="D20">
        <f ca="1"/>
        <v>20</v>
      </c>
      <c r="E20" t="str">
        <f ca="1"/>
        <v>Poor</v>
      </c>
      <c r="F20">
        <f ca="1"/>
        <v>44476</v>
      </c>
      <c r="G20" t="str">
        <f ca="1"/>
        <v>Sales</v>
      </c>
      <c r="H20">
        <f ca="1"/>
        <v>68900</v>
      </c>
      <c r="I20" t="str">
        <f ca="1"/>
        <v>ind</v>
      </c>
      <c r="J20">
        <f ca="1"/>
        <v>2.4109589041095889</v>
      </c>
      <c r="K20">
        <f ca="1"/>
        <v>2067</v>
      </c>
      <c r="L20">
        <f ca="1"/>
        <v>2</v>
      </c>
    </row>
    <row r="21" spans="2:12" x14ac:dyDescent="0.3">
      <c r="B21" t="str">
        <f ca="1"/>
        <v>Hyacinthie Braybrooke</v>
      </c>
      <c r="C21" t="str">
        <f ca="1"/>
        <v>Female</v>
      </c>
      <c r="D21">
        <f ca="1"/>
        <v>20</v>
      </c>
      <c r="E21" t="str">
        <f ca="1"/>
        <v>Poor</v>
      </c>
      <c r="F21">
        <f ca="1"/>
        <v>44537</v>
      </c>
      <c r="G21" t="str">
        <f ca="1"/>
        <v>Sales</v>
      </c>
      <c r="H21">
        <f ca="1"/>
        <v>68900</v>
      </c>
      <c r="I21" t="str">
        <f ca="1"/>
        <v>nz</v>
      </c>
      <c r="J21">
        <f ca="1"/>
        <v>2.2438356164383562</v>
      </c>
      <c r="K21">
        <f ca="1"/>
        <v>2067</v>
      </c>
      <c r="L21">
        <f ca="1"/>
        <v>2</v>
      </c>
    </row>
    <row r="22" spans="2:12" x14ac:dyDescent="0.3">
      <c r="B22" t="str">
        <f ca="1"/>
        <v>Abhaya Priyavardhan</v>
      </c>
      <c r="C22" t="str">
        <f ca="1"/>
        <v>Male</v>
      </c>
      <c r="D22">
        <f ca="1"/>
        <v>25</v>
      </c>
      <c r="E22" t="str">
        <f ca="1"/>
        <v>Average</v>
      </c>
      <c r="F22">
        <f ca="1"/>
        <v>44322</v>
      </c>
      <c r="G22" t="str">
        <f ca="1"/>
        <v>Sales</v>
      </c>
      <c r="H22">
        <f ca="1"/>
        <v>65700</v>
      </c>
      <c r="I22" t="str">
        <f ca="1"/>
        <v>ind</v>
      </c>
      <c r="J22">
        <f ca="1"/>
        <v>2.8328767123287673</v>
      </c>
      <c r="K22">
        <f ca="1"/>
        <v>1971</v>
      </c>
      <c r="L22">
        <f ca="1"/>
        <v>3</v>
      </c>
    </row>
    <row r="23" spans="2:12" x14ac:dyDescent="0.3">
      <c r="B23" t="str">
        <f ca="1"/>
        <v>Kath Bletsoe</v>
      </c>
      <c r="C23" t="str">
        <f ca="1"/>
        <v>Male</v>
      </c>
      <c r="D23">
        <f ca="1"/>
        <v>25</v>
      </c>
      <c r="E23" t="str">
        <f ca="1"/>
        <v>Average</v>
      </c>
      <c r="F23">
        <f ca="1"/>
        <v>44383</v>
      </c>
      <c r="G23" t="str">
        <f ca="1"/>
        <v>Sales</v>
      </c>
      <c r="H23">
        <f ca="1"/>
        <v>65700</v>
      </c>
      <c r="I23" t="str">
        <f ca="1"/>
        <v>nz</v>
      </c>
      <c r="J23">
        <f ca="1"/>
        <v>2.6657534246575341</v>
      </c>
      <c r="K23">
        <f ca="1"/>
        <v>1971</v>
      </c>
      <c r="L23">
        <f ca="1"/>
        <v>3</v>
      </c>
    </row>
    <row r="24" spans="2:12" x14ac:dyDescent="0.3">
      <c r="B24" t="str">
        <f ca="1"/>
        <v>Mirium Seemantini Shivakumar</v>
      </c>
      <c r="C24" t="str">
        <f ca="1"/>
        <v>Female</v>
      </c>
      <c r="D24">
        <f ca="1"/>
        <v>38</v>
      </c>
      <c r="E24" t="str">
        <f ca="1"/>
        <v>Above average</v>
      </c>
      <c r="F24">
        <f ca="1"/>
        <v>44268</v>
      </c>
      <c r="G24" t="str">
        <f ca="1"/>
        <v>Sales</v>
      </c>
      <c r="H24">
        <f ca="1"/>
        <v>56870</v>
      </c>
      <c r="I24" t="str">
        <f ca="1"/>
        <v>ind</v>
      </c>
      <c r="J24">
        <f ca="1"/>
        <v>2.9808219178082194</v>
      </c>
      <c r="K24">
        <f ca="1"/>
        <v>1706</v>
      </c>
      <c r="L24">
        <f ca="1"/>
        <v>4</v>
      </c>
    </row>
    <row r="25" spans="2:12" x14ac:dyDescent="0.3">
      <c r="B25" t="str">
        <f ca="1"/>
        <v>Oran Buxcy</v>
      </c>
      <c r="C25" t="str">
        <f ca="1"/>
        <v>Female</v>
      </c>
      <c r="D25">
        <f ca="1"/>
        <v>38</v>
      </c>
      <c r="E25" t="str">
        <f ca="1"/>
        <v>Above average</v>
      </c>
      <c r="F25">
        <f ca="1"/>
        <v>44329</v>
      </c>
      <c r="G25" t="str">
        <f ca="1"/>
        <v>Sales</v>
      </c>
      <c r="H25">
        <f ca="1"/>
        <v>56870</v>
      </c>
      <c r="I25" t="str">
        <f ca="1"/>
        <v>nz</v>
      </c>
      <c r="J25">
        <f ca="1"/>
        <v>2.8136986301369862</v>
      </c>
      <c r="K25">
        <f ca="1"/>
        <v>1706</v>
      </c>
      <c r="L25">
        <f ca="1"/>
        <v>4</v>
      </c>
    </row>
    <row r="26" spans="2:12" x14ac:dyDescent="0.3">
      <c r="B26" t="str">
        <f ca="1"/>
        <v>Sanchali Shirish</v>
      </c>
      <c r="C26" t="str">
        <f ca="1"/>
        <v>Male</v>
      </c>
      <c r="D26">
        <f ca="1"/>
        <v>27</v>
      </c>
      <c r="E26" t="str">
        <f ca="1"/>
        <v>Average</v>
      </c>
      <c r="F26">
        <f ca="1"/>
        <v>44073</v>
      </c>
      <c r="G26" t="str">
        <f ca="1"/>
        <v>Sales</v>
      </c>
      <c r="H26">
        <f ca="1"/>
        <v>54970</v>
      </c>
      <c r="I26" t="str">
        <f ca="1"/>
        <v>ind</v>
      </c>
      <c r="J26">
        <f ca="1"/>
        <v>3.515068493150685</v>
      </c>
      <c r="K26">
        <f ca="1"/>
        <v>1649</v>
      </c>
      <c r="L26">
        <f ca="1"/>
        <v>3</v>
      </c>
    </row>
    <row r="27" spans="2:12" x14ac:dyDescent="0.3">
      <c r="B27" t="str">
        <f ca="1"/>
        <v>Alta Kaszper</v>
      </c>
      <c r="C27" t="str">
        <f ca="1"/>
        <v>Male</v>
      </c>
      <c r="D27">
        <f ca="1"/>
        <v>27</v>
      </c>
      <c r="E27" t="str">
        <f ca="1"/>
        <v>Average</v>
      </c>
      <c r="F27">
        <f ca="1"/>
        <v>44134</v>
      </c>
      <c r="G27" t="str">
        <f ca="1"/>
        <v>Sales</v>
      </c>
      <c r="H27">
        <f ca="1"/>
        <v>54970</v>
      </c>
      <c r="I27" t="str">
        <f ca="1"/>
        <v>nz</v>
      </c>
      <c r="J27">
        <f ca="1"/>
        <v>3.3479452054794518</v>
      </c>
      <c r="K27">
        <f ca="1"/>
        <v>1649</v>
      </c>
      <c r="L27">
        <f ca="1"/>
        <v>3</v>
      </c>
    </row>
    <row r="28" spans="2:12" x14ac:dyDescent="0.3">
      <c r="B28" t="str">
        <f ca="1"/>
        <v>Geena Raghavanpillai</v>
      </c>
      <c r="C28" t="str">
        <f ca="1"/>
        <v>Male</v>
      </c>
      <c r="D28">
        <f ca="1"/>
        <v>32</v>
      </c>
      <c r="E28" t="str">
        <f ca="1"/>
        <v>Average</v>
      </c>
      <c r="F28">
        <f ca="1"/>
        <v>44403</v>
      </c>
      <c r="G28" t="str">
        <f ca="1"/>
        <v>Sales</v>
      </c>
      <c r="H28">
        <f ca="1"/>
        <v>53540</v>
      </c>
      <c r="I28" t="str">
        <f ca="1"/>
        <v>ind</v>
      </c>
      <c r="J28">
        <f ca="1"/>
        <v>2.6109589041095891</v>
      </c>
      <c r="K28">
        <f ca="1"/>
        <v>1606</v>
      </c>
      <c r="L28">
        <f ca="1"/>
        <v>3</v>
      </c>
    </row>
    <row r="29" spans="2:12" x14ac:dyDescent="0.3">
      <c r="B29" t="str">
        <f ca="1"/>
        <v>Hoyt D'Alesco</v>
      </c>
      <c r="C29" t="str">
        <f ca="1"/>
        <v>Male</v>
      </c>
      <c r="D29">
        <f ca="1"/>
        <v>32</v>
      </c>
      <c r="E29" t="str">
        <f ca="1"/>
        <v>Average</v>
      </c>
      <c r="F29">
        <f ca="1"/>
        <v>44465</v>
      </c>
      <c r="G29" t="str">
        <f ca="1"/>
        <v>Sales</v>
      </c>
      <c r="H29">
        <f ca="1"/>
        <v>53540</v>
      </c>
      <c r="I29" t="str">
        <f ca="1"/>
        <v>nz</v>
      </c>
      <c r="J29">
        <f ca="1"/>
        <v>2.441095890410959</v>
      </c>
      <c r="K29">
        <f ca="1"/>
        <v>1606</v>
      </c>
      <c r="L29">
        <f ca="1"/>
        <v>3</v>
      </c>
    </row>
    <row r="30" spans="2:12" x14ac:dyDescent="0.3">
      <c r="B30" t="str">
        <f ca="1"/>
        <v>Anumati Shyamari Meherhomji</v>
      </c>
      <c r="C30" t="str">
        <f ca="1"/>
        <v>Female</v>
      </c>
      <c r="D30">
        <f ca="1"/>
        <v>28</v>
      </c>
      <c r="E30" t="str">
        <f ca="1"/>
        <v>Average</v>
      </c>
      <c r="F30">
        <f ca="1"/>
        <v>44296</v>
      </c>
      <c r="G30" t="str">
        <f ca="1"/>
        <v>Sales</v>
      </c>
      <c r="H30">
        <f ca="1"/>
        <v>53240</v>
      </c>
      <c r="I30" t="str">
        <f ca="1"/>
        <v>ind</v>
      </c>
      <c r="J30">
        <f ca="1"/>
        <v>2.904109589041096</v>
      </c>
      <c r="K30">
        <f ca="1"/>
        <v>1597</v>
      </c>
      <c r="L30">
        <f ca="1"/>
        <v>3</v>
      </c>
    </row>
    <row r="31" spans="2:12" x14ac:dyDescent="0.3">
      <c r="B31" t="str">
        <f ca="1"/>
        <v>Tatum Hush</v>
      </c>
      <c r="C31" t="str">
        <f ca="1"/>
        <v>Female</v>
      </c>
      <c r="D31">
        <f ca="1"/>
        <v>28</v>
      </c>
      <c r="E31" t="str">
        <f ca="1"/>
        <v>Average</v>
      </c>
      <c r="F31">
        <f ca="1"/>
        <v>44357</v>
      </c>
      <c r="G31" t="str">
        <f ca="1"/>
        <v>Sales</v>
      </c>
      <c r="H31">
        <f ca="1"/>
        <v>53240</v>
      </c>
      <c r="I31" t="str">
        <f ca="1"/>
        <v>nz</v>
      </c>
      <c r="J31">
        <f ca="1"/>
        <v>2.7369863013698632</v>
      </c>
      <c r="K31">
        <f ca="1"/>
        <v>1597</v>
      </c>
      <c r="L31">
        <f ca="1"/>
        <v>3</v>
      </c>
    </row>
    <row r="32" spans="2:12" x14ac:dyDescent="0.3">
      <c r="B32" t="str">
        <f ca="1"/>
        <v>Daruka Ghazali</v>
      </c>
      <c r="C32" t="str">
        <f ca="1"/>
        <v>Female</v>
      </c>
      <c r="D32">
        <f ca="1"/>
        <v>34</v>
      </c>
      <c r="E32" t="str">
        <f ca="1"/>
        <v>Poor</v>
      </c>
      <c r="F32">
        <f ca="1"/>
        <v>44660</v>
      </c>
      <c r="G32" t="str">
        <f ca="1"/>
        <v>Sales</v>
      </c>
      <c r="H32">
        <f ca="1"/>
        <v>49630</v>
      </c>
      <c r="I32" t="str">
        <f ca="1"/>
        <v>ind</v>
      </c>
      <c r="J32">
        <f ca="1"/>
        <v>1.9068493150684931</v>
      </c>
      <c r="K32">
        <f ca="1"/>
        <v>993</v>
      </c>
      <c r="L32">
        <f ca="1"/>
        <v>2</v>
      </c>
    </row>
    <row r="33" spans="2:12" x14ac:dyDescent="0.3">
      <c r="B33" t="str">
        <f ca="1"/>
        <v>Violante Courtonne</v>
      </c>
      <c r="C33" t="str">
        <f ca="1"/>
        <v>Female</v>
      </c>
      <c r="D33">
        <f ca="1"/>
        <v>34</v>
      </c>
      <c r="E33" t="str">
        <f ca="1"/>
        <v>Poor</v>
      </c>
      <c r="F33">
        <f ca="1"/>
        <v>44721</v>
      </c>
      <c r="G33" t="str">
        <f ca="1"/>
        <v>Sales</v>
      </c>
      <c r="H33">
        <f ca="1"/>
        <v>49630</v>
      </c>
      <c r="I33" t="str">
        <f ca="1"/>
        <v>nz</v>
      </c>
      <c r="J33">
        <f ca="1"/>
        <v>1.7397260273972603</v>
      </c>
      <c r="K33">
        <f ca="1"/>
        <v>993</v>
      </c>
      <c r="L33">
        <f ca="1"/>
        <v>2</v>
      </c>
    </row>
    <row r="34" spans="2:12" x14ac:dyDescent="0.3">
      <c r="B34" t="str">
        <f ca="1"/>
        <v>Rupak Mehra</v>
      </c>
      <c r="C34" t="str">
        <f ca="1"/>
        <v>Male</v>
      </c>
      <c r="D34">
        <f ca="1"/>
        <v>28</v>
      </c>
      <c r="E34" t="str">
        <f ca="1"/>
        <v>Very poor</v>
      </c>
      <c r="F34">
        <f ca="1"/>
        <v>44758</v>
      </c>
      <c r="G34" t="str">
        <f ca="1"/>
        <v>Sales</v>
      </c>
      <c r="H34">
        <f ca="1"/>
        <v>43510</v>
      </c>
      <c r="I34" t="str">
        <f ca="1"/>
        <v>ind</v>
      </c>
      <c r="J34">
        <f ca="1"/>
        <v>1.6383561643835616</v>
      </c>
      <c r="K34">
        <f ca="1"/>
        <v>870</v>
      </c>
      <c r="L34">
        <f ca="1"/>
        <v>1</v>
      </c>
    </row>
    <row r="35" spans="2:12" x14ac:dyDescent="0.3">
      <c r="B35" t="str">
        <f ca="1"/>
        <v>Drusy MacCombe</v>
      </c>
      <c r="C35" t="str">
        <f ca="1"/>
        <v>Male</v>
      </c>
      <c r="D35">
        <f ca="1"/>
        <v>28</v>
      </c>
      <c r="E35" t="str">
        <f ca="1"/>
        <v>Very poor</v>
      </c>
      <c r="F35">
        <f ca="1"/>
        <v>44820</v>
      </c>
      <c r="G35" t="str">
        <f ca="1"/>
        <v>Sales</v>
      </c>
      <c r="H35">
        <f ca="1"/>
        <v>43510</v>
      </c>
      <c r="I35" t="str">
        <f ca="1"/>
        <v>nz</v>
      </c>
      <c r="J35">
        <f ca="1"/>
        <v>1.4684931506849315</v>
      </c>
      <c r="K35">
        <f ca="1"/>
        <v>870</v>
      </c>
      <c r="L35">
        <f ca="1"/>
        <v>1</v>
      </c>
    </row>
    <row r="36" spans="2:12" x14ac:dyDescent="0.3">
      <c r="B36" t="str">
        <f ca="1"/>
        <v>Waheeda Vasuman</v>
      </c>
      <c r="C36" t="str">
        <f ca="1"/>
        <v>Male</v>
      </c>
      <c r="D36">
        <f ca="1"/>
        <v>43</v>
      </c>
      <c r="E36" t="str">
        <f ca="1"/>
        <v>Average</v>
      </c>
      <c r="F36">
        <f ca="1"/>
        <v>44558</v>
      </c>
      <c r="G36" t="str">
        <f ca="1"/>
        <v>Sales</v>
      </c>
      <c r="H36">
        <f ca="1"/>
        <v>36040</v>
      </c>
      <c r="I36" t="str">
        <f ca="1"/>
        <v>ind</v>
      </c>
      <c r="J36">
        <f ca="1"/>
        <v>2.1863013698630138</v>
      </c>
      <c r="K36">
        <f ca="1"/>
        <v>1081</v>
      </c>
      <c r="L36">
        <f ca="1"/>
        <v>3</v>
      </c>
    </row>
    <row r="37" spans="2:12" x14ac:dyDescent="0.3">
      <c r="B37" t="str">
        <f ca="1"/>
        <v>Bili Sizey</v>
      </c>
      <c r="C37" t="str">
        <f ca="1"/>
        <v>Male</v>
      </c>
      <c r="D37">
        <f ca="1"/>
        <v>43</v>
      </c>
      <c r="E37" t="str">
        <f ca="1"/>
        <v>Average</v>
      </c>
      <c r="F37">
        <f ca="1"/>
        <v>44620</v>
      </c>
      <c r="G37" t="str">
        <f ca="1"/>
        <v>Sales</v>
      </c>
      <c r="H37">
        <f ca="1"/>
        <v>36040</v>
      </c>
      <c r="I37" t="str">
        <f ca="1"/>
        <v>nz</v>
      </c>
      <c r="J37">
        <f ca="1"/>
        <v>2.0164383561643837</v>
      </c>
      <c r="K37">
        <f ca="1"/>
        <v>1081</v>
      </c>
      <c r="L37">
        <f ca="1"/>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3D87-7FDE-4FAE-ADA8-61AE5370F5CE}">
  <sheetPr>
    <tabColor theme="3" tint="0.39997558519241921"/>
  </sheetPr>
  <dimension ref="B3:D12"/>
  <sheetViews>
    <sheetView workbookViewId="0">
      <selection activeCell="D7" sqref="D7"/>
    </sheetView>
  </sheetViews>
  <sheetFormatPr defaultRowHeight="14.4" x14ac:dyDescent="0.3"/>
  <cols>
    <col min="2" max="2" width="16" bestFit="1" customWidth="1"/>
    <col min="3" max="3" width="15.5546875" bestFit="1" customWidth="1"/>
    <col min="4" max="4" width="10" bestFit="1" customWidth="1"/>
    <col min="5" max="6" width="12" bestFit="1" customWidth="1"/>
    <col min="7" max="7" width="15.5546875" bestFit="1" customWidth="1"/>
    <col min="8" max="9" width="18.6640625" bestFit="1" customWidth="1"/>
  </cols>
  <sheetData>
    <row r="3" spans="2:4" x14ac:dyDescent="0.3">
      <c r="B3" s="7">
        <v>3</v>
      </c>
      <c r="C3" t="s">
        <v>222</v>
      </c>
    </row>
    <row r="7" spans="2:4" x14ac:dyDescent="0.3">
      <c r="C7" s="16" t="s">
        <v>223</v>
      </c>
    </row>
    <row r="8" spans="2:4" x14ac:dyDescent="0.3">
      <c r="B8" s="16" t="s">
        <v>227</v>
      </c>
      <c r="C8" t="s">
        <v>15</v>
      </c>
      <c r="D8" t="s">
        <v>8</v>
      </c>
    </row>
    <row r="9" spans="2:4" x14ac:dyDescent="0.3">
      <c r="B9" s="9" t="s">
        <v>225</v>
      </c>
      <c r="C9" s="3">
        <v>86</v>
      </c>
      <c r="D9" s="3">
        <v>89</v>
      </c>
    </row>
    <row r="10" spans="2:4" x14ac:dyDescent="0.3">
      <c r="B10" s="9" t="s">
        <v>226</v>
      </c>
      <c r="C10" s="17">
        <v>31.406976744186046</v>
      </c>
      <c r="D10" s="17">
        <v>29.393258426966291</v>
      </c>
    </row>
    <row r="11" spans="2:4" x14ac:dyDescent="0.3">
      <c r="B11" s="9" t="s">
        <v>228</v>
      </c>
      <c r="C11" s="18">
        <v>78284.186046511633</v>
      </c>
      <c r="D11" s="18">
        <v>74915.168539325838</v>
      </c>
    </row>
    <row r="12" spans="2:4" x14ac:dyDescent="0.3">
      <c r="B12" s="9" t="s">
        <v>229</v>
      </c>
      <c r="C12" s="17">
        <v>2.5285122650525635</v>
      </c>
      <c r="D12" s="17">
        <v>2.5194089579806063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1CDD-0D04-4B0C-BEB0-7753022756BE}">
  <sheetPr>
    <tabColor theme="2" tint="-0.499984740745262"/>
  </sheetPr>
  <dimension ref="A1:M184"/>
  <sheetViews>
    <sheetView workbookViewId="0">
      <selection activeCell="V9" sqref="V9"/>
    </sheetView>
  </sheetViews>
  <sheetFormatPr defaultColWidth="9.21875" defaultRowHeight="14.4" x14ac:dyDescent="0.3"/>
  <cols>
    <col min="9" max="9" width="9.21875" style="5"/>
    <col min="10" max="10" width="9.21875" style="20"/>
    <col min="11" max="12" width="9.21875" style="5"/>
  </cols>
  <sheetData>
    <row r="1" spans="1:12" x14ac:dyDescent="0.3">
      <c r="K1"/>
      <c r="L1"/>
    </row>
    <row r="2" spans="1:12" x14ac:dyDescent="0.3">
      <c r="A2" s="3"/>
      <c r="B2" s="3"/>
      <c r="E2" s="4"/>
      <c r="F2" s="3"/>
      <c r="G2" s="20"/>
      <c r="K2"/>
      <c r="L2"/>
    </row>
    <row r="3" spans="1:12" x14ac:dyDescent="0.3">
      <c r="A3" s="3"/>
      <c r="B3" s="3"/>
      <c r="E3" s="4"/>
      <c r="F3" s="3"/>
      <c r="G3" s="20"/>
      <c r="K3"/>
      <c r="L3"/>
    </row>
    <row r="4" spans="1:12" x14ac:dyDescent="0.3">
      <c r="A4" s="3"/>
      <c r="B4" s="3"/>
      <c r="E4" s="4"/>
      <c r="F4" s="3"/>
      <c r="G4" s="20"/>
      <c r="K4"/>
      <c r="L4"/>
    </row>
    <row r="5" spans="1:12" x14ac:dyDescent="0.3">
      <c r="A5" s="3"/>
      <c r="B5" s="3"/>
      <c r="E5" s="4"/>
      <c r="F5" s="3"/>
      <c r="G5" s="20"/>
      <c r="K5"/>
      <c r="L5"/>
    </row>
    <row r="6" spans="1:12" x14ac:dyDescent="0.3">
      <c r="A6" s="3"/>
      <c r="B6" s="3"/>
      <c r="E6" s="4"/>
      <c r="F6" s="3"/>
      <c r="G6" s="20"/>
      <c r="K6"/>
      <c r="L6"/>
    </row>
    <row r="7" spans="1:12" x14ac:dyDescent="0.3">
      <c r="A7" s="3"/>
      <c r="B7" s="3"/>
      <c r="E7" s="4"/>
      <c r="F7" s="3"/>
      <c r="G7" s="20"/>
      <c r="K7"/>
      <c r="L7"/>
    </row>
    <row r="8" spans="1:12" x14ac:dyDescent="0.3">
      <c r="A8" s="3"/>
      <c r="B8" s="3"/>
      <c r="E8" s="4"/>
      <c r="F8" s="3"/>
      <c r="G8" s="20"/>
      <c r="K8"/>
      <c r="L8"/>
    </row>
    <row r="9" spans="1:12" x14ac:dyDescent="0.3">
      <c r="A9" s="3"/>
      <c r="B9" s="3"/>
      <c r="E9" s="4"/>
      <c r="F9" s="3"/>
      <c r="G9" s="20"/>
      <c r="K9"/>
      <c r="L9"/>
    </row>
    <row r="10" spans="1:12" x14ac:dyDescent="0.3">
      <c r="A10" s="3"/>
      <c r="B10" s="3"/>
      <c r="E10" s="4"/>
      <c r="F10" s="3"/>
      <c r="G10" s="20"/>
      <c r="K10"/>
      <c r="L10"/>
    </row>
    <row r="11" spans="1:12" x14ac:dyDescent="0.3">
      <c r="A11" s="3"/>
      <c r="B11" s="3"/>
      <c r="E11" s="4"/>
      <c r="F11" s="3"/>
      <c r="G11" s="20"/>
      <c r="K11"/>
      <c r="L11"/>
    </row>
    <row r="12" spans="1:12" x14ac:dyDescent="0.3">
      <c r="A12" s="3"/>
      <c r="B12" s="3"/>
      <c r="E12" s="4"/>
      <c r="F12" s="3"/>
      <c r="G12" s="20"/>
      <c r="K12"/>
      <c r="L12"/>
    </row>
    <row r="13" spans="1:12" x14ac:dyDescent="0.3">
      <c r="A13" s="3"/>
      <c r="B13" s="3"/>
      <c r="E13" s="4"/>
      <c r="F13" s="3"/>
      <c r="G13" s="20"/>
      <c r="K13"/>
      <c r="L13"/>
    </row>
    <row r="14" spans="1:12" x14ac:dyDescent="0.3">
      <c r="A14" s="3"/>
      <c r="B14" s="3"/>
      <c r="E14" s="4"/>
      <c r="F14" s="3"/>
      <c r="G14" s="20"/>
      <c r="K14"/>
      <c r="L14"/>
    </row>
    <row r="15" spans="1:12" x14ac:dyDescent="0.3">
      <c r="A15" s="3"/>
      <c r="B15" s="3"/>
      <c r="E15" s="4"/>
      <c r="F15" s="3"/>
      <c r="G15" s="20"/>
      <c r="K15"/>
      <c r="L15"/>
    </row>
    <row r="16" spans="1:12" x14ac:dyDescent="0.3">
      <c r="A16" s="3"/>
      <c r="B16" s="3"/>
      <c r="E16" s="4"/>
      <c r="F16" s="3"/>
      <c r="G16" s="20"/>
      <c r="K16"/>
      <c r="L16"/>
    </row>
    <row r="17" spans="1:13" x14ac:dyDescent="0.3">
      <c r="A17" s="3"/>
      <c r="B17" s="3"/>
      <c r="E17" s="4"/>
      <c r="F17" s="3"/>
      <c r="G17" s="20"/>
      <c r="K17"/>
      <c r="L17"/>
    </row>
    <row r="18" spans="1:13" x14ac:dyDescent="0.3">
      <c r="A18" s="3"/>
      <c r="B18" s="3"/>
      <c r="E18" s="4"/>
      <c r="F18" s="3"/>
      <c r="G18" s="20"/>
      <c r="K18"/>
      <c r="L18"/>
    </row>
    <row r="19" spans="1:13" x14ac:dyDescent="0.3">
      <c r="A19" s="3"/>
      <c r="B19" s="3"/>
      <c r="E19" s="4"/>
      <c r="F19" s="3"/>
      <c r="G19" s="20"/>
      <c r="K19"/>
      <c r="L19"/>
      <c r="M19" s="5"/>
    </row>
    <row r="20" spans="1:13" x14ac:dyDescent="0.3">
      <c r="A20" s="3"/>
      <c r="B20" s="3"/>
      <c r="E20" s="4"/>
      <c r="F20" s="3"/>
      <c r="G20" s="20"/>
      <c r="K20"/>
      <c r="L20"/>
    </row>
    <row r="21" spans="1:13" x14ac:dyDescent="0.3">
      <c r="A21" s="3"/>
      <c r="B21" s="3"/>
      <c r="E21" s="4"/>
      <c r="F21" s="3"/>
      <c r="G21" s="20"/>
      <c r="K21"/>
      <c r="L21"/>
    </row>
    <row r="22" spans="1:13" x14ac:dyDescent="0.3">
      <c r="A22" s="3"/>
      <c r="B22" s="3"/>
      <c r="E22" s="4"/>
      <c r="F22" s="3"/>
      <c r="G22" s="20"/>
      <c r="K22"/>
      <c r="L22"/>
    </row>
    <row r="23" spans="1:13" x14ac:dyDescent="0.3">
      <c r="A23" s="3"/>
      <c r="B23" s="3"/>
      <c r="E23" s="4"/>
      <c r="F23" s="3"/>
      <c r="G23" s="20"/>
      <c r="K23"/>
      <c r="L23"/>
    </row>
    <row r="24" spans="1:13" x14ac:dyDescent="0.3">
      <c r="A24" s="3"/>
      <c r="B24" s="3"/>
      <c r="E24" s="4"/>
      <c r="F24" s="3"/>
      <c r="G24" s="20"/>
      <c r="K24"/>
      <c r="L24"/>
    </row>
    <row r="25" spans="1:13" x14ac:dyDescent="0.3">
      <c r="A25" s="3"/>
      <c r="B25" s="3"/>
      <c r="E25" s="4"/>
      <c r="F25" s="3"/>
      <c r="G25" s="20"/>
      <c r="K25"/>
      <c r="L25"/>
    </row>
    <row r="26" spans="1:13" x14ac:dyDescent="0.3">
      <c r="A26" s="3"/>
      <c r="B26" s="3"/>
      <c r="E26" s="4"/>
      <c r="F26" s="3"/>
      <c r="G26" s="20"/>
      <c r="K26"/>
      <c r="L26"/>
    </row>
    <row r="27" spans="1:13" x14ac:dyDescent="0.3">
      <c r="A27" s="3"/>
      <c r="B27" s="3"/>
      <c r="E27" s="4"/>
      <c r="F27" s="3"/>
      <c r="G27" s="20"/>
      <c r="K27"/>
      <c r="L27"/>
    </row>
    <row r="28" spans="1:13" x14ac:dyDescent="0.3">
      <c r="A28" s="3"/>
      <c r="B28" s="3"/>
      <c r="E28" s="4"/>
      <c r="F28" s="3"/>
      <c r="G28" s="20"/>
      <c r="K28"/>
      <c r="L28"/>
    </row>
    <row r="29" spans="1:13" x14ac:dyDescent="0.3">
      <c r="A29" s="3"/>
      <c r="B29" s="3"/>
      <c r="E29" s="4"/>
      <c r="F29" s="3"/>
      <c r="G29" s="20"/>
      <c r="K29"/>
      <c r="L29"/>
    </row>
    <row r="30" spans="1:13" x14ac:dyDescent="0.3">
      <c r="A30" s="3"/>
      <c r="B30" s="3"/>
      <c r="E30" s="4"/>
      <c r="F30" s="3"/>
      <c r="G30" s="20"/>
      <c r="K30"/>
      <c r="L30"/>
    </row>
    <row r="31" spans="1:13" x14ac:dyDescent="0.3">
      <c r="A31" s="3"/>
      <c r="B31" s="3"/>
      <c r="E31" s="4"/>
      <c r="F31" s="3"/>
      <c r="G31" s="20"/>
      <c r="K31"/>
      <c r="L31"/>
    </row>
    <row r="32" spans="1:13" x14ac:dyDescent="0.3">
      <c r="A32" s="3"/>
      <c r="B32" s="3"/>
      <c r="E32" s="4"/>
      <c r="F32" s="3"/>
      <c r="G32" s="20"/>
      <c r="K32"/>
      <c r="L32"/>
    </row>
    <row r="33" spans="1:12" x14ac:dyDescent="0.3">
      <c r="A33" s="3"/>
      <c r="B33" s="3"/>
      <c r="E33" s="4"/>
      <c r="F33" s="3"/>
      <c r="G33" s="20"/>
      <c r="K33"/>
      <c r="L33"/>
    </row>
    <row r="34" spans="1:12" x14ac:dyDescent="0.3">
      <c r="A34" s="3"/>
      <c r="B34" s="3"/>
      <c r="E34" s="4"/>
      <c r="F34" s="3"/>
      <c r="G34" s="20"/>
      <c r="K34"/>
      <c r="L34"/>
    </row>
    <row r="35" spans="1:12" x14ac:dyDescent="0.3">
      <c r="A35" s="3"/>
      <c r="B35" s="3"/>
      <c r="E35" s="4"/>
      <c r="F35" s="3"/>
      <c r="G35" s="20"/>
      <c r="K35"/>
      <c r="L35"/>
    </row>
    <row r="36" spans="1:12" x14ac:dyDescent="0.3">
      <c r="A36" s="3"/>
      <c r="B36" s="3"/>
      <c r="E36" s="4"/>
      <c r="F36" s="3"/>
      <c r="G36" s="20"/>
      <c r="K36"/>
      <c r="L36"/>
    </row>
    <row r="37" spans="1:12" x14ac:dyDescent="0.3">
      <c r="A37" s="3"/>
      <c r="B37" s="3"/>
      <c r="E37" s="4"/>
      <c r="F37" s="3"/>
      <c r="G37" s="20"/>
      <c r="K37"/>
      <c r="L37"/>
    </row>
    <row r="38" spans="1:12" x14ac:dyDescent="0.3">
      <c r="A38" s="3"/>
      <c r="B38" s="3"/>
      <c r="E38" s="4"/>
      <c r="F38" s="3"/>
      <c r="G38" s="20"/>
      <c r="K38"/>
      <c r="L38"/>
    </row>
    <row r="39" spans="1:12" x14ac:dyDescent="0.3">
      <c r="A39" s="3"/>
      <c r="B39" s="3"/>
      <c r="E39" s="4"/>
      <c r="F39" s="3"/>
      <c r="G39" s="20"/>
      <c r="K39"/>
      <c r="L39"/>
    </row>
    <row r="40" spans="1:12" x14ac:dyDescent="0.3">
      <c r="A40" s="3"/>
      <c r="B40" s="3"/>
      <c r="E40" s="4"/>
      <c r="F40" s="3"/>
      <c r="G40" s="20"/>
      <c r="K40"/>
      <c r="L40"/>
    </row>
    <row r="41" spans="1:12" x14ac:dyDescent="0.3">
      <c r="A41" s="3"/>
      <c r="B41" s="3"/>
      <c r="E41" s="4"/>
      <c r="F41" s="3"/>
      <c r="G41" s="20"/>
      <c r="K41"/>
      <c r="L41"/>
    </row>
    <row r="42" spans="1:12" x14ac:dyDescent="0.3">
      <c r="A42" s="3"/>
      <c r="B42" s="3"/>
      <c r="E42" s="4"/>
      <c r="F42" s="3"/>
      <c r="G42" s="20"/>
      <c r="K42"/>
      <c r="L42"/>
    </row>
    <row r="43" spans="1:12" x14ac:dyDescent="0.3">
      <c r="A43" s="3"/>
      <c r="B43" s="3"/>
      <c r="E43" s="4"/>
      <c r="F43" s="3"/>
      <c r="G43" s="20"/>
      <c r="K43"/>
      <c r="L43"/>
    </row>
    <row r="44" spans="1:12" x14ac:dyDescent="0.3">
      <c r="A44" s="3"/>
      <c r="B44" s="3"/>
      <c r="E44" s="4"/>
      <c r="F44" s="3"/>
      <c r="G44" s="20"/>
      <c r="K44"/>
      <c r="L44"/>
    </row>
    <row r="45" spans="1:12" x14ac:dyDescent="0.3">
      <c r="A45" s="3"/>
      <c r="B45" s="3"/>
      <c r="E45" s="4"/>
      <c r="F45" s="3"/>
      <c r="G45" s="20"/>
      <c r="K45"/>
      <c r="L45"/>
    </row>
    <row r="46" spans="1:12" x14ac:dyDescent="0.3">
      <c r="A46" s="3"/>
      <c r="B46" s="3"/>
      <c r="E46" s="4"/>
      <c r="F46" s="3"/>
      <c r="G46" s="20"/>
      <c r="K46"/>
      <c r="L46"/>
    </row>
    <row r="47" spans="1:12" x14ac:dyDescent="0.3">
      <c r="A47" s="3"/>
      <c r="B47" s="3"/>
      <c r="E47" s="4"/>
      <c r="F47" s="3"/>
      <c r="G47" s="20"/>
      <c r="K47"/>
      <c r="L47"/>
    </row>
    <row r="48" spans="1:12" x14ac:dyDescent="0.3">
      <c r="A48" s="3"/>
      <c r="B48" s="3"/>
      <c r="E48" s="4"/>
      <c r="F48" s="3"/>
      <c r="G48" s="20"/>
      <c r="K48"/>
      <c r="L48"/>
    </row>
    <row r="49" spans="1:12" x14ac:dyDescent="0.3">
      <c r="A49" s="3"/>
      <c r="B49" s="3"/>
      <c r="E49" s="4"/>
      <c r="F49" s="3"/>
      <c r="G49" s="20"/>
      <c r="K49"/>
      <c r="L49"/>
    </row>
    <row r="50" spans="1:12" x14ac:dyDescent="0.3">
      <c r="A50" s="3"/>
      <c r="B50" s="3"/>
      <c r="E50" s="4"/>
      <c r="F50" s="3"/>
      <c r="G50" s="20"/>
      <c r="K50"/>
      <c r="L50"/>
    </row>
    <row r="51" spans="1:12" x14ac:dyDescent="0.3">
      <c r="A51" s="3"/>
      <c r="B51" s="3"/>
      <c r="E51" s="4"/>
      <c r="F51" s="3"/>
      <c r="G51" s="20"/>
      <c r="K51"/>
      <c r="L51"/>
    </row>
    <row r="52" spans="1:12" x14ac:dyDescent="0.3">
      <c r="A52" s="3"/>
      <c r="B52" s="3"/>
      <c r="E52" s="4"/>
      <c r="F52" s="3"/>
      <c r="G52" s="20"/>
      <c r="K52"/>
      <c r="L52"/>
    </row>
    <row r="53" spans="1:12" x14ac:dyDescent="0.3">
      <c r="A53" s="3"/>
      <c r="B53" s="3"/>
      <c r="E53" s="4"/>
      <c r="F53" s="3"/>
      <c r="G53" s="20"/>
      <c r="K53"/>
      <c r="L53"/>
    </row>
    <row r="54" spans="1:12" x14ac:dyDescent="0.3">
      <c r="A54" s="3"/>
      <c r="B54" s="3"/>
      <c r="E54" s="4"/>
      <c r="F54" s="3"/>
      <c r="G54" s="20"/>
      <c r="K54"/>
      <c r="L54"/>
    </row>
    <row r="55" spans="1:12" x14ac:dyDescent="0.3">
      <c r="A55" s="3"/>
      <c r="B55" s="3"/>
      <c r="E55" s="4"/>
      <c r="F55" s="3"/>
      <c r="G55" s="20"/>
      <c r="K55"/>
      <c r="L55"/>
    </row>
    <row r="56" spans="1:12" x14ac:dyDescent="0.3">
      <c r="A56" s="3"/>
      <c r="B56" s="3"/>
      <c r="E56" s="4"/>
      <c r="F56" s="3"/>
      <c r="G56" s="20"/>
      <c r="K56"/>
      <c r="L56"/>
    </row>
    <row r="57" spans="1:12" x14ac:dyDescent="0.3">
      <c r="A57" s="3"/>
      <c r="B57" s="3"/>
      <c r="E57" s="4"/>
      <c r="F57" s="3"/>
      <c r="G57" s="20"/>
      <c r="K57"/>
      <c r="L57"/>
    </row>
    <row r="58" spans="1:12" x14ac:dyDescent="0.3">
      <c r="A58" s="3"/>
      <c r="B58" s="3"/>
      <c r="E58" s="4"/>
      <c r="F58" s="3"/>
      <c r="G58" s="20"/>
      <c r="K58"/>
      <c r="L58"/>
    </row>
    <row r="59" spans="1:12" x14ac:dyDescent="0.3">
      <c r="A59" s="3"/>
      <c r="B59" s="3"/>
      <c r="E59" s="4"/>
      <c r="F59" s="3"/>
      <c r="G59" s="20"/>
      <c r="K59"/>
      <c r="L59"/>
    </row>
    <row r="60" spans="1:12" x14ac:dyDescent="0.3">
      <c r="A60" s="3"/>
      <c r="B60" s="3"/>
      <c r="E60" s="4"/>
      <c r="F60" s="3"/>
      <c r="G60" s="20"/>
      <c r="K60"/>
      <c r="L60"/>
    </row>
    <row r="61" spans="1:12" x14ac:dyDescent="0.3">
      <c r="A61" s="3"/>
      <c r="B61" s="3"/>
      <c r="E61" s="4"/>
      <c r="F61" s="3"/>
      <c r="G61" s="20"/>
      <c r="K61"/>
      <c r="L61"/>
    </row>
    <row r="62" spans="1:12" x14ac:dyDescent="0.3">
      <c r="A62" s="3"/>
      <c r="B62" s="3"/>
      <c r="E62" s="4"/>
      <c r="F62" s="3"/>
      <c r="G62" s="20"/>
      <c r="K62"/>
      <c r="L62"/>
    </row>
    <row r="63" spans="1:12" x14ac:dyDescent="0.3">
      <c r="A63" s="3"/>
      <c r="B63" s="3"/>
      <c r="E63" s="4"/>
      <c r="F63" s="3"/>
      <c r="G63" s="20"/>
      <c r="K63"/>
      <c r="L63"/>
    </row>
    <row r="64" spans="1:12" x14ac:dyDescent="0.3">
      <c r="A64" s="3"/>
      <c r="B64" s="3"/>
      <c r="E64" s="4"/>
      <c r="F64" s="3"/>
      <c r="G64" s="20"/>
      <c r="K64"/>
      <c r="L64"/>
    </row>
    <row r="65" spans="1:12" x14ac:dyDescent="0.3">
      <c r="A65" s="3"/>
      <c r="B65" s="3"/>
      <c r="E65" s="4"/>
      <c r="F65" s="3"/>
      <c r="G65" s="20"/>
      <c r="K65"/>
      <c r="L65"/>
    </row>
    <row r="66" spans="1:12" x14ac:dyDescent="0.3">
      <c r="A66" s="3"/>
      <c r="B66" s="3"/>
      <c r="E66" s="4"/>
      <c r="F66" s="3"/>
      <c r="G66" s="20"/>
      <c r="K66"/>
      <c r="L66"/>
    </row>
    <row r="67" spans="1:12" x14ac:dyDescent="0.3">
      <c r="A67" s="3"/>
      <c r="B67" s="3"/>
      <c r="E67" s="4"/>
      <c r="F67" s="3"/>
      <c r="G67" s="20"/>
      <c r="K67"/>
      <c r="L67"/>
    </row>
    <row r="68" spans="1:12" x14ac:dyDescent="0.3">
      <c r="A68" s="3"/>
      <c r="B68" s="3"/>
      <c r="E68" s="4"/>
      <c r="F68" s="3"/>
      <c r="G68" s="20"/>
      <c r="K68"/>
      <c r="L68"/>
    </row>
    <row r="69" spans="1:12" x14ac:dyDescent="0.3">
      <c r="A69" s="3"/>
      <c r="B69" s="3"/>
      <c r="E69" s="4"/>
      <c r="F69" s="3"/>
      <c r="G69" s="20"/>
      <c r="K69"/>
      <c r="L69"/>
    </row>
    <row r="70" spans="1:12" x14ac:dyDescent="0.3">
      <c r="A70" s="3"/>
      <c r="B70" s="3"/>
      <c r="E70" s="4"/>
      <c r="F70" s="3"/>
      <c r="G70" s="20"/>
      <c r="K70"/>
      <c r="L70"/>
    </row>
    <row r="71" spans="1:12" x14ac:dyDescent="0.3">
      <c r="A71" s="3"/>
      <c r="B71" s="3"/>
      <c r="E71" s="4"/>
      <c r="F71" s="3"/>
      <c r="G71" s="20"/>
      <c r="K71"/>
      <c r="L71"/>
    </row>
    <row r="72" spans="1:12" x14ac:dyDescent="0.3">
      <c r="A72" s="3"/>
      <c r="B72" s="3"/>
      <c r="E72" s="4"/>
      <c r="F72" s="3"/>
      <c r="G72" s="20"/>
      <c r="K72"/>
      <c r="L72"/>
    </row>
    <row r="73" spans="1:12" x14ac:dyDescent="0.3">
      <c r="A73" s="3"/>
      <c r="B73" s="3"/>
      <c r="E73" s="4"/>
      <c r="F73" s="3"/>
      <c r="G73" s="20"/>
      <c r="K73"/>
      <c r="L73"/>
    </row>
    <row r="74" spans="1:12" x14ac:dyDescent="0.3">
      <c r="A74" s="3"/>
      <c r="B74" s="3"/>
      <c r="E74" s="4"/>
      <c r="F74" s="3"/>
      <c r="G74" s="20"/>
      <c r="K74"/>
      <c r="L74"/>
    </row>
    <row r="75" spans="1:12" x14ac:dyDescent="0.3">
      <c r="A75" s="3"/>
      <c r="B75" s="3"/>
      <c r="E75" s="4"/>
      <c r="F75" s="3"/>
      <c r="G75" s="20"/>
      <c r="K75"/>
      <c r="L75"/>
    </row>
    <row r="76" spans="1:12" x14ac:dyDescent="0.3">
      <c r="A76" s="3"/>
      <c r="B76" s="3"/>
      <c r="E76" s="4"/>
      <c r="F76" s="3"/>
      <c r="G76" s="20"/>
      <c r="K76"/>
      <c r="L76"/>
    </row>
    <row r="77" spans="1:12" x14ac:dyDescent="0.3">
      <c r="A77" s="3"/>
      <c r="B77" s="3"/>
      <c r="E77" s="4"/>
      <c r="F77" s="3"/>
      <c r="G77" s="20"/>
      <c r="K77"/>
      <c r="L77"/>
    </row>
    <row r="78" spans="1:12" x14ac:dyDescent="0.3">
      <c r="A78" s="3"/>
      <c r="B78" s="3"/>
      <c r="E78" s="4"/>
      <c r="F78" s="3"/>
      <c r="G78" s="20"/>
      <c r="K78"/>
      <c r="L78"/>
    </row>
    <row r="79" spans="1:12" x14ac:dyDescent="0.3">
      <c r="A79" s="3"/>
      <c r="B79" s="3"/>
      <c r="E79" s="4"/>
      <c r="F79" s="3"/>
      <c r="G79" s="20"/>
      <c r="K79"/>
      <c r="L79"/>
    </row>
    <row r="80" spans="1:12" x14ac:dyDescent="0.3">
      <c r="A80" s="3"/>
      <c r="B80" s="3"/>
      <c r="E80" s="4"/>
      <c r="F80" s="3"/>
      <c r="G80" s="20"/>
      <c r="K80"/>
      <c r="L80"/>
    </row>
    <row r="81" spans="1:12" x14ac:dyDescent="0.3">
      <c r="A81" s="3"/>
      <c r="B81" s="3"/>
      <c r="E81" s="4"/>
      <c r="F81" s="3"/>
      <c r="G81" s="20"/>
      <c r="K81"/>
      <c r="L81"/>
    </row>
    <row r="82" spans="1:12" x14ac:dyDescent="0.3">
      <c r="A82" s="3"/>
      <c r="B82" s="3"/>
      <c r="E82" s="4"/>
      <c r="F82" s="3"/>
      <c r="G82" s="20"/>
      <c r="K82"/>
      <c r="L82"/>
    </row>
    <row r="83" spans="1:12" x14ac:dyDescent="0.3">
      <c r="A83" s="3"/>
      <c r="B83" s="3"/>
      <c r="E83" s="4"/>
      <c r="F83" s="3"/>
      <c r="G83" s="20"/>
      <c r="K83"/>
      <c r="L83"/>
    </row>
    <row r="84" spans="1:12" x14ac:dyDescent="0.3">
      <c r="A84" s="3"/>
      <c r="B84" s="3"/>
      <c r="E84" s="4"/>
      <c r="F84" s="3"/>
      <c r="G84" s="20"/>
      <c r="K84"/>
      <c r="L84"/>
    </row>
    <row r="85" spans="1:12" x14ac:dyDescent="0.3">
      <c r="A85" s="3"/>
      <c r="B85" s="3"/>
      <c r="E85" s="4"/>
      <c r="F85" s="3"/>
      <c r="G85" s="20"/>
      <c r="K85"/>
      <c r="L85"/>
    </row>
    <row r="86" spans="1:12" x14ac:dyDescent="0.3">
      <c r="A86" s="3"/>
      <c r="B86" s="3"/>
      <c r="E86" s="4"/>
      <c r="F86" s="3"/>
      <c r="G86" s="20"/>
      <c r="K86"/>
      <c r="L86"/>
    </row>
    <row r="87" spans="1:12" x14ac:dyDescent="0.3">
      <c r="A87" s="3"/>
      <c r="B87" s="3"/>
      <c r="E87" s="4"/>
      <c r="F87" s="3"/>
      <c r="G87" s="20"/>
      <c r="K87"/>
      <c r="L87"/>
    </row>
    <row r="88" spans="1:12" x14ac:dyDescent="0.3">
      <c r="A88" s="3"/>
      <c r="B88" s="3"/>
      <c r="E88" s="4"/>
      <c r="F88" s="3"/>
      <c r="G88" s="20"/>
      <c r="K88"/>
      <c r="L88"/>
    </row>
    <row r="89" spans="1:12" x14ac:dyDescent="0.3">
      <c r="A89" s="3"/>
      <c r="B89" s="3"/>
      <c r="E89" s="4"/>
      <c r="F89" s="3"/>
      <c r="G89" s="20"/>
      <c r="K89"/>
      <c r="L89"/>
    </row>
    <row r="90" spans="1:12" x14ac:dyDescent="0.3">
      <c r="A90" s="3"/>
      <c r="B90" s="3"/>
      <c r="E90" s="4"/>
      <c r="F90" s="3"/>
      <c r="G90" s="20"/>
      <c r="K90"/>
      <c r="L90"/>
    </row>
    <row r="91" spans="1:12" x14ac:dyDescent="0.3">
      <c r="A91" s="3"/>
      <c r="B91" s="3"/>
      <c r="E91" s="4"/>
      <c r="F91" s="3"/>
      <c r="G91" s="20"/>
      <c r="K91"/>
      <c r="L91"/>
    </row>
    <row r="92" spans="1:12" x14ac:dyDescent="0.3">
      <c r="A92" s="3"/>
      <c r="B92" s="3"/>
      <c r="E92" s="4"/>
      <c r="F92" s="3"/>
      <c r="G92" s="20"/>
      <c r="K92"/>
      <c r="L92"/>
    </row>
    <row r="93" spans="1:12" x14ac:dyDescent="0.3">
      <c r="A93" s="3"/>
      <c r="B93" s="3"/>
      <c r="E93" s="4"/>
      <c r="F93" s="3"/>
      <c r="G93" s="20"/>
      <c r="K93"/>
      <c r="L93"/>
    </row>
    <row r="94" spans="1:12" x14ac:dyDescent="0.3">
      <c r="A94" s="3"/>
      <c r="B94" s="3"/>
      <c r="E94" s="4"/>
      <c r="F94" s="3"/>
      <c r="G94" s="20"/>
      <c r="K94"/>
      <c r="L94"/>
    </row>
    <row r="95" spans="1:12" x14ac:dyDescent="0.3">
      <c r="A95" s="3"/>
      <c r="B95" s="3"/>
      <c r="E95" s="4"/>
      <c r="F95" s="3"/>
      <c r="G95" s="20"/>
      <c r="K95"/>
      <c r="L95"/>
    </row>
    <row r="96" spans="1:12" x14ac:dyDescent="0.3">
      <c r="A96" s="3"/>
      <c r="B96" s="3"/>
      <c r="E96" s="4"/>
      <c r="F96" s="3"/>
      <c r="G96" s="20"/>
      <c r="K96"/>
      <c r="L96"/>
    </row>
    <row r="97" spans="1:12" x14ac:dyDescent="0.3">
      <c r="A97" s="3"/>
      <c r="B97" s="3"/>
      <c r="E97" s="4"/>
      <c r="F97" s="3"/>
      <c r="G97" s="20"/>
      <c r="K97"/>
      <c r="L97"/>
    </row>
    <row r="98" spans="1:12" x14ac:dyDescent="0.3">
      <c r="A98" s="3"/>
      <c r="B98" s="3"/>
      <c r="E98" s="4"/>
      <c r="F98" s="3"/>
      <c r="G98" s="20"/>
      <c r="K98"/>
      <c r="L98"/>
    </row>
    <row r="99" spans="1:12" x14ac:dyDescent="0.3">
      <c r="A99" s="3"/>
      <c r="B99" s="3"/>
      <c r="E99" s="4"/>
      <c r="F99" s="3"/>
      <c r="G99" s="20"/>
      <c r="K99"/>
      <c r="L99"/>
    </row>
    <row r="100" spans="1:12" x14ac:dyDescent="0.3">
      <c r="A100" s="3"/>
      <c r="B100" s="3"/>
      <c r="E100" s="4"/>
      <c r="F100" s="3"/>
      <c r="G100" s="20"/>
      <c r="K100"/>
      <c r="L100"/>
    </row>
    <row r="101" spans="1:12" x14ac:dyDescent="0.3">
      <c r="A101" s="3"/>
      <c r="B101" s="3"/>
      <c r="E101" s="4"/>
      <c r="F101" s="3"/>
      <c r="G101" s="20"/>
      <c r="K101"/>
      <c r="L101"/>
    </row>
    <row r="102" spans="1:12" x14ac:dyDescent="0.3">
      <c r="A102" s="3"/>
      <c r="B102" s="3"/>
      <c r="E102" s="4"/>
      <c r="F102" s="3"/>
      <c r="G102" s="20"/>
      <c r="K102"/>
      <c r="L102"/>
    </row>
    <row r="103" spans="1:12" x14ac:dyDescent="0.3">
      <c r="A103" s="3"/>
      <c r="B103" s="3"/>
      <c r="E103" s="4"/>
      <c r="F103" s="3"/>
      <c r="G103" s="20"/>
      <c r="K103"/>
      <c r="L103"/>
    </row>
    <row r="104" spans="1:12" x14ac:dyDescent="0.3">
      <c r="A104" s="3"/>
      <c r="B104" s="3"/>
      <c r="E104" s="4"/>
      <c r="F104" s="3"/>
      <c r="G104" s="20"/>
      <c r="K104"/>
      <c r="L104"/>
    </row>
    <row r="105" spans="1:12" x14ac:dyDescent="0.3">
      <c r="A105" s="3"/>
      <c r="B105" s="3"/>
      <c r="E105" s="4"/>
      <c r="F105" s="3"/>
      <c r="G105" s="20"/>
      <c r="K105"/>
      <c r="L105"/>
    </row>
    <row r="106" spans="1:12" x14ac:dyDescent="0.3">
      <c r="A106" s="3"/>
      <c r="B106" s="3"/>
      <c r="E106" s="4"/>
      <c r="F106" s="3"/>
      <c r="G106" s="20"/>
      <c r="K106"/>
      <c r="L106"/>
    </row>
    <row r="107" spans="1:12" x14ac:dyDescent="0.3">
      <c r="A107" s="3"/>
      <c r="B107" s="3"/>
      <c r="E107" s="4"/>
      <c r="F107" s="3"/>
      <c r="G107" s="20"/>
      <c r="K107"/>
      <c r="L107"/>
    </row>
    <row r="108" spans="1:12" x14ac:dyDescent="0.3">
      <c r="A108" s="3"/>
      <c r="B108" s="3"/>
      <c r="E108" s="4"/>
      <c r="F108" s="3"/>
      <c r="G108" s="20"/>
      <c r="K108"/>
      <c r="L108"/>
    </row>
    <row r="109" spans="1:12" x14ac:dyDescent="0.3">
      <c r="A109" s="3"/>
      <c r="B109" s="3"/>
      <c r="E109" s="4"/>
      <c r="F109" s="3"/>
      <c r="G109" s="20"/>
      <c r="K109"/>
      <c r="L109"/>
    </row>
    <row r="110" spans="1:12" x14ac:dyDescent="0.3">
      <c r="A110" s="3"/>
      <c r="B110" s="3"/>
      <c r="E110" s="4"/>
      <c r="F110" s="3"/>
      <c r="G110" s="20"/>
      <c r="K110"/>
      <c r="L110"/>
    </row>
    <row r="111" spans="1:12" x14ac:dyDescent="0.3">
      <c r="A111" s="3"/>
      <c r="B111" s="3"/>
      <c r="E111" s="4"/>
      <c r="F111" s="3"/>
      <c r="G111" s="20"/>
      <c r="K111"/>
      <c r="L111"/>
    </row>
    <row r="112" spans="1:12" x14ac:dyDescent="0.3">
      <c r="A112" s="3"/>
      <c r="B112" s="3"/>
      <c r="E112" s="4"/>
      <c r="F112" s="3"/>
      <c r="G112" s="20"/>
      <c r="K112"/>
      <c r="L112"/>
    </row>
    <row r="113" spans="1:12" x14ac:dyDescent="0.3">
      <c r="A113" s="3"/>
      <c r="B113" s="3"/>
      <c r="E113" s="4"/>
      <c r="F113" s="3"/>
      <c r="G113" s="20"/>
      <c r="K113"/>
      <c r="L113"/>
    </row>
    <row r="114" spans="1:12" x14ac:dyDescent="0.3">
      <c r="A114" s="3"/>
      <c r="B114" s="3"/>
      <c r="E114" s="4"/>
      <c r="F114" s="3"/>
      <c r="G114" s="20"/>
      <c r="K114"/>
      <c r="L114"/>
    </row>
    <row r="115" spans="1:12" x14ac:dyDescent="0.3">
      <c r="A115" s="3"/>
      <c r="B115" s="3"/>
      <c r="E115" s="4"/>
      <c r="F115" s="3"/>
      <c r="G115" s="20"/>
      <c r="K115"/>
      <c r="L115"/>
    </row>
    <row r="116" spans="1:12" x14ac:dyDescent="0.3">
      <c r="A116" s="3"/>
      <c r="B116" s="3"/>
      <c r="E116" s="4"/>
      <c r="F116" s="3"/>
      <c r="G116" s="20"/>
      <c r="K116"/>
      <c r="L116"/>
    </row>
    <row r="117" spans="1:12" x14ac:dyDescent="0.3">
      <c r="A117" s="3"/>
      <c r="B117" s="3"/>
      <c r="E117" s="4"/>
      <c r="F117" s="3"/>
      <c r="G117" s="20"/>
      <c r="K117"/>
      <c r="L117"/>
    </row>
    <row r="118" spans="1:12" x14ac:dyDescent="0.3">
      <c r="A118" s="3"/>
      <c r="B118" s="3"/>
      <c r="E118" s="4"/>
      <c r="F118" s="3"/>
      <c r="G118" s="20"/>
      <c r="K118"/>
      <c r="L118"/>
    </row>
    <row r="119" spans="1:12" x14ac:dyDescent="0.3">
      <c r="A119" s="3"/>
      <c r="B119" s="3"/>
      <c r="E119" s="4"/>
      <c r="F119" s="3"/>
      <c r="G119" s="20"/>
      <c r="K119"/>
      <c r="L119"/>
    </row>
    <row r="120" spans="1:12" x14ac:dyDescent="0.3">
      <c r="A120" s="3"/>
      <c r="B120" s="3"/>
      <c r="E120" s="4"/>
      <c r="F120" s="3"/>
      <c r="G120" s="20"/>
      <c r="K120"/>
      <c r="L120"/>
    </row>
    <row r="121" spans="1:12" x14ac:dyDescent="0.3">
      <c r="A121" s="3"/>
      <c r="B121" s="3"/>
      <c r="E121" s="4"/>
      <c r="F121" s="3"/>
      <c r="G121" s="20"/>
      <c r="K121"/>
      <c r="L121"/>
    </row>
    <row r="122" spans="1:12" x14ac:dyDescent="0.3">
      <c r="A122" s="3"/>
      <c r="B122" s="3"/>
      <c r="E122" s="4"/>
      <c r="F122" s="3"/>
      <c r="G122" s="20"/>
      <c r="K122"/>
      <c r="L122"/>
    </row>
    <row r="123" spans="1:12" x14ac:dyDescent="0.3">
      <c r="A123" s="3"/>
      <c r="B123" s="3"/>
      <c r="E123" s="4"/>
      <c r="F123" s="3"/>
      <c r="G123" s="20"/>
      <c r="K123"/>
      <c r="L123"/>
    </row>
    <row r="124" spans="1:12" x14ac:dyDescent="0.3">
      <c r="A124" s="3"/>
      <c r="B124" s="3"/>
      <c r="E124" s="4"/>
      <c r="F124" s="3"/>
      <c r="G124" s="20"/>
      <c r="K124"/>
      <c r="L124"/>
    </row>
    <row r="125" spans="1:12" x14ac:dyDescent="0.3">
      <c r="A125" s="3"/>
      <c r="B125" s="3"/>
      <c r="E125" s="4"/>
      <c r="F125" s="3"/>
      <c r="G125" s="20"/>
      <c r="K125"/>
      <c r="L125"/>
    </row>
    <row r="126" spans="1:12" x14ac:dyDescent="0.3">
      <c r="A126" s="3"/>
      <c r="B126" s="3"/>
      <c r="E126" s="4"/>
      <c r="F126" s="3"/>
      <c r="G126" s="20"/>
      <c r="K126"/>
      <c r="L126"/>
    </row>
    <row r="127" spans="1:12" x14ac:dyDescent="0.3">
      <c r="A127" s="3"/>
      <c r="B127" s="3"/>
      <c r="E127" s="4"/>
      <c r="F127" s="3"/>
      <c r="G127" s="20"/>
      <c r="K127"/>
      <c r="L127"/>
    </row>
    <row r="128" spans="1:12" x14ac:dyDescent="0.3">
      <c r="A128" s="3"/>
      <c r="B128" s="3"/>
      <c r="E128" s="4"/>
      <c r="F128" s="3"/>
      <c r="G128" s="20"/>
      <c r="K128"/>
      <c r="L128"/>
    </row>
    <row r="129" spans="1:12" x14ac:dyDescent="0.3">
      <c r="A129" s="3"/>
      <c r="B129" s="3"/>
      <c r="E129" s="4"/>
      <c r="F129" s="3"/>
      <c r="G129" s="20"/>
      <c r="K129"/>
      <c r="L129"/>
    </row>
    <row r="130" spans="1:12" x14ac:dyDescent="0.3">
      <c r="A130" s="3"/>
      <c r="B130" s="3"/>
      <c r="E130" s="4"/>
      <c r="F130" s="3"/>
      <c r="G130" s="20"/>
    </row>
    <row r="131" spans="1:12" x14ac:dyDescent="0.3">
      <c r="A131" s="3"/>
      <c r="B131" s="3"/>
      <c r="E131" s="4"/>
      <c r="F131" s="3"/>
      <c r="G131" s="20"/>
    </row>
    <row r="132" spans="1:12" x14ac:dyDescent="0.3">
      <c r="A132" s="3"/>
      <c r="B132" s="3"/>
      <c r="E132" s="4"/>
      <c r="F132" s="3"/>
      <c r="G132" s="20"/>
    </row>
    <row r="133" spans="1:12" x14ac:dyDescent="0.3">
      <c r="A133" s="3"/>
      <c r="B133" s="3"/>
      <c r="E133" s="4"/>
      <c r="F133" s="3"/>
      <c r="G133" s="20"/>
    </row>
    <row r="134" spans="1:12" x14ac:dyDescent="0.3">
      <c r="A134" s="3"/>
      <c r="B134" s="3"/>
      <c r="E134" s="4"/>
      <c r="F134" s="3"/>
      <c r="G134" s="20"/>
    </row>
    <row r="135" spans="1:12" x14ac:dyDescent="0.3">
      <c r="A135" s="3"/>
      <c r="B135" s="3"/>
      <c r="E135" s="4"/>
      <c r="F135" s="3"/>
      <c r="G135" s="20"/>
    </row>
    <row r="136" spans="1:12" x14ac:dyDescent="0.3">
      <c r="A136" s="3"/>
      <c r="B136" s="3"/>
      <c r="E136" s="4"/>
      <c r="F136" s="3"/>
      <c r="G136" s="20"/>
    </row>
    <row r="137" spans="1:12" x14ac:dyDescent="0.3">
      <c r="A137" s="3"/>
      <c r="B137" s="3"/>
      <c r="E137" s="4"/>
      <c r="F137" s="3"/>
      <c r="G137" s="20"/>
    </row>
    <row r="138" spans="1:12" x14ac:dyDescent="0.3">
      <c r="A138" s="3"/>
      <c r="B138" s="3"/>
      <c r="E138" s="4"/>
      <c r="F138" s="3"/>
      <c r="G138" s="20"/>
    </row>
    <row r="139" spans="1:12" x14ac:dyDescent="0.3">
      <c r="A139" s="3"/>
      <c r="B139" s="3"/>
      <c r="E139" s="4"/>
      <c r="F139" s="3"/>
      <c r="G139" s="20"/>
    </row>
    <row r="140" spans="1:12" x14ac:dyDescent="0.3">
      <c r="A140" s="3"/>
      <c r="B140" s="3"/>
      <c r="E140" s="4"/>
      <c r="F140" s="3"/>
      <c r="G140" s="20"/>
    </row>
    <row r="141" spans="1:12" x14ac:dyDescent="0.3">
      <c r="A141" s="3"/>
      <c r="B141" s="3"/>
      <c r="E141" s="4"/>
      <c r="F141" s="3"/>
      <c r="G141" s="20"/>
    </row>
    <row r="142" spans="1:12" x14ac:dyDescent="0.3">
      <c r="A142" s="3"/>
      <c r="B142" s="3"/>
      <c r="E142" s="4"/>
      <c r="F142" s="3"/>
      <c r="G142" s="20"/>
    </row>
    <row r="143" spans="1:12" x14ac:dyDescent="0.3">
      <c r="A143" s="3"/>
      <c r="B143" s="3"/>
      <c r="E143" s="4"/>
      <c r="F143" s="3"/>
      <c r="G143" s="20"/>
    </row>
    <row r="144" spans="1:12" x14ac:dyDescent="0.3">
      <c r="A144" s="3"/>
      <c r="B144" s="3"/>
      <c r="E144" s="4"/>
      <c r="F144" s="3"/>
      <c r="G144" s="20"/>
    </row>
    <row r="145" spans="1:7" x14ac:dyDescent="0.3">
      <c r="A145" s="3"/>
      <c r="B145" s="3"/>
      <c r="E145" s="4"/>
      <c r="F145" s="3"/>
      <c r="G145" s="20"/>
    </row>
    <row r="146" spans="1:7" x14ac:dyDescent="0.3">
      <c r="A146" s="3"/>
      <c r="B146" s="3"/>
      <c r="E146" s="4"/>
      <c r="F146" s="3"/>
      <c r="G146" s="20"/>
    </row>
    <row r="147" spans="1:7" x14ac:dyDescent="0.3">
      <c r="A147" s="3"/>
      <c r="B147" s="3"/>
      <c r="E147" s="4"/>
      <c r="F147" s="3"/>
      <c r="G147" s="20"/>
    </row>
    <row r="148" spans="1:7" x14ac:dyDescent="0.3">
      <c r="A148" s="3"/>
      <c r="B148" s="3"/>
      <c r="E148" s="4"/>
      <c r="F148" s="3"/>
      <c r="G148" s="20"/>
    </row>
    <row r="149" spans="1:7" x14ac:dyDescent="0.3">
      <c r="A149" s="3"/>
      <c r="B149" s="3"/>
      <c r="E149" s="4"/>
      <c r="F149" s="3"/>
      <c r="G149" s="20"/>
    </row>
    <row r="150" spans="1:7" x14ac:dyDescent="0.3">
      <c r="A150" s="3"/>
      <c r="B150" s="3"/>
      <c r="E150" s="4"/>
      <c r="F150" s="3"/>
      <c r="G150" s="20"/>
    </row>
    <row r="151" spans="1:7" x14ac:dyDescent="0.3">
      <c r="A151" s="3"/>
      <c r="B151" s="3"/>
      <c r="E151" s="4"/>
      <c r="F151" s="3"/>
      <c r="G151" s="20"/>
    </row>
    <row r="152" spans="1:7" x14ac:dyDescent="0.3">
      <c r="A152" s="3"/>
      <c r="B152" s="3"/>
      <c r="E152" s="4"/>
      <c r="F152" s="3"/>
      <c r="G152" s="20"/>
    </row>
    <row r="153" spans="1:7" x14ac:dyDescent="0.3">
      <c r="A153" s="3"/>
      <c r="B153" s="3"/>
      <c r="E153" s="4"/>
      <c r="F153" s="3"/>
      <c r="G153" s="20"/>
    </row>
    <row r="154" spans="1:7" x14ac:dyDescent="0.3">
      <c r="A154" s="3"/>
      <c r="B154" s="3"/>
      <c r="E154" s="4"/>
      <c r="F154" s="3"/>
      <c r="G154" s="20"/>
    </row>
    <row r="155" spans="1:7" x14ac:dyDescent="0.3">
      <c r="A155" s="3"/>
      <c r="B155" s="3"/>
      <c r="E155" s="4"/>
      <c r="F155" s="3"/>
      <c r="G155" s="20"/>
    </row>
    <row r="156" spans="1:7" x14ac:dyDescent="0.3">
      <c r="A156" s="3"/>
      <c r="B156" s="3"/>
      <c r="E156" s="4"/>
      <c r="F156" s="3"/>
      <c r="G156" s="20"/>
    </row>
    <row r="157" spans="1:7" x14ac:dyDescent="0.3">
      <c r="A157" s="3"/>
      <c r="B157" s="3"/>
      <c r="E157" s="4"/>
      <c r="F157" s="3"/>
      <c r="G157" s="20"/>
    </row>
    <row r="158" spans="1:7" x14ac:dyDescent="0.3">
      <c r="A158" s="3"/>
      <c r="B158" s="3"/>
      <c r="E158" s="4"/>
      <c r="F158" s="3"/>
      <c r="G158" s="20"/>
    </row>
    <row r="159" spans="1:7" x14ac:dyDescent="0.3">
      <c r="A159" s="3"/>
      <c r="B159" s="3"/>
      <c r="E159" s="4"/>
      <c r="F159" s="3"/>
      <c r="G159" s="20"/>
    </row>
    <row r="160" spans="1:7" x14ac:dyDescent="0.3">
      <c r="A160" s="3"/>
      <c r="B160" s="3"/>
      <c r="E160" s="4"/>
      <c r="F160" s="3"/>
      <c r="G160" s="20"/>
    </row>
    <row r="161" spans="1:7" x14ac:dyDescent="0.3">
      <c r="A161" s="3"/>
      <c r="B161" s="3"/>
      <c r="E161" s="4"/>
      <c r="F161" s="3"/>
      <c r="G161" s="20"/>
    </row>
    <row r="162" spans="1:7" x14ac:dyDescent="0.3">
      <c r="A162" s="3"/>
      <c r="B162" s="3"/>
      <c r="E162" s="4"/>
      <c r="F162" s="3"/>
      <c r="G162" s="20"/>
    </row>
    <row r="163" spans="1:7" x14ac:dyDescent="0.3">
      <c r="A163" s="3"/>
      <c r="B163" s="3"/>
      <c r="E163" s="4"/>
      <c r="F163" s="3"/>
      <c r="G163" s="20"/>
    </row>
    <row r="164" spans="1:7" x14ac:dyDescent="0.3">
      <c r="A164" s="3"/>
      <c r="B164" s="3"/>
      <c r="E164" s="4"/>
      <c r="F164" s="3"/>
      <c r="G164" s="20"/>
    </row>
    <row r="165" spans="1:7" x14ac:dyDescent="0.3">
      <c r="A165" s="3"/>
      <c r="B165" s="3"/>
      <c r="E165" s="4"/>
      <c r="F165" s="3"/>
      <c r="G165" s="20"/>
    </row>
    <row r="166" spans="1:7" x14ac:dyDescent="0.3">
      <c r="A166" s="3"/>
      <c r="B166" s="3"/>
      <c r="E166" s="4"/>
      <c r="F166" s="3"/>
      <c r="G166" s="20"/>
    </row>
    <row r="167" spans="1:7" x14ac:dyDescent="0.3">
      <c r="A167" s="3"/>
      <c r="B167" s="3"/>
      <c r="E167" s="4"/>
      <c r="F167" s="3"/>
      <c r="G167" s="20"/>
    </row>
    <row r="168" spans="1:7" x14ac:dyDescent="0.3">
      <c r="A168" s="3"/>
      <c r="B168" s="3"/>
      <c r="E168" s="4"/>
      <c r="F168" s="3"/>
      <c r="G168" s="20"/>
    </row>
    <row r="169" spans="1:7" x14ac:dyDescent="0.3">
      <c r="A169" s="3"/>
      <c r="B169" s="3"/>
      <c r="E169" s="4"/>
      <c r="F169" s="3"/>
      <c r="G169" s="20"/>
    </row>
    <row r="170" spans="1:7" x14ac:dyDescent="0.3">
      <c r="A170" s="3"/>
      <c r="B170" s="3"/>
      <c r="E170" s="4"/>
      <c r="F170" s="3"/>
      <c r="G170" s="20"/>
    </row>
    <row r="171" spans="1:7" x14ac:dyDescent="0.3">
      <c r="A171" s="3"/>
      <c r="B171" s="3"/>
      <c r="E171" s="4"/>
      <c r="F171" s="3"/>
      <c r="G171" s="20"/>
    </row>
    <row r="172" spans="1:7" x14ac:dyDescent="0.3">
      <c r="A172" s="3"/>
      <c r="B172" s="3"/>
      <c r="E172" s="4"/>
      <c r="F172" s="3"/>
      <c r="G172" s="20"/>
    </row>
    <row r="173" spans="1:7" x14ac:dyDescent="0.3">
      <c r="A173" s="3"/>
      <c r="B173" s="3"/>
      <c r="E173" s="4"/>
      <c r="F173" s="3"/>
      <c r="G173" s="20"/>
    </row>
    <row r="174" spans="1:7" x14ac:dyDescent="0.3">
      <c r="A174" s="3"/>
      <c r="B174" s="3"/>
      <c r="E174" s="4"/>
      <c r="F174" s="3"/>
      <c r="G174" s="20"/>
    </row>
    <row r="175" spans="1:7" x14ac:dyDescent="0.3">
      <c r="A175" s="3"/>
      <c r="B175" s="3"/>
      <c r="E175" s="4"/>
      <c r="F175" s="3"/>
      <c r="G175" s="20"/>
    </row>
    <row r="176" spans="1:7" x14ac:dyDescent="0.3">
      <c r="A176" s="3"/>
      <c r="B176" s="3"/>
      <c r="E176" s="4"/>
      <c r="F176" s="3"/>
      <c r="G176" s="20"/>
    </row>
    <row r="177" spans="1:7" x14ac:dyDescent="0.3">
      <c r="A177" s="3"/>
      <c r="B177" s="3"/>
      <c r="E177" s="4"/>
      <c r="F177" s="3"/>
      <c r="G177" s="20"/>
    </row>
    <row r="178" spans="1:7" x14ac:dyDescent="0.3">
      <c r="A178" s="3"/>
      <c r="B178" s="3"/>
      <c r="E178" s="4"/>
      <c r="F178" s="3"/>
      <c r="G178" s="20"/>
    </row>
    <row r="179" spans="1:7" x14ac:dyDescent="0.3">
      <c r="A179" s="3"/>
      <c r="B179" s="3"/>
      <c r="E179" s="4"/>
      <c r="F179" s="3"/>
      <c r="G179" s="20"/>
    </row>
    <row r="180" spans="1:7" x14ac:dyDescent="0.3">
      <c r="A180" s="3"/>
      <c r="B180" s="3"/>
      <c r="E180" s="4"/>
      <c r="F180" s="3"/>
      <c r="G180" s="20"/>
    </row>
    <row r="181" spans="1:7" x14ac:dyDescent="0.3">
      <c r="A181" s="3"/>
      <c r="B181" s="3"/>
      <c r="E181" s="4"/>
      <c r="F181" s="3"/>
      <c r="G181" s="20"/>
    </row>
    <row r="182" spans="1:7" x14ac:dyDescent="0.3">
      <c r="A182" s="3"/>
      <c r="B182" s="3"/>
      <c r="E182" s="4"/>
      <c r="F182" s="3"/>
      <c r="G182" s="20"/>
    </row>
    <row r="183" spans="1:7" x14ac:dyDescent="0.3">
      <c r="A183" s="3"/>
      <c r="B183" s="3"/>
      <c r="E183" s="4"/>
      <c r="F183" s="3"/>
      <c r="G183" s="20"/>
    </row>
    <row r="184" spans="1:7" x14ac:dyDescent="0.3">
      <c r="A184" s="3"/>
      <c r="B184" s="3"/>
      <c r="E184" s="4"/>
      <c r="F184" s="3"/>
      <c r="G184" s="20"/>
    </row>
  </sheetData>
  <conditionalFormatting sqref="G1:G1048576">
    <cfRule type="colorScale" priority="1">
      <colorScale>
        <cfvo type="min"/>
        <cfvo type="percentile" val="50"/>
        <cfvo type="max"/>
        <color rgb="FF5A8AC6"/>
        <color rgb="FFFCFCFF"/>
        <color rgb="FFF8696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19E8-C250-4256-8158-3A97321EEC46}">
  <sheetPr>
    <tabColor theme="9" tint="0.39997558519241921"/>
  </sheetPr>
  <dimension ref="B4:D10"/>
  <sheetViews>
    <sheetView workbookViewId="0">
      <selection activeCell="G4" sqref="G4"/>
    </sheetView>
  </sheetViews>
  <sheetFormatPr defaultRowHeight="14.4" x14ac:dyDescent="0.3"/>
  <cols>
    <col min="2" max="2" width="13.109375" bestFit="1" customWidth="1"/>
    <col min="3" max="3" width="13.88671875" bestFit="1" customWidth="1"/>
    <col min="4" max="4" width="15.77734375" style="21" bestFit="1" customWidth="1"/>
  </cols>
  <sheetData>
    <row r="4" spans="2:4" x14ac:dyDescent="0.3">
      <c r="B4" s="16" t="s">
        <v>231</v>
      </c>
      <c r="C4" t="s">
        <v>225</v>
      </c>
      <c r="D4" s="21" t="s">
        <v>228</v>
      </c>
    </row>
    <row r="5" spans="2:4" x14ac:dyDescent="0.3">
      <c r="B5" s="9" t="s">
        <v>43</v>
      </c>
      <c r="C5" s="3">
        <v>4</v>
      </c>
      <c r="D5" s="21">
        <v>92080</v>
      </c>
    </row>
    <row r="6" spans="2:4" x14ac:dyDescent="0.3">
      <c r="B6" s="9" t="s">
        <v>10</v>
      </c>
      <c r="C6" s="3">
        <v>20</v>
      </c>
      <c r="D6" s="21">
        <v>75933</v>
      </c>
    </row>
    <row r="7" spans="2:4" x14ac:dyDescent="0.3">
      <c r="B7" s="9" t="s">
        <v>13</v>
      </c>
      <c r="C7" s="3">
        <v>137</v>
      </c>
      <c r="D7" s="21">
        <v>76798.759124087592</v>
      </c>
    </row>
    <row r="8" spans="2:4" x14ac:dyDescent="0.3">
      <c r="B8" s="9" t="s">
        <v>18</v>
      </c>
      <c r="C8" s="3">
        <v>16</v>
      </c>
      <c r="D8" s="21">
        <v>78115</v>
      </c>
    </row>
    <row r="9" spans="2:4" x14ac:dyDescent="0.3">
      <c r="B9" s="9" t="s">
        <v>49</v>
      </c>
      <c r="C9" s="3">
        <v>6</v>
      </c>
      <c r="D9" s="21">
        <v>77423.333333333328</v>
      </c>
    </row>
    <row r="10" spans="2:4" x14ac:dyDescent="0.3">
      <c r="B10" s="9" t="s">
        <v>224</v>
      </c>
      <c r="C10" s="3">
        <v>183</v>
      </c>
      <c r="D10" s="21">
        <v>77173.715846994543</v>
      </c>
    </row>
  </sheetData>
  <conditionalFormatting pivot="1" sqref="D5:D9">
    <cfRule type="dataBar" priority="1">
      <dataBar>
        <cfvo type="min"/>
        <cfvo type="max"/>
        <color rgb="FF638EC6"/>
      </dataBar>
      <extLst>
        <ext xmlns:x14="http://schemas.microsoft.com/office/spreadsheetml/2009/9/main" uri="{B025F937-C7B1-47D3-B67F-A62EFF666E3E}">
          <x14:id>{22974133-3096-4AAA-B770-4B242A4BCDE1}</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22974133-3096-4AAA-B770-4B242A4BCDE1}">
            <x14:dataBar minLength="0" maxLength="100" gradient="0">
              <x14:cfvo type="autoMin"/>
              <x14:cfvo type="autoMax"/>
              <x14:negativeFillColor rgb="FFFF0000"/>
              <x14:axisColor rgb="FF000000"/>
            </x14:dataBar>
          </x14:cfRule>
          <xm:sqref>D5:D9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AD9DF-B100-47F2-891A-FE569782A34F}">
  <dimension ref="B2:R40"/>
  <sheetViews>
    <sheetView topLeftCell="A4" workbookViewId="0">
      <selection activeCell="N20" sqref="N20"/>
    </sheetView>
  </sheetViews>
  <sheetFormatPr defaultRowHeight="14.4" x14ac:dyDescent="0.3"/>
  <cols>
    <col min="2" max="2" width="12.5546875" bestFit="1" customWidth="1"/>
    <col min="3" max="3" width="13.88671875" bestFit="1" customWidth="1"/>
    <col min="16" max="16" width="9.88671875" style="24" bestFit="1" customWidth="1"/>
    <col min="17" max="17" width="9.88671875" bestFit="1" customWidth="1"/>
    <col min="18" max="18" width="12.109375" bestFit="1" customWidth="1"/>
  </cols>
  <sheetData>
    <row r="2" spans="2:18" x14ac:dyDescent="0.3">
      <c r="P2" s="24" t="s">
        <v>249</v>
      </c>
      <c r="Q2" t="s">
        <v>250</v>
      </c>
      <c r="R2" t="s">
        <v>251</v>
      </c>
    </row>
    <row r="3" spans="2:18" x14ac:dyDescent="0.3">
      <c r="B3" s="16" t="s">
        <v>231</v>
      </c>
      <c r="C3" t="s">
        <v>225</v>
      </c>
      <c r="O3" cm="1">
        <f t="array" ref="O3:O38">_xlfn.SEQUENCE(36)</f>
        <v>1</v>
      </c>
      <c r="P3" s="24" cm="1">
        <f t="array" ref="P3:P38">EDATE(DATE(2020,4,1),_xlfn.ANCHORARRAY(O3)+0)</f>
        <v>43952</v>
      </c>
      <c r="Q3">
        <f>COUNTIFS(staff[Date Joined],"&gt;="&amp;P3,staff[Date Joined],"&lt;="&amp;EOMONTH(P3,0))</f>
        <v>3</v>
      </c>
      <c r="R3">
        <f>SUM($Q$3:Q3)</f>
        <v>3</v>
      </c>
    </row>
    <row r="4" spans="2:18" x14ac:dyDescent="0.3">
      <c r="B4" s="9" t="s">
        <v>233</v>
      </c>
      <c r="C4" s="3"/>
      <c r="O4">
        <v>2</v>
      </c>
      <c r="P4" s="24">
        <v>43983</v>
      </c>
      <c r="Q4">
        <f>COUNTIFS(staff[Date Joined],"&gt;="&amp;P4,staff[Date Joined],"&lt;="&amp;EOMONTH(P4,0))</f>
        <v>1</v>
      </c>
      <c r="R4">
        <f>SUM($Q$3:Q4)</f>
        <v>4</v>
      </c>
    </row>
    <row r="5" spans="2:18" x14ac:dyDescent="0.3">
      <c r="B5" s="23" t="s">
        <v>234</v>
      </c>
      <c r="C5" s="3">
        <v>3</v>
      </c>
      <c r="O5">
        <v>3</v>
      </c>
      <c r="P5" s="24">
        <v>44013</v>
      </c>
      <c r="Q5">
        <f>COUNTIFS(staff[Date Joined],"&gt;="&amp;P5,staff[Date Joined],"&lt;="&amp;EOMONTH(P5,0))</f>
        <v>5</v>
      </c>
      <c r="R5">
        <f>SUM($Q$3:Q5)</f>
        <v>9</v>
      </c>
    </row>
    <row r="6" spans="2:18" x14ac:dyDescent="0.3">
      <c r="B6" s="23" t="s">
        <v>235</v>
      </c>
      <c r="C6" s="3">
        <v>4</v>
      </c>
      <c r="O6">
        <v>4</v>
      </c>
      <c r="P6" s="24">
        <v>44044</v>
      </c>
      <c r="Q6">
        <f>COUNTIFS(staff[Date Joined],"&gt;="&amp;P6,staff[Date Joined],"&lt;="&amp;EOMONTH(P6,0))</f>
        <v>3</v>
      </c>
      <c r="R6">
        <f>SUM($Q$3:Q6)</f>
        <v>12</v>
      </c>
    </row>
    <row r="7" spans="2:18" x14ac:dyDescent="0.3">
      <c r="B7" s="23" t="s">
        <v>236</v>
      </c>
      <c r="C7" s="3">
        <v>9</v>
      </c>
      <c r="O7">
        <v>5</v>
      </c>
      <c r="P7" s="24">
        <v>44075</v>
      </c>
      <c r="Q7">
        <f>COUNTIFS(staff[Date Joined],"&gt;="&amp;P7,staff[Date Joined],"&lt;="&amp;EOMONTH(P7,0))</f>
        <v>6</v>
      </c>
      <c r="R7">
        <f>SUM($Q$3:Q7)</f>
        <v>18</v>
      </c>
    </row>
    <row r="8" spans="2:18" x14ac:dyDescent="0.3">
      <c r="B8" s="23" t="s">
        <v>237</v>
      </c>
      <c r="C8" s="3">
        <v>12</v>
      </c>
      <c r="O8">
        <v>6</v>
      </c>
      <c r="P8" s="24">
        <v>44105</v>
      </c>
      <c r="Q8">
        <f>COUNTIFS(staff[Date Joined],"&gt;="&amp;P8,staff[Date Joined],"&lt;="&amp;EOMONTH(P8,0))</f>
        <v>6</v>
      </c>
      <c r="R8">
        <f>SUM($Q$3:Q8)</f>
        <v>24</v>
      </c>
    </row>
    <row r="9" spans="2:18" x14ac:dyDescent="0.3">
      <c r="B9" s="23" t="s">
        <v>238</v>
      </c>
      <c r="C9" s="3">
        <v>18</v>
      </c>
      <c r="O9">
        <v>7</v>
      </c>
      <c r="P9" s="24">
        <v>44136</v>
      </c>
      <c r="Q9">
        <f>COUNTIFS(staff[Date Joined],"&gt;="&amp;P9,staff[Date Joined],"&lt;="&amp;EOMONTH(P9,0))</f>
        <v>6</v>
      </c>
      <c r="R9">
        <f>SUM($Q$3:Q9)</f>
        <v>30</v>
      </c>
    </row>
    <row r="10" spans="2:18" x14ac:dyDescent="0.3">
      <c r="B10" s="23" t="s">
        <v>239</v>
      </c>
      <c r="C10" s="3">
        <v>24</v>
      </c>
      <c r="O10">
        <v>8</v>
      </c>
      <c r="P10" s="24">
        <v>44166</v>
      </c>
      <c r="Q10">
        <f>COUNTIFS(staff[Date Joined],"&gt;="&amp;P10,staff[Date Joined],"&lt;="&amp;EOMONTH(P10,0))</f>
        <v>7</v>
      </c>
      <c r="R10">
        <f>SUM($Q$3:Q10)</f>
        <v>37</v>
      </c>
    </row>
    <row r="11" spans="2:18" x14ac:dyDescent="0.3">
      <c r="B11" s="23" t="s">
        <v>240</v>
      </c>
      <c r="C11" s="3">
        <v>30</v>
      </c>
      <c r="O11">
        <v>9</v>
      </c>
      <c r="P11" s="24">
        <v>44197</v>
      </c>
      <c r="Q11">
        <f>COUNTIFS(staff[Date Joined],"&gt;="&amp;P11,staff[Date Joined],"&lt;="&amp;EOMONTH(P11,0))</f>
        <v>6</v>
      </c>
      <c r="R11">
        <f>SUM($Q$3:Q11)</f>
        <v>43</v>
      </c>
    </row>
    <row r="12" spans="2:18" x14ac:dyDescent="0.3">
      <c r="B12" s="23" t="s">
        <v>241</v>
      </c>
      <c r="C12" s="3">
        <v>37</v>
      </c>
      <c r="O12">
        <v>10</v>
      </c>
      <c r="P12" s="24">
        <v>44228</v>
      </c>
      <c r="Q12">
        <f>COUNTIFS(staff[Date Joined],"&gt;="&amp;P12,staff[Date Joined],"&lt;="&amp;EOMONTH(P12,0))</f>
        <v>4</v>
      </c>
      <c r="R12">
        <f>SUM($Q$3:Q12)</f>
        <v>47</v>
      </c>
    </row>
    <row r="13" spans="2:18" x14ac:dyDescent="0.3">
      <c r="B13" s="9" t="s">
        <v>242</v>
      </c>
      <c r="C13" s="3"/>
      <c r="O13">
        <v>11</v>
      </c>
      <c r="P13" s="24">
        <v>44256</v>
      </c>
      <c r="Q13">
        <f>COUNTIFS(staff[Date Joined],"&gt;="&amp;P13,staff[Date Joined],"&lt;="&amp;EOMONTH(P13,0))</f>
        <v>9</v>
      </c>
      <c r="R13">
        <f>SUM($Q$3:Q13)</f>
        <v>56</v>
      </c>
    </row>
    <row r="14" spans="2:18" x14ac:dyDescent="0.3">
      <c r="B14" s="23" t="s">
        <v>243</v>
      </c>
      <c r="C14" s="3">
        <v>6</v>
      </c>
      <c r="O14">
        <v>12</v>
      </c>
      <c r="P14" s="24">
        <v>44287</v>
      </c>
      <c r="Q14">
        <f>COUNTIFS(staff[Date Joined],"&gt;="&amp;P14,staff[Date Joined],"&lt;="&amp;EOMONTH(P14,0))</f>
        <v>5</v>
      </c>
      <c r="R14">
        <f>SUM($Q$3:Q14)</f>
        <v>61</v>
      </c>
    </row>
    <row r="15" spans="2:18" x14ac:dyDescent="0.3">
      <c r="B15" s="23" t="s">
        <v>244</v>
      </c>
      <c r="C15" s="3">
        <v>10</v>
      </c>
      <c r="O15">
        <v>13</v>
      </c>
      <c r="P15" s="24">
        <v>44317</v>
      </c>
      <c r="Q15">
        <f>COUNTIFS(staff[Date Joined],"&gt;="&amp;P15,staff[Date Joined],"&lt;="&amp;EOMONTH(P15,0))</f>
        <v>10</v>
      </c>
      <c r="R15">
        <f>SUM($Q$3:Q15)</f>
        <v>71</v>
      </c>
    </row>
    <row r="16" spans="2:18" x14ac:dyDescent="0.3">
      <c r="B16" s="23" t="s">
        <v>245</v>
      </c>
      <c r="C16" s="3">
        <v>19</v>
      </c>
      <c r="O16">
        <v>14</v>
      </c>
      <c r="P16" s="24">
        <v>44348</v>
      </c>
      <c r="Q16">
        <f>COUNTIFS(staff[Date Joined],"&gt;="&amp;P16,staff[Date Joined],"&lt;="&amp;EOMONTH(P16,0))</f>
        <v>6</v>
      </c>
      <c r="R16">
        <f>SUM($Q$3:Q16)</f>
        <v>77</v>
      </c>
    </row>
    <row r="17" spans="2:18" x14ac:dyDescent="0.3">
      <c r="B17" s="23" t="s">
        <v>246</v>
      </c>
      <c r="C17" s="3">
        <v>24</v>
      </c>
      <c r="O17">
        <v>15</v>
      </c>
      <c r="P17" s="24">
        <v>44378</v>
      </c>
      <c r="Q17">
        <f>COUNTIFS(staff[Date Joined],"&gt;="&amp;P17,staff[Date Joined],"&lt;="&amp;EOMONTH(P17,0))</f>
        <v>13</v>
      </c>
      <c r="R17">
        <f>SUM($Q$3:Q17)</f>
        <v>90</v>
      </c>
    </row>
    <row r="18" spans="2:18" x14ac:dyDescent="0.3">
      <c r="B18" s="23" t="s">
        <v>234</v>
      </c>
      <c r="C18" s="3">
        <v>34</v>
      </c>
      <c r="O18">
        <v>16</v>
      </c>
      <c r="P18" s="24">
        <v>44409</v>
      </c>
      <c r="Q18">
        <f>COUNTIFS(staff[Date Joined],"&gt;="&amp;P18,staff[Date Joined],"&lt;="&amp;EOMONTH(P18,0))</f>
        <v>4</v>
      </c>
      <c r="R18">
        <f>SUM($Q$3:Q18)</f>
        <v>94</v>
      </c>
    </row>
    <row r="19" spans="2:18" x14ac:dyDescent="0.3">
      <c r="B19" s="23" t="s">
        <v>235</v>
      </c>
      <c r="C19" s="3">
        <v>40</v>
      </c>
      <c r="O19">
        <v>17</v>
      </c>
      <c r="P19" s="24">
        <v>44440</v>
      </c>
      <c r="Q19">
        <f>COUNTIFS(staff[Date Joined],"&gt;="&amp;P19,staff[Date Joined],"&lt;="&amp;EOMONTH(P19,0))</f>
        <v>11</v>
      </c>
      <c r="R19">
        <f>SUM($Q$3:Q19)</f>
        <v>105</v>
      </c>
    </row>
    <row r="20" spans="2:18" x14ac:dyDescent="0.3">
      <c r="B20" s="23" t="s">
        <v>236</v>
      </c>
      <c r="C20" s="3">
        <v>53</v>
      </c>
      <c r="O20">
        <v>18</v>
      </c>
      <c r="P20" s="24">
        <v>44470</v>
      </c>
      <c r="Q20">
        <f>COUNTIFS(staff[Date Joined],"&gt;="&amp;P20,staff[Date Joined],"&lt;="&amp;EOMONTH(P20,0))</f>
        <v>3</v>
      </c>
      <c r="R20">
        <f>SUM($Q$3:Q20)</f>
        <v>108</v>
      </c>
    </row>
    <row r="21" spans="2:18" x14ac:dyDescent="0.3">
      <c r="B21" s="23" t="s">
        <v>237</v>
      </c>
      <c r="C21" s="3">
        <v>57</v>
      </c>
      <c r="O21">
        <v>19</v>
      </c>
      <c r="P21" s="24">
        <v>44501</v>
      </c>
      <c r="Q21">
        <f>COUNTIFS(staff[Date Joined],"&gt;="&amp;P21,staff[Date Joined],"&lt;="&amp;EOMONTH(P21,0))</f>
        <v>4</v>
      </c>
      <c r="R21">
        <f>SUM($Q$3:Q21)</f>
        <v>112</v>
      </c>
    </row>
    <row r="22" spans="2:18" x14ac:dyDescent="0.3">
      <c r="B22" s="23" t="s">
        <v>238</v>
      </c>
      <c r="C22" s="3">
        <v>68</v>
      </c>
      <c r="O22">
        <v>20</v>
      </c>
      <c r="P22" s="24">
        <v>44531</v>
      </c>
      <c r="Q22">
        <f>COUNTIFS(staff[Date Joined],"&gt;="&amp;P22,staff[Date Joined],"&lt;="&amp;EOMONTH(P22,0))</f>
        <v>7</v>
      </c>
      <c r="R22">
        <f>SUM($Q$3:Q22)</f>
        <v>119</v>
      </c>
    </row>
    <row r="23" spans="2:18" x14ac:dyDescent="0.3">
      <c r="B23" s="23" t="s">
        <v>239</v>
      </c>
      <c r="C23" s="3">
        <v>71</v>
      </c>
      <c r="O23">
        <v>21</v>
      </c>
      <c r="P23" s="24">
        <v>44562</v>
      </c>
      <c r="Q23">
        <f>COUNTIFS(staff[Date Joined],"&gt;="&amp;P23,staff[Date Joined],"&lt;="&amp;EOMONTH(P23,0))</f>
        <v>3</v>
      </c>
      <c r="R23">
        <f>SUM($Q$3:Q23)</f>
        <v>122</v>
      </c>
    </row>
    <row r="24" spans="2:18" x14ac:dyDescent="0.3">
      <c r="B24" s="23" t="s">
        <v>240</v>
      </c>
      <c r="C24" s="3">
        <v>75</v>
      </c>
      <c r="O24">
        <v>22</v>
      </c>
      <c r="P24" s="24">
        <v>44593</v>
      </c>
      <c r="Q24">
        <f>COUNTIFS(staff[Date Joined],"&gt;="&amp;P24,staff[Date Joined],"&lt;="&amp;EOMONTH(P24,0))</f>
        <v>10</v>
      </c>
      <c r="R24">
        <f>SUM($Q$3:Q24)</f>
        <v>132</v>
      </c>
    </row>
    <row r="25" spans="2:18" x14ac:dyDescent="0.3">
      <c r="B25" s="23" t="s">
        <v>241</v>
      </c>
      <c r="C25" s="3">
        <v>82</v>
      </c>
      <c r="O25">
        <v>23</v>
      </c>
      <c r="P25" s="24">
        <v>44621</v>
      </c>
      <c r="Q25">
        <f>COUNTIFS(staff[Date Joined],"&gt;="&amp;P25,staff[Date Joined],"&lt;="&amp;EOMONTH(P25,0))</f>
        <v>9</v>
      </c>
      <c r="R25">
        <f>SUM($Q$3:Q25)</f>
        <v>141</v>
      </c>
    </row>
    <row r="26" spans="2:18" x14ac:dyDescent="0.3">
      <c r="B26" s="9" t="s">
        <v>247</v>
      </c>
      <c r="C26" s="3"/>
      <c r="O26">
        <v>24</v>
      </c>
      <c r="P26" s="24">
        <v>44652</v>
      </c>
      <c r="Q26">
        <f>COUNTIFS(staff[Date Joined],"&gt;="&amp;P26,staff[Date Joined],"&lt;="&amp;EOMONTH(P26,0))</f>
        <v>9</v>
      </c>
      <c r="R26">
        <f>SUM($Q$3:Q26)</f>
        <v>150</v>
      </c>
    </row>
    <row r="27" spans="2:18" x14ac:dyDescent="0.3">
      <c r="B27" s="23" t="s">
        <v>243</v>
      </c>
      <c r="C27" s="3">
        <v>3</v>
      </c>
      <c r="O27">
        <v>25</v>
      </c>
      <c r="P27" s="24">
        <v>44682</v>
      </c>
      <c r="Q27">
        <f>COUNTIFS(staff[Date Joined],"&gt;="&amp;P27,staff[Date Joined],"&lt;="&amp;EOMONTH(P27,0))</f>
        <v>9</v>
      </c>
      <c r="R27">
        <f>SUM($Q$3:Q27)</f>
        <v>159</v>
      </c>
    </row>
    <row r="28" spans="2:18" x14ac:dyDescent="0.3">
      <c r="B28" s="23" t="s">
        <v>244</v>
      </c>
      <c r="C28" s="3">
        <v>13</v>
      </c>
      <c r="O28">
        <v>26</v>
      </c>
      <c r="P28" s="24">
        <v>44713</v>
      </c>
      <c r="Q28">
        <f>COUNTIFS(staff[Date Joined],"&gt;="&amp;P28,staff[Date Joined],"&lt;="&amp;EOMONTH(P28,0))</f>
        <v>7</v>
      </c>
      <c r="R28">
        <f>SUM($Q$3:Q28)</f>
        <v>166</v>
      </c>
    </row>
    <row r="29" spans="2:18" x14ac:dyDescent="0.3">
      <c r="B29" s="23" t="s">
        <v>245</v>
      </c>
      <c r="C29" s="3">
        <v>22</v>
      </c>
      <c r="O29">
        <v>27</v>
      </c>
      <c r="P29" s="24">
        <v>44743</v>
      </c>
      <c r="Q29">
        <f>COUNTIFS(staff[Date Joined],"&gt;="&amp;P29,staff[Date Joined],"&lt;="&amp;EOMONTH(P29,0))</f>
        <v>5</v>
      </c>
      <c r="R29">
        <f>SUM($Q$3:Q29)</f>
        <v>171</v>
      </c>
    </row>
    <row r="30" spans="2:18" x14ac:dyDescent="0.3">
      <c r="B30" s="23" t="s">
        <v>246</v>
      </c>
      <c r="C30" s="3">
        <v>31</v>
      </c>
      <c r="O30">
        <v>28</v>
      </c>
      <c r="P30" s="24">
        <v>44774</v>
      </c>
      <c r="Q30">
        <f>COUNTIFS(staff[Date Joined],"&gt;="&amp;P30,staff[Date Joined],"&lt;="&amp;EOMONTH(P30,0))</f>
        <v>5</v>
      </c>
      <c r="R30">
        <f>SUM($Q$3:Q30)</f>
        <v>176</v>
      </c>
    </row>
    <row r="31" spans="2:18" x14ac:dyDescent="0.3">
      <c r="B31" s="23" t="s">
        <v>234</v>
      </c>
      <c r="C31" s="3">
        <v>40</v>
      </c>
      <c r="O31">
        <v>29</v>
      </c>
      <c r="P31" s="24">
        <v>44805</v>
      </c>
      <c r="Q31">
        <f>COUNTIFS(staff[Date Joined],"&gt;="&amp;P31,staff[Date Joined],"&lt;="&amp;EOMONTH(P31,0))</f>
        <v>2</v>
      </c>
      <c r="R31">
        <f>SUM($Q$3:Q31)</f>
        <v>178</v>
      </c>
    </row>
    <row r="32" spans="2:18" x14ac:dyDescent="0.3">
      <c r="B32" s="23" t="s">
        <v>235</v>
      </c>
      <c r="C32" s="3">
        <v>47</v>
      </c>
      <c r="O32">
        <v>30</v>
      </c>
      <c r="P32" s="24">
        <v>44835</v>
      </c>
      <c r="Q32">
        <f>COUNTIFS(staff[Date Joined],"&gt;="&amp;P32,staff[Date Joined],"&lt;="&amp;EOMONTH(P32,0))</f>
        <v>3</v>
      </c>
      <c r="R32">
        <f>SUM($Q$3:Q32)</f>
        <v>181</v>
      </c>
    </row>
    <row r="33" spans="2:18" x14ac:dyDescent="0.3">
      <c r="B33" s="23" t="s">
        <v>236</v>
      </c>
      <c r="C33" s="3">
        <v>52</v>
      </c>
      <c r="O33">
        <v>31</v>
      </c>
      <c r="P33" s="24">
        <v>44866</v>
      </c>
      <c r="Q33">
        <f>COUNTIFS(staff[Date Joined],"&gt;="&amp;P33,staff[Date Joined],"&lt;="&amp;EOMONTH(P33,0))</f>
        <v>0</v>
      </c>
      <c r="R33">
        <f>SUM($Q$3:Q33)</f>
        <v>181</v>
      </c>
    </row>
    <row r="34" spans="2:18" x14ac:dyDescent="0.3">
      <c r="B34" s="23" t="s">
        <v>237</v>
      </c>
      <c r="C34" s="3">
        <v>57</v>
      </c>
      <c r="O34">
        <v>32</v>
      </c>
      <c r="P34" s="24">
        <v>44896</v>
      </c>
      <c r="Q34">
        <f>COUNTIFS(staff[Date Joined],"&gt;="&amp;P34,staff[Date Joined],"&lt;="&amp;EOMONTH(P34,0))</f>
        <v>0</v>
      </c>
      <c r="R34">
        <f>SUM($Q$3:Q34)</f>
        <v>181</v>
      </c>
    </row>
    <row r="35" spans="2:18" x14ac:dyDescent="0.3">
      <c r="B35" s="23" t="s">
        <v>238</v>
      </c>
      <c r="C35" s="3">
        <v>59</v>
      </c>
      <c r="O35">
        <v>33</v>
      </c>
      <c r="P35" s="24">
        <v>44927</v>
      </c>
      <c r="Q35">
        <f>COUNTIFS(staff[Date Joined],"&gt;="&amp;P35,staff[Date Joined],"&lt;="&amp;EOMONTH(P35,0))</f>
        <v>0</v>
      </c>
      <c r="R35">
        <f>SUM($Q$3:Q35)</f>
        <v>181</v>
      </c>
    </row>
    <row r="36" spans="2:18" x14ac:dyDescent="0.3">
      <c r="B36" s="23" t="s">
        <v>239</v>
      </c>
      <c r="C36" s="3">
        <v>62</v>
      </c>
      <c r="O36">
        <v>34</v>
      </c>
      <c r="P36" s="24">
        <v>44958</v>
      </c>
      <c r="Q36">
        <f>COUNTIFS(staff[Date Joined],"&gt;="&amp;P36,staff[Date Joined],"&lt;="&amp;EOMONTH(P36,0))</f>
        <v>1</v>
      </c>
      <c r="R36">
        <f>SUM($Q$3:Q36)</f>
        <v>182</v>
      </c>
    </row>
    <row r="37" spans="2:18" x14ac:dyDescent="0.3">
      <c r="B37" s="9" t="s">
        <v>248</v>
      </c>
      <c r="C37" s="3"/>
      <c r="O37">
        <v>35</v>
      </c>
      <c r="P37" s="24">
        <v>44986</v>
      </c>
      <c r="Q37">
        <f>COUNTIFS(staff[Date Joined],"&gt;="&amp;P37,staff[Date Joined],"&lt;="&amp;EOMONTH(P37,0))</f>
        <v>0</v>
      </c>
      <c r="R37">
        <f>SUM($Q$3:Q37)</f>
        <v>182</v>
      </c>
    </row>
    <row r="38" spans="2:18" x14ac:dyDescent="0.3">
      <c r="B38" s="23" t="s">
        <v>244</v>
      </c>
      <c r="C38" s="3">
        <v>1</v>
      </c>
      <c r="O38">
        <v>36</v>
      </c>
      <c r="P38" s="24">
        <v>45017</v>
      </c>
      <c r="Q38">
        <f>COUNTIFS(staff[Date Joined],"&gt;="&amp;P38,staff[Date Joined],"&lt;="&amp;EOMONTH(P38,0))</f>
        <v>1</v>
      </c>
      <c r="R38">
        <f>SUM($Q$3:Q38)</f>
        <v>183</v>
      </c>
    </row>
    <row r="39" spans="2:18" x14ac:dyDescent="0.3">
      <c r="B39" s="23" t="s">
        <v>246</v>
      </c>
      <c r="C39" s="3">
        <v>2</v>
      </c>
    </row>
    <row r="40" spans="2:18" x14ac:dyDescent="0.3">
      <c r="B40" s="9" t="s">
        <v>224</v>
      </c>
      <c r="C40" s="3"/>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CAE8-210A-4AF8-9E56-59689827B568}">
  <sheetPr>
    <tabColor rgb="FF00B0F0"/>
  </sheetPr>
  <dimension ref="B3:M26"/>
  <sheetViews>
    <sheetView showGridLines="0" tabSelected="1" zoomScale="90" zoomScaleNormal="90" workbookViewId="0">
      <selection activeCell="G4" sqref="G4"/>
    </sheetView>
  </sheetViews>
  <sheetFormatPr defaultRowHeight="14.4" x14ac:dyDescent="0.3"/>
  <cols>
    <col min="2" max="2" width="22.44140625" customWidth="1"/>
    <col min="3" max="3" width="2.88671875" customWidth="1"/>
    <col min="4" max="4" width="21.21875" customWidth="1"/>
    <col min="5" max="5" width="3.21875" customWidth="1"/>
    <col min="6" max="6" width="23.88671875" customWidth="1"/>
    <col min="8" max="8" width="8.88671875" customWidth="1"/>
    <col min="9" max="9" width="22.44140625" customWidth="1"/>
    <col min="10" max="10" width="2.88671875" customWidth="1"/>
    <col min="11" max="11" width="21.21875" customWidth="1"/>
    <col min="12" max="12" width="3.21875" customWidth="1"/>
    <col min="13" max="13" width="23.88671875" customWidth="1"/>
  </cols>
  <sheetData>
    <row r="3" spans="2:13" ht="12.6" customHeight="1" x14ac:dyDescent="0.3"/>
    <row r="4" spans="2:13" ht="44.4" customHeight="1" x14ac:dyDescent="0.3">
      <c r="B4" s="41" t="s">
        <v>253</v>
      </c>
      <c r="C4" s="41"/>
      <c r="D4" s="41"/>
      <c r="E4" s="41"/>
      <c r="F4" s="41"/>
      <c r="I4" s="41" t="s">
        <v>254</v>
      </c>
      <c r="J4" s="41"/>
      <c r="K4" s="41"/>
      <c r="L4" s="41"/>
      <c r="M4" s="41"/>
    </row>
    <row r="5" spans="2:13" ht="93" customHeight="1" x14ac:dyDescent="0.3">
      <c r="B5" s="34">
        <f>COUNTIFS(staff[Country],"NZ")</f>
        <v>91</v>
      </c>
      <c r="D5" s="36">
        <f>COUNTIFS(staff[Country],"NZ",staff[Gender],"Female")/B5</f>
        <v>0.47252747252747251</v>
      </c>
      <c r="F5" s="35">
        <f>AVERAGEIFS(staff[Salary],staff[Country],"NZ")</f>
        <v>76978.791208791212</v>
      </c>
      <c r="I5" s="37">
        <f>COUNTIFS(staff[Country],"IND")</f>
        <v>92</v>
      </c>
      <c r="K5" s="39">
        <f>COUNTIFS(staff[Country],"IND",staff[Gender],"Female")/I5</f>
        <v>0.46739130434782611</v>
      </c>
      <c r="M5" s="38">
        <f>AVERAGEIFS(staff[Salary],staff[Country],"IND")</f>
        <v>77366.521739130432</v>
      </c>
    </row>
    <row r="7" spans="2:13" x14ac:dyDescent="0.3">
      <c r="B7" s="40" t="s">
        <v>252</v>
      </c>
      <c r="C7" s="40"/>
      <c r="D7" s="40"/>
      <c r="E7" s="40"/>
      <c r="F7" s="40"/>
      <c r="G7" s="40"/>
      <c r="H7" s="40"/>
      <c r="I7" s="40"/>
      <c r="J7" s="40"/>
      <c r="K7" s="40"/>
      <c r="L7" s="40"/>
      <c r="M7" s="40"/>
    </row>
    <row r="8" spans="2:13" x14ac:dyDescent="0.3">
      <c r="B8" s="40"/>
      <c r="C8" s="40"/>
      <c r="D8" s="40"/>
      <c r="E8" s="40"/>
      <c r="F8" s="40"/>
      <c r="G8" s="40"/>
      <c r="H8" s="40"/>
      <c r="I8" s="40"/>
      <c r="J8" s="40"/>
      <c r="K8" s="40"/>
      <c r="L8" s="40"/>
      <c r="M8" s="40"/>
    </row>
    <row r="9" spans="2:13" x14ac:dyDescent="0.3">
      <c r="B9" s="40"/>
      <c r="C9" s="40"/>
      <c r="D9" s="40"/>
      <c r="E9" s="40"/>
      <c r="F9" s="40"/>
      <c r="G9" s="40"/>
      <c r="H9" s="40"/>
      <c r="I9" s="40"/>
      <c r="J9" s="40"/>
      <c r="K9" s="40"/>
      <c r="L9" s="40"/>
      <c r="M9" s="40"/>
    </row>
    <row r="11" spans="2:13" x14ac:dyDescent="0.3">
      <c r="B11" s="25"/>
      <c r="C11" s="26"/>
      <c r="D11" s="26"/>
      <c r="E11" s="26"/>
      <c r="F11" s="27"/>
      <c r="I11" s="25"/>
      <c r="J11" s="26"/>
      <c r="K11" s="26"/>
      <c r="L11" s="26"/>
      <c r="M11" s="27"/>
    </row>
    <row r="12" spans="2:13" x14ac:dyDescent="0.3">
      <c r="B12" s="28"/>
      <c r="C12" s="29"/>
      <c r="D12" s="29"/>
      <c r="E12" s="29"/>
      <c r="F12" s="30"/>
      <c r="I12" s="28"/>
      <c r="J12" s="29"/>
      <c r="K12" s="29"/>
      <c r="L12" s="29"/>
      <c r="M12" s="30"/>
    </row>
    <row r="13" spans="2:13" x14ac:dyDescent="0.3">
      <c r="B13" s="28"/>
      <c r="C13" s="29"/>
      <c r="D13" s="29"/>
      <c r="E13" s="29"/>
      <c r="F13" s="30"/>
      <c r="I13" s="28"/>
      <c r="J13" s="29"/>
      <c r="K13" s="29"/>
      <c r="L13" s="29"/>
      <c r="M13" s="30"/>
    </row>
    <row r="14" spans="2:13" x14ac:dyDescent="0.3">
      <c r="B14" s="28"/>
      <c r="C14" s="29"/>
      <c r="D14" s="29"/>
      <c r="E14" s="29"/>
      <c r="F14" s="30"/>
      <c r="I14" s="28"/>
      <c r="J14" s="29"/>
      <c r="K14" s="29"/>
      <c r="L14" s="29"/>
      <c r="M14" s="30"/>
    </row>
    <row r="15" spans="2:13" x14ac:dyDescent="0.3">
      <c r="B15" s="28"/>
      <c r="C15" s="29"/>
      <c r="D15" s="29"/>
      <c r="E15" s="29"/>
      <c r="F15" s="30"/>
      <c r="I15" s="28"/>
      <c r="J15" s="29"/>
      <c r="K15" s="29"/>
      <c r="L15" s="29"/>
      <c r="M15" s="30"/>
    </row>
    <row r="16" spans="2:13" x14ac:dyDescent="0.3">
      <c r="B16" s="28"/>
      <c r="C16" s="29"/>
      <c r="D16" s="29"/>
      <c r="E16" s="29"/>
      <c r="F16" s="30"/>
      <c r="I16" s="28"/>
      <c r="J16" s="29"/>
      <c r="K16" s="29"/>
      <c r="L16" s="29"/>
      <c r="M16" s="30"/>
    </row>
    <row r="17" spans="2:13" x14ac:dyDescent="0.3">
      <c r="B17" s="28"/>
      <c r="C17" s="29"/>
      <c r="D17" s="29"/>
      <c r="E17" s="29"/>
      <c r="F17" s="30"/>
      <c r="I17" s="28"/>
      <c r="J17" s="29"/>
      <c r="K17" s="29"/>
      <c r="L17" s="29"/>
      <c r="M17" s="30"/>
    </row>
    <row r="18" spans="2:13" x14ac:dyDescent="0.3">
      <c r="B18" s="28"/>
      <c r="C18" s="29"/>
      <c r="D18" s="29"/>
      <c r="E18" s="29"/>
      <c r="F18" s="30"/>
      <c r="I18" s="28"/>
      <c r="J18" s="29"/>
      <c r="K18" s="29"/>
      <c r="L18" s="29"/>
      <c r="M18" s="30"/>
    </row>
    <row r="19" spans="2:13" x14ac:dyDescent="0.3">
      <c r="B19" s="28"/>
      <c r="C19" s="29"/>
      <c r="D19" s="29"/>
      <c r="E19" s="29"/>
      <c r="F19" s="30"/>
      <c r="I19" s="28"/>
      <c r="J19" s="29"/>
      <c r="K19" s="29"/>
      <c r="L19" s="29"/>
      <c r="M19" s="30"/>
    </row>
    <row r="20" spans="2:13" x14ac:dyDescent="0.3">
      <c r="B20" s="28"/>
      <c r="C20" s="29"/>
      <c r="D20" s="29"/>
      <c r="E20" s="29"/>
      <c r="F20" s="30"/>
      <c r="I20" s="28"/>
      <c r="J20" s="29"/>
      <c r="K20" s="29"/>
      <c r="L20" s="29"/>
      <c r="M20" s="30"/>
    </row>
    <row r="21" spans="2:13" x14ac:dyDescent="0.3">
      <c r="B21" s="28"/>
      <c r="C21" s="29"/>
      <c r="D21" s="29"/>
      <c r="E21" s="29"/>
      <c r="F21" s="30"/>
      <c r="I21" s="28"/>
      <c r="J21" s="29"/>
      <c r="K21" s="29"/>
      <c r="L21" s="29"/>
      <c r="M21" s="30"/>
    </row>
    <row r="22" spans="2:13" x14ac:dyDescent="0.3">
      <c r="B22" s="28"/>
      <c r="C22" s="29"/>
      <c r="D22" s="29"/>
      <c r="E22" s="29"/>
      <c r="F22" s="30"/>
      <c r="I22" s="28"/>
      <c r="J22" s="29"/>
      <c r="K22" s="29"/>
      <c r="L22" s="29"/>
      <c r="M22" s="30"/>
    </row>
    <row r="23" spans="2:13" x14ac:dyDescent="0.3">
      <c r="B23" s="28"/>
      <c r="C23" s="29"/>
      <c r="D23" s="29"/>
      <c r="E23" s="29"/>
      <c r="F23" s="30"/>
      <c r="I23" s="28"/>
      <c r="J23" s="29"/>
      <c r="K23" s="29"/>
      <c r="L23" s="29"/>
      <c r="M23" s="30"/>
    </row>
    <row r="24" spans="2:13" x14ac:dyDescent="0.3">
      <c r="B24" s="28"/>
      <c r="C24" s="29"/>
      <c r="D24" s="29"/>
      <c r="E24" s="29"/>
      <c r="F24" s="30"/>
      <c r="I24" s="28"/>
      <c r="J24" s="29"/>
      <c r="K24" s="29"/>
      <c r="L24" s="29"/>
      <c r="M24" s="30"/>
    </row>
    <row r="25" spans="2:13" x14ac:dyDescent="0.3">
      <c r="B25" s="28"/>
      <c r="C25" s="29"/>
      <c r="D25" s="29"/>
      <c r="E25" s="29"/>
      <c r="F25" s="30"/>
      <c r="I25" s="28"/>
      <c r="J25" s="29"/>
      <c r="K25" s="29"/>
      <c r="L25" s="29"/>
      <c r="M25" s="30"/>
    </row>
    <row r="26" spans="2:13" x14ac:dyDescent="0.3">
      <c r="B26" s="31"/>
      <c r="C26" s="32"/>
      <c r="D26" s="32"/>
      <c r="E26" s="32"/>
      <c r="F26" s="33"/>
      <c r="I26" s="31"/>
      <c r="J26" s="32"/>
      <c r="K26" s="32"/>
      <c r="L26" s="32"/>
      <c r="M26" s="33"/>
    </row>
  </sheetData>
  <mergeCells count="3">
    <mergeCell ref="B7:M9"/>
    <mergeCell ref="B4:F4"/>
    <mergeCell ref="I4:M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AA449-6E56-421C-9B58-AC0B434BE416}">
  <dimension ref="B2:F10"/>
  <sheetViews>
    <sheetView workbookViewId="0">
      <selection activeCell="I20" sqref="I20"/>
    </sheetView>
  </sheetViews>
  <sheetFormatPr defaultRowHeight="14.4" x14ac:dyDescent="0.3"/>
  <cols>
    <col min="2" max="2" width="12.5546875" bestFit="1" customWidth="1"/>
    <col min="3" max="3" width="13.88671875" bestFit="1" customWidth="1"/>
    <col min="5" max="5" width="12.5546875" bestFit="1" customWidth="1"/>
    <col min="6" max="6" width="13.88671875" bestFit="1" customWidth="1"/>
  </cols>
  <sheetData>
    <row r="2" spans="2:6" x14ac:dyDescent="0.3">
      <c r="B2" s="16" t="s">
        <v>203</v>
      </c>
      <c r="C2" t="s" vm="1">
        <v>204</v>
      </c>
      <c r="E2" s="16" t="s">
        <v>203</v>
      </c>
      <c r="F2" t="s" vm="2">
        <v>206</v>
      </c>
    </row>
    <row r="4" spans="2:6" x14ac:dyDescent="0.3">
      <c r="B4" s="16" t="s">
        <v>231</v>
      </c>
      <c r="C4" t="s">
        <v>225</v>
      </c>
      <c r="E4" s="16" t="s">
        <v>231</v>
      </c>
      <c r="F4" t="s">
        <v>225</v>
      </c>
    </row>
    <row r="5" spans="2:6" x14ac:dyDescent="0.3">
      <c r="B5" s="9" t="s">
        <v>12</v>
      </c>
      <c r="C5" s="3">
        <v>28</v>
      </c>
      <c r="E5" s="9" t="s">
        <v>23</v>
      </c>
      <c r="F5" s="3">
        <v>27</v>
      </c>
    </row>
    <row r="6" spans="2:6" x14ac:dyDescent="0.3">
      <c r="B6" s="9" t="s">
        <v>23</v>
      </c>
      <c r="C6" s="3">
        <v>27</v>
      </c>
      <c r="E6" s="9" t="s">
        <v>12</v>
      </c>
      <c r="F6" s="3">
        <v>27</v>
      </c>
    </row>
    <row r="7" spans="2:6" x14ac:dyDescent="0.3">
      <c r="B7" s="9" t="s">
        <v>17</v>
      </c>
      <c r="C7" s="3">
        <v>19</v>
      </c>
      <c r="E7" s="9" t="s">
        <v>17</v>
      </c>
      <c r="F7" s="3">
        <v>19</v>
      </c>
    </row>
    <row r="8" spans="2:6" x14ac:dyDescent="0.3">
      <c r="B8" s="9" t="s">
        <v>9</v>
      </c>
      <c r="C8" s="3">
        <v>14</v>
      </c>
      <c r="E8" s="9" t="s">
        <v>9</v>
      </c>
      <c r="F8" s="3">
        <v>14</v>
      </c>
    </row>
    <row r="9" spans="2:6" x14ac:dyDescent="0.3">
      <c r="B9" s="9" t="s">
        <v>26</v>
      </c>
      <c r="C9" s="3">
        <v>4</v>
      </c>
      <c r="E9" s="9" t="s">
        <v>26</v>
      </c>
      <c r="F9" s="3">
        <v>4</v>
      </c>
    </row>
    <row r="10" spans="2:6" x14ac:dyDescent="0.3">
      <c r="B10" s="9" t="s">
        <v>224</v>
      </c>
      <c r="C10" s="3">
        <v>92</v>
      </c>
      <c r="E10" s="9" t="s">
        <v>224</v>
      </c>
      <c r="F10" s="3">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331C-8AEB-4338-B872-8C1DD536B30B}">
  <dimension ref="B3:C7"/>
  <sheetViews>
    <sheetView workbookViewId="0">
      <selection activeCell="F9" sqref="F9"/>
    </sheetView>
  </sheetViews>
  <sheetFormatPr defaultRowHeight="14.4" x14ac:dyDescent="0.3"/>
  <cols>
    <col min="2" max="2" width="13.109375" bestFit="1" customWidth="1"/>
  </cols>
  <sheetData>
    <row r="3" spans="2:3" x14ac:dyDescent="0.3">
      <c r="B3" s="22" t="s">
        <v>43</v>
      </c>
      <c r="C3" s="10">
        <v>5</v>
      </c>
    </row>
    <row r="4" spans="2:3" x14ac:dyDescent="0.3">
      <c r="B4" s="22" t="s">
        <v>10</v>
      </c>
      <c r="C4" s="10">
        <v>4</v>
      </c>
    </row>
    <row r="5" spans="2:3" x14ac:dyDescent="0.3">
      <c r="B5" s="22" t="s">
        <v>13</v>
      </c>
      <c r="C5" s="10">
        <v>3</v>
      </c>
    </row>
    <row r="6" spans="2:3" x14ac:dyDescent="0.3">
      <c r="B6" s="22" t="s">
        <v>18</v>
      </c>
      <c r="C6" s="10">
        <v>2</v>
      </c>
    </row>
    <row r="7" spans="2:3" x14ac:dyDescent="0.3">
      <c r="B7" s="22" t="s">
        <v>49</v>
      </c>
      <c r="C7" s="10">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BF761E-6978-44FB-AC46-AA8A167291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staff</vt:lpstr>
      <vt:lpstr>ALL STAFF</vt:lpstr>
      <vt:lpstr>Info Finder v2.0</vt:lpstr>
      <vt:lpstr>Male VS Female</vt:lpstr>
      <vt:lpstr>Salary Spread</vt:lpstr>
      <vt:lpstr>Salary VS Rating</vt:lpstr>
      <vt:lpstr>Sheet9</vt:lpstr>
      <vt:lpstr>New Zeland VS India</vt:lpstr>
      <vt:lpstr>Sheet11</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Isailovic</dc:creator>
  <cp:lastModifiedBy>Milan Isailovic</cp:lastModifiedBy>
  <dcterms:created xsi:type="dcterms:W3CDTF">2024-03-02T21:56:41Z</dcterms:created>
  <dcterms:modified xsi:type="dcterms:W3CDTF">2024-03-05T22:20:37Z</dcterms:modified>
</cp:coreProperties>
</file>