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ablock_usgs_gov/Documents/Desktop/FreqResp_sulis_202106/"/>
    </mc:Choice>
  </mc:AlternateContent>
  <xr:revisionPtr revIDLastSave="125" documentId="8_{D2C80AB3-E93D-45D6-8506-F0CF90F86360}" xr6:coauthVersionLast="46" xr6:coauthVersionMax="46" xr10:uidLastSave="{1BC9B344-D4A2-4980-8E43-405F59B1DE1D}"/>
  <bookViews>
    <workbookView xWindow="4956" yWindow="1032" windowWidth="17484" windowHeight="10992" tabRatio="735" firstSheet="1" activeTab="3" xr2:uid="{3F598FC2-BF02-4781-9031-8C6D9E701F9E}"/>
  </bookViews>
  <sheets>
    <sheet name="explanation" sheetId="1" r:id="rId1"/>
    <sheet name="Qamar 2401a" sheetId="4" r:id="rId2"/>
    <sheet name="L4 puti yyyymmdd" sheetId="23" r:id="rId3"/>
    <sheet name="seisan inputs, PS-2, PSN" sheetId="6" r:id="rId4"/>
    <sheet name="SP damping" sheetId="3" r:id="rId5"/>
    <sheet name="full eq" sheetId="19" r:id="rId6"/>
    <sheet name="scratch sheet" sheetId="24" r:id="rId7"/>
    <sheet name="ct_v" sheetId="11" r:id="rId8"/>
  </sheets>
  <definedNames>
    <definedName name="ADC" localSheetId="5">'full eq'!$D$21</definedName>
    <definedName name="CoilRes" localSheetId="2">'L4 puti yyyymmdd'!$H$13</definedName>
    <definedName name="CoilRes" localSheetId="1">'Qamar 2401a'!$H$40</definedName>
    <definedName name="Damping" localSheetId="5">'full eq'!$D$13</definedName>
    <definedName name="desiredB" localSheetId="2">'L4 puti yyyymmdd'!$H$17</definedName>
    <definedName name="desiredB" localSheetId="1">'Qamar 2401a'!$H$44</definedName>
    <definedName name="Disc_Hz_V" localSheetId="5">'full eq'!$D$18</definedName>
    <definedName name="DiscLoPass" localSheetId="5">'full eq'!$D$19</definedName>
    <definedName name="f" localSheetId="5">'full eq'!$D$11</definedName>
    <definedName name="f0" localSheetId="5">'full eq'!$D$12</definedName>
    <definedName name="G" localSheetId="2">'L4 puti yyyymmdd'!$K$29</definedName>
    <definedName name="G" localSheetId="1">'Qamar 2401a'!$P$56</definedName>
    <definedName name="GammaAvg" localSheetId="2">'L4 puti yyyymmdd'!$I$29</definedName>
    <definedName name="GammaAvg" localSheetId="1">'Qamar 2401a'!$M$56</definedName>
    <definedName name="Ge" localSheetId="2">'L4 puti yyyymmdd'!$H$15</definedName>
    <definedName name="Ge" localSheetId="1">'Qamar 2401a'!$H$42</definedName>
    <definedName name="mass" localSheetId="2">'L4 puti yyyymmdd'!$H$12</definedName>
    <definedName name="mass" localSheetId="1">'Qamar 2401a'!$H$39</definedName>
    <definedName name="Mc8HiPass" localSheetId="5">'full eq'!$D$20</definedName>
    <definedName name="McVCO_V_Hz" localSheetId="5">'full eq'!$D$17</definedName>
    <definedName name="McVCOgain_dB" localSheetId="5">'full eq'!$D$15</definedName>
    <definedName name="McVCOloPass" localSheetId="5">'full eq'!$D$16</definedName>
    <definedName name="MechB" localSheetId="2">'L4 puti yyyymmdd'!$G$23</definedName>
    <definedName name="MechB" localSheetId="1">'Qamar 2401a'!$J$50</definedName>
    <definedName name="MotorConst" localSheetId="5">'full eq'!$D$14</definedName>
    <definedName name="NatlFreePer" localSheetId="2">'L4 puti yyyymmdd'!$H$23</definedName>
    <definedName name="NatlFreePer" localSheetId="1">'Qamar 2401a'!$K$50</definedName>
    <definedName name="Rab" localSheetId="2">'L4 puti yyyymmdd'!$J$36</definedName>
    <definedName name="Rab" localSheetId="1">'Qamar 2401a'!$J$67</definedName>
    <definedName name="Ramp" localSheetId="2">'L4 puti yyyymmdd'!$H$16</definedName>
    <definedName name="Ramp" localSheetId="1">'Qamar 2401a'!$H$43</definedName>
    <definedName name="Re" localSheetId="2">'L4 puti yyyymmdd'!$J$34</definedName>
    <definedName name="Re" localSheetId="1">'Qamar 2401a'!$J$65</definedName>
    <definedName name="SerialNumber">'L4 puti yyyymmdd'!$H$10</definedName>
    <definedName name="t_d">'L4 puti yyyymmdd'!$H$14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4" l="1"/>
  <c r="D7" i="24"/>
  <c r="E6" i="24"/>
  <c r="E5" i="24"/>
  <c r="L16" i="3"/>
  <c r="M16" i="3" s="1"/>
  <c r="I16" i="3"/>
  <c r="H16" i="3"/>
  <c r="N16" i="3" s="1"/>
  <c r="T16" i="3" l="1"/>
  <c r="S16" i="3"/>
  <c r="R16" i="3"/>
  <c r="Q16" i="3"/>
  <c r="P16" i="3"/>
  <c r="O16" i="3"/>
  <c r="U16" i="3"/>
  <c r="D48" i="23"/>
  <c r="G28" i="23"/>
  <c r="G27" i="23"/>
  <c r="G26" i="23"/>
  <c r="I26" i="23" s="1"/>
  <c r="G25" i="23"/>
  <c r="G23" i="23"/>
  <c r="H48" i="23" s="1"/>
  <c r="H23" i="23" l="1"/>
  <c r="K27" i="23" s="1"/>
  <c r="I27" i="23"/>
  <c r="I25" i="23"/>
  <c r="I29" i="23" s="1"/>
  <c r="J34" i="23" s="1"/>
  <c r="I28" i="23"/>
  <c r="K25" i="23" l="1"/>
  <c r="K29" i="23" s="1"/>
  <c r="K26" i="23"/>
  <c r="K28" i="23"/>
  <c r="G48" i="23" l="1"/>
  <c r="J36" i="23"/>
  <c r="I48" i="23"/>
  <c r="J48" i="23" s="1"/>
  <c r="J39" i="23" l="1"/>
  <c r="J41" i="23"/>
  <c r="B67" i="19" l="1"/>
  <c r="B46" i="19"/>
  <c r="B29" i="19"/>
  <c r="B28" i="19"/>
  <c r="D48" i="11" l="1"/>
  <c r="B82" i="19" l="1"/>
  <c r="B70" i="19" l="1"/>
  <c r="C104" i="19"/>
  <c r="C103" i="19"/>
  <c r="B86" i="19" l="1"/>
  <c r="H86" i="19"/>
  <c r="B90" i="19"/>
  <c r="B85" i="19"/>
  <c r="B84" i="19"/>
  <c r="B87" i="19" s="1"/>
  <c r="B78" i="19"/>
  <c r="D84" i="19" l="1"/>
  <c r="C35" i="19"/>
  <c r="M74" i="19"/>
  <c r="L74" i="19"/>
  <c r="M72" i="19"/>
  <c r="L72" i="19"/>
  <c r="B62" i="19"/>
  <c r="B57" i="19"/>
  <c r="B50" i="19"/>
  <c r="H73" i="19"/>
  <c r="J73" i="19" s="1"/>
  <c r="K71" i="19"/>
  <c r="H71" i="19"/>
  <c r="J71" i="19" s="1"/>
  <c r="H54" i="19"/>
  <c r="K54" i="19" s="1"/>
  <c r="H52" i="19"/>
  <c r="K52" i="19" s="1"/>
  <c r="B44" i="19"/>
  <c r="B83" i="19"/>
  <c r="B91" i="19" s="1"/>
  <c r="B95" i="19" s="1"/>
  <c r="D18" i="19"/>
  <c r="D17" i="19"/>
  <c r="K35" i="19"/>
  <c r="I35" i="19"/>
  <c r="E35" i="19"/>
  <c r="B27" i="19"/>
  <c r="L73" i="19" l="1"/>
  <c r="M73" i="19"/>
  <c r="L71" i="19"/>
  <c r="M71" i="19"/>
  <c r="K73" i="19"/>
  <c r="J54" i="19"/>
  <c r="J52" i="19"/>
  <c r="M54" i="19" l="1"/>
  <c r="M55" i="19" s="1"/>
  <c r="L54" i="19"/>
  <c r="L55" i="19" s="1"/>
  <c r="L52" i="19"/>
  <c r="L53" i="19" s="1"/>
  <c r="M52" i="19"/>
  <c r="M53" i="19" s="1"/>
  <c r="B2" i="11" l="1"/>
  <c r="C2" i="11" s="1"/>
  <c r="B3" i="11"/>
  <c r="C3" i="11" s="1"/>
  <c r="B4" i="11"/>
  <c r="C4" i="11"/>
  <c r="D4" i="11"/>
  <c r="E4" i="11"/>
  <c r="B5" i="11"/>
  <c r="E5" i="11" s="1"/>
  <c r="C5" i="11"/>
  <c r="D5" i="11"/>
  <c r="B6" i="11"/>
  <c r="C6" i="11"/>
  <c r="D6" i="11"/>
  <c r="E6" i="11"/>
  <c r="B7" i="11"/>
  <c r="E7" i="11" s="1"/>
  <c r="C7" i="11"/>
  <c r="D7" i="11"/>
  <c r="B8" i="11"/>
  <c r="C8" i="11"/>
  <c r="D8" i="11"/>
  <c r="E8" i="11"/>
  <c r="B9" i="11"/>
  <c r="E9" i="11" s="1"/>
  <c r="C9" i="11"/>
  <c r="D9" i="11"/>
  <c r="B10" i="11"/>
  <c r="C10" i="11"/>
  <c r="D10" i="11"/>
  <c r="E10" i="11"/>
  <c r="B11" i="11"/>
  <c r="E11" i="11" s="1"/>
  <c r="C11" i="11"/>
  <c r="D11" i="11"/>
  <c r="B12" i="11"/>
  <c r="C12" i="11"/>
  <c r="D12" i="11"/>
  <c r="E12" i="11"/>
  <c r="B13" i="11"/>
  <c r="E13" i="11" s="1"/>
  <c r="C13" i="11"/>
  <c r="D13" i="11"/>
  <c r="B14" i="11"/>
  <c r="C14" i="11"/>
  <c r="D14" i="11"/>
  <c r="E14" i="11"/>
  <c r="B15" i="11"/>
  <c r="E15" i="11" s="1"/>
  <c r="C15" i="11"/>
  <c r="D15" i="11"/>
  <c r="B16" i="11"/>
  <c r="C16" i="11"/>
  <c r="D16" i="11"/>
  <c r="E16" i="11"/>
  <c r="B17" i="11"/>
  <c r="E17" i="11" s="1"/>
  <c r="C17" i="11"/>
  <c r="D17" i="11"/>
  <c r="B18" i="11"/>
  <c r="C18" i="11"/>
  <c r="D18" i="11"/>
  <c r="E18" i="11"/>
  <c r="B19" i="11"/>
  <c r="E19" i="11" s="1"/>
  <c r="C19" i="11"/>
  <c r="D19" i="11"/>
  <c r="B20" i="11"/>
  <c r="C20" i="11"/>
  <c r="D20" i="11"/>
  <c r="E20" i="11"/>
  <c r="B21" i="11"/>
  <c r="E21" i="11" s="1"/>
  <c r="C21" i="11"/>
  <c r="D21" i="11"/>
  <c r="B22" i="11"/>
  <c r="C22" i="11"/>
  <c r="D22" i="11"/>
  <c r="E22" i="11"/>
  <c r="B23" i="11"/>
  <c r="E23" i="11" s="1"/>
  <c r="C23" i="11"/>
  <c r="D23" i="11"/>
  <c r="B24" i="11"/>
  <c r="C24" i="11"/>
  <c r="D24" i="11"/>
  <c r="E24" i="11"/>
  <c r="B25" i="11"/>
  <c r="E25" i="11" s="1"/>
  <c r="C25" i="11"/>
  <c r="D25" i="11"/>
  <c r="B26" i="11"/>
  <c r="C26" i="11"/>
  <c r="D26" i="11"/>
  <c r="E26" i="11"/>
  <c r="F29" i="11"/>
  <c r="F30" i="11"/>
  <c r="F31" i="11"/>
  <c r="F32" i="11"/>
  <c r="D36" i="11"/>
  <c r="E36" i="11"/>
  <c r="D38" i="11"/>
  <c r="E38" i="11"/>
  <c r="D43" i="11"/>
  <c r="E43" i="11"/>
  <c r="D47" i="11"/>
  <c r="G47" i="11" s="1"/>
  <c r="E47" i="11"/>
  <c r="E3" i="11" l="1"/>
  <c r="D3" i="11"/>
  <c r="E2" i="11"/>
  <c r="D2" i="11"/>
  <c r="F71" i="3" l="1"/>
  <c r="G71" i="3" s="1"/>
  <c r="F70" i="3"/>
  <c r="G70" i="3" s="1"/>
  <c r="U28" i="3" l="1"/>
  <c r="T28" i="3"/>
  <c r="S28" i="3"/>
  <c r="R28" i="3"/>
  <c r="H55" i="4"/>
  <c r="I55" i="4" s="1"/>
  <c r="J55" i="4" s="1"/>
  <c r="L55" i="4" s="1"/>
  <c r="H54" i="4"/>
  <c r="I54" i="4" s="1"/>
  <c r="J54" i="4" s="1"/>
  <c r="L54" i="4" s="1"/>
  <c r="H53" i="4"/>
  <c r="I53" i="4" s="1"/>
  <c r="J53" i="4" s="1"/>
  <c r="H52" i="4"/>
  <c r="I52" i="4" s="1"/>
  <c r="J52" i="4" s="1"/>
  <c r="L52" i="4" s="1"/>
  <c r="H50" i="4"/>
  <c r="I50" i="4" s="1"/>
  <c r="J50" i="4" s="1"/>
  <c r="I66" i="3"/>
  <c r="I65" i="3"/>
  <c r="I64" i="3"/>
  <c r="I58" i="3"/>
  <c r="J58" i="3" s="1"/>
  <c r="K58" i="3" s="1"/>
  <c r="L58" i="3" s="1"/>
  <c r="K57" i="3"/>
  <c r="L57" i="3" s="1"/>
  <c r="I56" i="3"/>
  <c r="J56" i="3" s="1"/>
  <c r="K56" i="3" s="1"/>
  <c r="L56" i="3" s="1"/>
  <c r="I55" i="3"/>
  <c r="J55" i="3" s="1"/>
  <c r="K55" i="3" s="1"/>
  <c r="L55" i="3" s="1"/>
  <c r="L54" i="3"/>
  <c r="K54" i="3"/>
  <c r="L50" i="3"/>
  <c r="M50" i="3" s="1"/>
  <c r="I50" i="3"/>
  <c r="H50" i="3"/>
  <c r="N50" i="3" s="1"/>
  <c r="L48" i="3"/>
  <c r="M48" i="3" s="1"/>
  <c r="U48" i="3" s="1"/>
  <c r="I48" i="3"/>
  <c r="H48" i="3"/>
  <c r="N48" i="3" s="1"/>
  <c r="L47" i="3"/>
  <c r="M47" i="3" s="1"/>
  <c r="I47" i="3"/>
  <c r="H47" i="3"/>
  <c r="N47" i="3" s="1"/>
  <c r="L46" i="3"/>
  <c r="M46" i="3" s="1"/>
  <c r="U46" i="3" s="1"/>
  <c r="I46" i="3"/>
  <c r="H46" i="3"/>
  <c r="N46" i="3" s="1"/>
  <c r="N45" i="3"/>
  <c r="L45" i="3"/>
  <c r="M45" i="3" s="1"/>
  <c r="I45" i="3"/>
  <c r="H45" i="3"/>
  <c r="L44" i="3"/>
  <c r="M44" i="3" s="1"/>
  <c r="U44" i="3" s="1"/>
  <c r="I44" i="3"/>
  <c r="H44" i="3"/>
  <c r="N44" i="3" s="1"/>
  <c r="H41" i="3"/>
  <c r="N41" i="3" s="1"/>
  <c r="B41" i="3"/>
  <c r="L41" i="3" s="1"/>
  <c r="M41" i="3" s="1"/>
  <c r="S41" i="3" s="1"/>
  <c r="H40" i="3"/>
  <c r="N40" i="3" s="1"/>
  <c r="B40" i="3"/>
  <c r="L40" i="3" s="1"/>
  <c r="M40" i="3" s="1"/>
  <c r="U40" i="3" s="1"/>
  <c r="H39" i="3"/>
  <c r="N39" i="3" s="1"/>
  <c r="B39" i="3"/>
  <c r="I39" i="3" s="1"/>
  <c r="L38" i="3"/>
  <c r="M38" i="3" s="1"/>
  <c r="U38" i="3" s="1"/>
  <c r="H38" i="3"/>
  <c r="N38" i="3" s="1"/>
  <c r="B38" i="3"/>
  <c r="I38" i="3" s="1"/>
  <c r="H37" i="3"/>
  <c r="N37" i="3" s="1"/>
  <c r="B37" i="3"/>
  <c r="L37" i="3" s="1"/>
  <c r="M37" i="3" s="1"/>
  <c r="S37" i="3" s="1"/>
  <c r="H36" i="3"/>
  <c r="N36" i="3" s="1"/>
  <c r="B36" i="3"/>
  <c r="L36" i="3" s="1"/>
  <c r="M36" i="3" s="1"/>
  <c r="U36" i="3" s="1"/>
  <c r="H35" i="3"/>
  <c r="N35" i="3" s="1"/>
  <c r="B35" i="3"/>
  <c r="I35" i="3" s="1"/>
  <c r="H34" i="3"/>
  <c r="N34" i="3" s="1"/>
  <c r="B34" i="3"/>
  <c r="L34" i="3" s="1"/>
  <c r="M34" i="3" s="1"/>
  <c r="U34" i="3" s="1"/>
  <c r="H33" i="3"/>
  <c r="N33" i="3" s="1"/>
  <c r="B33" i="3"/>
  <c r="I33" i="3" s="1"/>
  <c r="H32" i="3"/>
  <c r="N32" i="3" s="1"/>
  <c r="B32" i="3"/>
  <c r="L32" i="3" s="1"/>
  <c r="M32" i="3" s="1"/>
  <c r="S32" i="3" s="1"/>
  <c r="H31" i="3"/>
  <c r="N31" i="3" s="1"/>
  <c r="B31" i="3"/>
  <c r="L31" i="3" s="1"/>
  <c r="M31" i="3" s="1"/>
  <c r="H30" i="3"/>
  <c r="N30" i="3" s="1"/>
  <c r="B30" i="3"/>
  <c r="L30" i="3" s="1"/>
  <c r="M30" i="3" s="1"/>
  <c r="U30" i="3" s="1"/>
  <c r="H29" i="3"/>
  <c r="N29" i="3" s="1"/>
  <c r="B29" i="3"/>
  <c r="I29" i="3" s="1"/>
  <c r="L27" i="3"/>
  <c r="M27" i="3" s="1"/>
  <c r="I27" i="3"/>
  <c r="H27" i="3"/>
  <c r="N27" i="3" s="1"/>
  <c r="L26" i="3"/>
  <c r="M26" i="3" s="1"/>
  <c r="U26" i="3" s="1"/>
  <c r="I26" i="3"/>
  <c r="H26" i="3"/>
  <c r="N26" i="3" s="1"/>
  <c r="L25" i="3"/>
  <c r="M25" i="3" s="1"/>
  <c r="I25" i="3"/>
  <c r="H25" i="3"/>
  <c r="N25" i="3" s="1"/>
  <c r="L24" i="3"/>
  <c r="M24" i="3" s="1"/>
  <c r="I24" i="3"/>
  <c r="H24" i="3"/>
  <c r="N24" i="3" s="1"/>
  <c r="L23" i="3"/>
  <c r="M23" i="3" s="1"/>
  <c r="S23" i="3" s="1"/>
  <c r="I23" i="3"/>
  <c r="H23" i="3"/>
  <c r="N23" i="3" s="1"/>
  <c r="M22" i="3"/>
  <c r="U22" i="3" s="1"/>
  <c r="L22" i="3"/>
  <c r="I22" i="3"/>
  <c r="H22" i="3"/>
  <c r="N22" i="3" s="1"/>
  <c r="N21" i="3"/>
  <c r="L21" i="3"/>
  <c r="M21" i="3" s="1"/>
  <c r="R21" i="3" s="1"/>
  <c r="I21" i="3"/>
  <c r="H21" i="3"/>
  <c r="L20" i="3"/>
  <c r="M20" i="3" s="1"/>
  <c r="S20" i="3" s="1"/>
  <c r="I20" i="3"/>
  <c r="H20" i="3"/>
  <c r="N20" i="3" s="1"/>
  <c r="L19" i="3"/>
  <c r="M19" i="3" s="1"/>
  <c r="S19" i="3" s="1"/>
  <c r="I19" i="3"/>
  <c r="H19" i="3"/>
  <c r="N19" i="3" s="1"/>
  <c r="L18" i="3"/>
  <c r="M18" i="3" s="1"/>
  <c r="I18" i="3"/>
  <c r="H18" i="3"/>
  <c r="N18" i="3" s="1"/>
  <c r="U18" i="3" l="1"/>
  <c r="Q18" i="3"/>
  <c r="P18" i="3"/>
  <c r="O18" i="3"/>
  <c r="U24" i="3"/>
  <c r="S24" i="3"/>
  <c r="T24" i="3"/>
  <c r="R24" i="3"/>
  <c r="T19" i="3"/>
  <c r="U19" i="3"/>
  <c r="R36" i="3"/>
  <c r="T20" i="3"/>
  <c r="T36" i="3"/>
  <c r="I30" i="3"/>
  <c r="S36" i="3"/>
  <c r="U20" i="3"/>
  <c r="R20" i="3"/>
  <c r="R40" i="3"/>
  <c r="T23" i="3"/>
  <c r="T40" i="3"/>
  <c r="S40" i="3"/>
  <c r="U23" i="3"/>
  <c r="I34" i="3"/>
  <c r="R46" i="3"/>
  <c r="T46" i="3"/>
  <c r="S46" i="3"/>
  <c r="R47" i="3"/>
  <c r="S47" i="3"/>
  <c r="U47" i="3"/>
  <c r="T47" i="3"/>
  <c r="S31" i="3"/>
  <c r="U31" i="3"/>
  <c r="R31" i="3"/>
  <c r="T31" i="3"/>
  <c r="S27" i="3"/>
  <c r="R27" i="3"/>
  <c r="U27" i="3"/>
  <c r="T27" i="3"/>
  <c r="S45" i="3"/>
  <c r="U45" i="3"/>
  <c r="R45" i="3"/>
  <c r="T45" i="3"/>
  <c r="S25" i="3"/>
  <c r="U25" i="3"/>
  <c r="T25" i="3"/>
  <c r="R25" i="3"/>
  <c r="R41" i="3"/>
  <c r="L39" i="3"/>
  <c r="M39" i="3" s="1"/>
  <c r="S21" i="3"/>
  <c r="U32" i="3"/>
  <c r="L35" i="3"/>
  <c r="M35" i="3" s="1"/>
  <c r="R18" i="3"/>
  <c r="R22" i="3"/>
  <c r="R26" i="3"/>
  <c r="R30" i="3"/>
  <c r="R34" i="3"/>
  <c r="R38" i="3"/>
  <c r="R44" i="3"/>
  <c r="R48" i="3"/>
  <c r="T21" i="3"/>
  <c r="T37" i="3"/>
  <c r="T41" i="3"/>
  <c r="R37" i="3"/>
  <c r="T32" i="3"/>
  <c r="I31" i="3"/>
  <c r="S18" i="3"/>
  <c r="S22" i="3"/>
  <c r="S26" i="3"/>
  <c r="S30" i="3"/>
  <c r="S34" i="3"/>
  <c r="S38" i="3"/>
  <c r="S44" i="3"/>
  <c r="S48" i="3"/>
  <c r="U21" i="3"/>
  <c r="U37" i="3"/>
  <c r="U41" i="3"/>
  <c r="R32" i="3"/>
  <c r="R19" i="3"/>
  <c r="R23" i="3"/>
  <c r="T18" i="3"/>
  <c r="T22" i="3"/>
  <c r="T26" i="3"/>
  <c r="T30" i="3"/>
  <c r="T34" i="3"/>
  <c r="T38" i="3"/>
  <c r="T44" i="3"/>
  <c r="T48" i="3"/>
  <c r="K50" i="4"/>
  <c r="O52" i="4" s="1"/>
  <c r="L50" i="4"/>
  <c r="L53" i="4"/>
  <c r="I37" i="3"/>
  <c r="I41" i="3"/>
  <c r="L29" i="3"/>
  <c r="M29" i="3" s="1"/>
  <c r="L33" i="3"/>
  <c r="M33" i="3" s="1"/>
  <c r="I32" i="3"/>
  <c r="I36" i="3"/>
  <c r="I40" i="3"/>
  <c r="O50" i="4" l="1"/>
  <c r="S39" i="3"/>
  <c r="U39" i="3"/>
  <c r="R39" i="3"/>
  <c r="T39" i="3"/>
  <c r="S33" i="3"/>
  <c r="U33" i="3"/>
  <c r="T33" i="3"/>
  <c r="R33" i="3"/>
  <c r="S29" i="3"/>
  <c r="R29" i="3"/>
  <c r="U29" i="3"/>
  <c r="T29" i="3"/>
  <c r="S35" i="3"/>
  <c r="R35" i="3"/>
  <c r="U35" i="3"/>
  <c r="T35" i="3"/>
  <c r="O55" i="4"/>
  <c r="O54" i="4"/>
  <c r="O53" i="4"/>
  <c r="M56" i="4"/>
  <c r="J65" i="4" s="1"/>
  <c r="P56" i="4" l="1"/>
  <c r="J67" i="4" s="1"/>
  <c r="J70" i="4" s="1"/>
  <c r="J7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Lockhart</author>
    <author>Lockhart, Andrew B.</author>
    <author>Max</author>
  </authors>
  <commentList>
    <comment ref="K9" authorId="0" shapeId="0" xr:uid="{21882735-63AF-47CF-A81E-3BA9A9B562B2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Sercel/kinemetrics: damping is b0 + b1 where b1=1.1(rseis)/(Rseis+Rs)</t>
        </r>
      </text>
    </comment>
    <comment ref="H14" authorId="0" shapeId="0" xr:uid="{61568467-35C4-4B3C-99E5-6EC06DDF055B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the true Rs, when Ramp is taken into account. This is the value to compare to the sercel-kinemetrics Rs values.</t>
        </r>
      </text>
    </comment>
    <comment ref="N14" authorId="0" shapeId="0" xr:uid="{A22593BF-6511-48A0-B034-FFCE570C6D11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Sercel/kinemetrics: damping is b0 + b1 where b1=1.1(rseis)/(Rseis+Rs)
This assumes Rt=0 so it gives incorrect results when Rt not 0.</t>
        </r>
      </text>
    </comment>
    <comment ref="O14" authorId="1" shapeId="0" xr:uid="{28E9CF12-FD41-4726-974E-5FFD13321004}">
      <text>
        <r>
          <rPr>
            <b/>
            <sz val="9"/>
            <color indexed="81"/>
            <rFont val="Tahoma"/>
            <charset val="1"/>
          </rPr>
          <t>Lockhart, Andrew B.:</t>
        </r>
        <r>
          <rPr>
            <sz val="9"/>
            <color indexed="81"/>
            <rFont val="Tahoma"/>
            <charset val="1"/>
          </rPr>
          <t xml:space="preserve">
my formulation. Not used in 2021 document
Just a chek on the 2021 formula from Jens</t>
        </r>
      </text>
    </comment>
    <comment ref="D23" authorId="0" shapeId="0" xr:uid="{6BC3BD99-DF26-46FF-B2A4-92A9DA0EEADA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valor muy alta para eliminar Rs del calculo</t>
        </r>
      </text>
    </comment>
    <comment ref="A29" authorId="2" shapeId="0" xr:uid="{DA5145E6-022E-4E81-B905-9A1A3297ECA0}">
      <text>
        <r>
          <rPr>
            <b/>
            <sz val="9"/>
            <color indexed="81"/>
            <rFont val="Tahoma"/>
            <family val="2"/>
          </rPr>
          <t>Max:</t>
        </r>
        <r>
          <rPr>
            <sz val="9"/>
            <color indexed="81"/>
            <rFont val="Tahoma"/>
            <family val="2"/>
          </rPr>
          <t xml:space="preserve">
From Sercel datasheet, G=0.038(sqrt(Rc))v/inch/sec. for a L22D</t>
        </r>
      </text>
    </comment>
    <comment ref="N29" authorId="0" shapeId="0" xr:uid="{CFD3CA53-E865-4176-B2AB-87F93FAA687A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30" authorId="0" shapeId="0" xr:uid="{15FA862B-9B73-47AA-BB2F-36F3FB1C9B9A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0" authorId="0" shapeId="0" xr:uid="{E8BAF773-B67C-4FE7-95F1-084D133DCC2F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31" authorId="0" shapeId="0" xr:uid="{A9F42E45-F0E4-485E-B87A-908E1C607ED2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1" authorId="0" shapeId="0" xr:uid="{450D3C22-E36C-4B55-82FC-E0A22E0533B2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32" authorId="0" shapeId="0" xr:uid="{FD918B03-CB23-4732-884E-BDDCA46E09BD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2" authorId="0" shapeId="0" xr:uid="{F439B657-0801-49E3-9540-076A8EBCC059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33" authorId="0" shapeId="0" xr:uid="{638ED512-DF5E-4040-A7B5-DAE2FD60FECC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3" authorId="0" shapeId="0" xr:uid="{917612E4-88CF-46A7-9F7B-04B8ECF0BE7B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A34" authorId="2" shapeId="0" xr:uid="{B3D5C316-950B-4EAB-A65C-4967B73A1D0E}">
      <text>
        <r>
          <rPr>
            <b/>
            <sz val="9"/>
            <color indexed="81"/>
            <rFont val="Tahoma"/>
            <family val="2"/>
          </rPr>
          <t>Max:</t>
        </r>
        <r>
          <rPr>
            <sz val="9"/>
            <color indexed="81"/>
            <rFont val="Tahoma"/>
            <family val="2"/>
          </rPr>
          <t xml:space="preserve">
From Sercel datasheet, G=0.047(sqrt(Rc))v/inch/sec. for a L22E
</t>
        </r>
      </text>
    </comment>
    <comment ref="E34" authorId="0" shapeId="0" xr:uid="{ED49E6B4-7240-45CF-9914-72C93DFD272B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4" authorId="0" shapeId="0" xr:uid="{DBD0DD40-7F37-47A0-A099-FE1691093411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A35" authorId="2" shapeId="0" xr:uid="{75FBF408-395B-42E6-B4E3-A3E97DB4E4EB}">
      <text>
        <r>
          <rPr>
            <b/>
            <sz val="9"/>
            <color indexed="81"/>
            <rFont val="Tahoma"/>
            <family val="2"/>
          </rPr>
          <t>Max:</t>
        </r>
        <r>
          <rPr>
            <sz val="9"/>
            <color indexed="81"/>
            <rFont val="Tahoma"/>
            <family val="2"/>
          </rPr>
          <t xml:space="preserve">
From Sercel datasheet, G=0.047(sqrt(Rc))v/inch/sec. for a L22E
</t>
        </r>
      </text>
    </comment>
    <comment ref="E35" authorId="0" shapeId="0" xr:uid="{13098190-3305-4207-8FF2-212A7254BEF2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5" authorId="0" shapeId="0" xr:uid="{502919B3-7052-4C0A-A925-5A752DAAB9CB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36" authorId="0" shapeId="0" xr:uid="{CC8E734E-C7AA-4EBC-81FD-C5963D5B538F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6" authorId="0" shapeId="0" xr:uid="{276B0C60-8E02-46F9-860E-B7D0B806B87A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37" authorId="0" shapeId="0" xr:uid="{FDE7CA4F-472E-4639-AC75-68A1D1EB1404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7" authorId="0" shapeId="0" xr:uid="{9192E335-42A9-42EE-B039-5189C21A8B10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38" authorId="0" shapeId="0" xr:uid="{ECD291BE-304B-4E21-994A-FB102376A963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8" authorId="0" shapeId="0" xr:uid="{BE218691-62CE-4A44-8DFE-BBB7877100B2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39" authorId="0" shapeId="0" xr:uid="{549B2C07-8AA7-41D5-888C-8719A557022D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39" authorId="0" shapeId="0" xr:uid="{E1CE64FD-CBFE-4A15-BAE9-6E785F79AECF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40" authorId="0" shapeId="0" xr:uid="{63F5DC8C-75E4-4F90-BC6D-8F08C1ECBDF0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40" authorId="0" shapeId="0" xr:uid="{FF1D3FE7-AC75-4648-BF8D-78BFB1AB9E0A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  <comment ref="E41" authorId="0" shapeId="0" xr:uid="{6D2F711B-8B8B-47DD-8736-96F70982D782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Rt=2xRtresistor values; one Rt on each leg doubles effective Rt.</t>
        </r>
      </text>
    </comment>
    <comment ref="N41" authorId="0" shapeId="0" xr:uid="{A7DC5F44-41E5-4485-823F-654BE25D0655}">
      <text>
        <r>
          <rPr>
            <b/>
            <sz val="8"/>
            <color indexed="81"/>
            <rFont val="Tahoma"/>
            <family val="2"/>
          </rPr>
          <t>Andy Lockhart:</t>
        </r>
        <r>
          <rPr>
            <sz val="8"/>
            <color indexed="81"/>
            <rFont val="Tahoma"/>
            <family val="2"/>
          </rPr>
          <t xml:space="preserve">
this includes term for RT since the RS term in sercel includes all the exernal resistance. It also uses the 1.23 constant for the L22D.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5423D7-4568-447F-9213-1D548EE8DD3D}" name="AndyLockhart_testo" type="4" refreshedVersion="0" background="1">
    <webPr xml="1" sourceData="1" url="C:\Users\ablock\Downloads\AndyLockhart_testo.xml" htmlTables="1" htmlFormat="all"/>
  </connection>
</connections>
</file>

<file path=xl/sharedStrings.xml><?xml version="1.0" encoding="utf-8"?>
<sst xmlns="http://schemas.openxmlformats.org/spreadsheetml/2006/main" count="553" uniqueCount="432">
  <si>
    <t>bt</t>
  </si>
  <si>
    <t>total damping, bo + bc</t>
  </si>
  <si>
    <t>bo</t>
  </si>
  <si>
    <t>open-circuit damping</t>
  </si>
  <si>
    <t>bc</t>
  </si>
  <si>
    <t>electrical damping</t>
  </si>
  <si>
    <t>Rt</t>
  </si>
  <si>
    <t>total resistance, Rc + Rload</t>
  </si>
  <si>
    <t>Rc</t>
  </si>
  <si>
    <t>feedback coil resistance</t>
  </si>
  <si>
    <t>Rload</t>
  </si>
  <si>
    <t>Parallel sum of Rs &amp; Zamp ; = (Rs * Zamp)/(Rs+Zamp) where</t>
  </si>
  <si>
    <t xml:space="preserve">Rs </t>
  </si>
  <si>
    <t>shunt resistor</t>
  </si>
  <si>
    <t>Zamp</t>
  </si>
  <si>
    <t xml:space="preserve">input impedance of preamp </t>
  </si>
  <si>
    <t>the S &amp; T resistors complicate this - see other spreadsheed calculations</t>
  </si>
  <si>
    <t>datasheet</t>
  </si>
  <si>
    <t>calc</t>
  </si>
  <si>
    <t>fo</t>
  </si>
  <si>
    <t>natural freqeuncy (Hz)</t>
  </si>
  <si>
    <t>mass (Kg)</t>
  </si>
  <si>
    <t>m</t>
  </si>
  <si>
    <t>Go</t>
  </si>
  <si>
    <t>intrinsic sensitivity,or motor constant, sqrt (4*pi*fo*m*Rt*bc)</t>
  </si>
  <si>
    <t>p1</t>
  </si>
  <si>
    <t>(-2*pi*fo*bt)+j*(2*pi*fo*sqrt(1-bt**2))</t>
  </si>
  <si>
    <t>p2</t>
  </si>
  <si>
    <t>(-2*pi*fo*bt)-j*(2*pi*fo*sqrt(1-bt**2))</t>
  </si>
  <si>
    <t>Geff</t>
  </si>
  <si>
    <t>poles: two each</t>
  </si>
  <si>
    <t>zeros: two each</t>
  </si>
  <si>
    <t>G</t>
  </si>
  <si>
    <t>Seismometer motor constant</t>
  </si>
  <si>
    <t>Rs</t>
  </si>
  <si>
    <t>parallel (shunt) resistance</t>
  </si>
  <si>
    <t>series (t) resistance</t>
  </si>
  <si>
    <t xml:space="preserve"> B=B0+B1</t>
  </si>
  <si>
    <t>Rseis</t>
  </si>
  <si>
    <t>seismometer resistance</t>
  </si>
  <si>
    <t>B(0)</t>
  </si>
  <si>
    <t>mechanical damping of seismometer</t>
  </si>
  <si>
    <t>Ramp</t>
  </si>
  <si>
    <t>VCO input inpedance</t>
  </si>
  <si>
    <t>B(1)</t>
  </si>
  <si>
    <t xml:space="preserve">electromagnetic damping </t>
  </si>
  <si>
    <t>tabla de calculos de damping, dado ciertos resistencias y valores estandardes de otros parametros</t>
  </si>
  <si>
    <t>sensor</t>
  </si>
  <si>
    <t>G (v/cm/sec)</t>
  </si>
  <si>
    <t>f0 (Hz)</t>
  </si>
  <si>
    <t>Rt (=T1+T2)</t>
  </si>
  <si>
    <t>true Rs: sum of Rs &amp; Ramp</t>
  </si>
  <si>
    <t>Geff v/cm/sec</t>
  </si>
  <si>
    <t>m kg</t>
  </si>
  <si>
    <t>B</t>
  </si>
  <si>
    <t>Bsercel</t>
  </si>
  <si>
    <t>L4</t>
  </si>
  <si>
    <t>USGS standard Rs &amp; Rt values</t>
  </si>
  <si>
    <t>Rs &amp; Rt values provided to Carlos by persons unknown</t>
  </si>
  <si>
    <t>sercel-kinemetrics values for 0.6 damping (underdamped)</t>
  </si>
  <si>
    <t>USGS Rs, Rt values,  Rsamp = 100,000</t>
  </si>
  <si>
    <t>damping of Eentec with no resistors added; seriously underdamped</t>
  </si>
  <si>
    <t>sercel/kinemetrics values for 0.8 damping (slightly overdamped)</t>
  </si>
  <si>
    <t>USGS values if Ramp left at 100,000</t>
  </si>
  <si>
    <t>L22D</t>
  </si>
  <si>
    <t>L22d. 5470 R(S) using Pats Rs &amp; Rt values Sept 2008</t>
  </si>
  <si>
    <t>L22d. 5470 R(S) using standard VDAP Rs &amp; Rt values Sept 2008</t>
  </si>
  <si>
    <t>L22d. 510ohm using standard VDAP Rs &amp; Rt values</t>
  </si>
  <si>
    <t>L22E</t>
  </si>
  <si>
    <t>L22E at newberry, McRick instrumentation amp</t>
  </si>
  <si>
    <t>L22e. 510ohm using standard VDAP Rs &amp; Rt values</t>
  </si>
  <si>
    <t>873-vert</t>
  </si>
  <si>
    <t>873-trans</t>
  </si>
  <si>
    <t>874-long</t>
  </si>
  <si>
    <t>874-vert</t>
  </si>
  <si>
    <t>874-trans</t>
  </si>
  <si>
    <t>\</t>
  </si>
  <si>
    <t xml:space="preserve"> </t>
  </si>
  <si>
    <t>GS-20</t>
  </si>
  <si>
    <t>BPPTK GS-20DX, 10Hz, from datasheet, L4 resistors</t>
  </si>
  <si>
    <t>BPPTK GS-20DX, 10Hz, from datasheet</t>
  </si>
  <si>
    <t>BPPTK GS-20DX, 10Hz, into 10,000 ohm PSN board</t>
  </si>
  <si>
    <t>BPPTK GS-20DX, 10Hz, 1k damping resistor placed across amplifier inputs</t>
  </si>
  <si>
    <t>L10AR</t>
  </si>
  <si>
    <t>sqrt (Rc)</t>
  </si>
  <si>
    <t>v/inch/sec</t>
  </si>
  <si>
    <t>v/m/sec</t>
  </si>
  <si>
    <t>v/cm/sec</t>
  </si>
  <si>
    <t>L4 transduction =7.0v/inch/sec</t>
  </si>
  <si>
    <t>L22D transduction 510 ohm coil = (.038)*(sqrt Rc)</t>
  </si>
  <si>
    <t>L22E transduction 510 ohm coil</t>
  </si>
  <si>
    <t>GS-20DX</t>
  </si>
  <si>
    <t>L10AR transduction = 0.041*(sqrt374)</t>
  </si>
  <si>
    <t>parallel resistance</t>
  </si>
  <si>
    <t>R=1/((1/R1)+(1/R2))</t>
  </si>
  <si>
    <t>r1</t>
  </si>
  <si>
    <t>r2</t>
  </si>
  <si>
    <t>R</t>
  </si>
  <si>
    <t>note 1</t>
  </si>
  <si>
    <t>Damping B=B0 +B1; mechanical (B0) + electromagnetic (B1). Mechanical damping es fijo por el deseno en 0.28. electromagnetico se puede ajustar por anadir resistencias</t>
  </si>
  <si>
    <t>Damping varia desde 0 hasta 1. 'Critical damping' =0.707 (1/rais de 2) 0 3dB por abajo del maximo.</t>
  </si>
  <si>
    <t>Estandar USGS =0.8 damping.</t>
  </si>
  <si>
    <t>El Eentec, sin resistentes adicionales, B= solo mechanical damping, 0.3. entonces muy baja damping</t>
  </si>
  <si>
    <t>nota 2</t>
  </si>
  <si>
    <t>G= transductance=motor constant=generator constant en unidades de v/cm/seg</t>
  </si>
  <si>
    <t>Geff =G effectivo, dado reducion en el por factores de los resistencias</t>
  </si>
  <si>
    <t>G del L-4= 2.8v/cm/seg</t>
  </si>
  <si>
    <t>el Estandar USGS es G=1v/cm/seg.</t>
  </si>
  <si>
    <t>nota 3</t>
  </si>
  <si>
    <t>Ramp = impedencia de la entrada al amplificador. Todos los USGS VCO, McVCO Ramp=10,000.</t>
  </si>
  <si>
    <t>Eentec Ramp=100,000</t>
  </si>
  <si>
    <t>el valor de Ramp afecta B y Geff.</t>
  </si>
  <si>
    <t>Sugiero uno de dos modificaciones.</t>
  </si>
  <si>
    <t xml:space="preserve">Mod 1: solder una resistancia de 6134 cruzando el resistencia R301, el 100,000 ohmio Ramp. </t>
  </si>
  <si>
    <t>Esta da un B=0.8 y Geff=1.4v/cm/seg</t>
  </si>
  <si>
    <t>Mod 2. hacer Mod 1, y anadir una resistencia de 5000 en serie con el inductor L301</t>
  </si>
  <si>
    <t>Esta da un B=0.8 y Geff=1.0v/cm/seg</t>
  </si>
  <si>
    <t>Seismometer calibration worksheet adapted from Tony Qamar</t>
  </si>
  <si>
    <t>Basic Geophone calibration procedure, based on Pat McChesney's Notes on Tony Qamar's technique</t>
  </si>
  <si>
    <t>The goal of this procedure is to calculate the S and T impedance-matching resistors on the McVCO L-pad, to give the desired geophone Motor Constant (G) and damping (B)</t>
  </si>
  <si>
    <t>1) Choose the desired G. For an L-4, the USGS chooses G=100V/m/sec</t>
  </si>
  <si>
    <t>2) Choose the desired B. The USGS chooses B=0.8</t>
  </si>
  <si>
    <t>3) Fill out Table 1 with values from the seismometer</t>
  </si>
  <si>
    <t xml:space="preserve">4) </t>
  </si>
  <si>
    <t>L4c six-pin connector</t>
  </si>
  <si>
    <t>pin</t>
  </si>
  <si>
    <t>color</t>
  </si>
  <si>
    <t>function</t>
  </si>
  <si>
    <t>Table 1</t>
  </si>
  <si>
    <t>A</t>
  </si>
  <si>
    <t>black</t>
  </si>
  <si>
    <t>coil</t>
  </si>
  <si>
    <t>red</t>
  </si>
  <si>
    <t>also case when L4 is on its top or at one position on its side</t>
  </si>
  <si>
    <t>serial number</t>
  </si>
  <si>
    <t>C</t>
  </si>
  <si>
    <t>green</t>
  </si>
  <si>
    <t>cal coil</t>
  </si>
  <si>
    <t>Case to coil resistance</t>
  </si>
  <si>
    <t>D</t>
  </si>
  <si>
    <t>white</t>
  </si>
  <si>
    <t>Seismometer mass(kg) (read from seismometer tag)</t>
  </si>
  <si>
    <t>M</t>
  </si>
  <si>
    <t>(mass)</t>
  </si>
  <si>
    <t>Coil resistance (measure)</t>
  </si>
  <si>
    <r>
      <t>r</t>
    </r>
    <r>
      <rPr>
        <b/>
        <vertAlign val="subscript"/>
        <sz val="10"/>
        <rFont val="Arial"/>
        <family val="2"/>
      </rPr>
      <t>s</t>
    </r>
  </si>
  <si>
    <t>(coilRes)</t>
  </si>
  <si>
    <t>H</t>
  </si>
  <si>
    <t>shield</t>
  </si>
  <si>
    <t>not connected to case</t>
  </si>
  <si>
    <r>
      <t>Measured Damped Period (measure with r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open)</t>
    </r>
  </si>
  <si>
    <r>
      <rPr>
        <b/>
        <sz val="10"/>
        <rFont val="Arial"/>
        <family val="2"/>
      </rPr>
      <t>T</t>
    </r>
    <r>
      <rPr>
        <b/>
        <vertAlign val="subscript"/>
        <sz val="10"/>
        <rFont val="Arial"/>
        <family val="2"/>
      </rPr>
      <t>d</t>
    </r>
  </si>
  <si>
    <r>
      <t>Choose G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, the Effective Motor Constant (V/m/sec)</t>
    </r>
  </si>
  <si>
    <r>
      <t>G</t>
    </r>
    <r>
      <rPr>
        <b/>
        <vertAlign val="subscript"/>
        <sz val="10"/>
        <rFont val="Arial"/>
        <family val="2"/>
      </rPr>
      <t>e</t>
    </r>
  </si>
  <si>
    <t>(Ge)</t>
  </si>
  <si>
    <r>
      <t>Determine R</t>
    </r>
    <r>
      <rPr>
        <vertAlign val="subscript"/>
        <sz val="10"/>
        <rFont val="Arial"/>
        <family val="2"/>
      </rPr>
      <t>amp</t>
    </r>
    <r>
      <rPr>
        <sz val="10"/>
        <rFont val="Arial"/>
        <family val="2"/>
      </rPr>
      <t xml:space="preserve"> from VCO schematics</t>
    </r>
  </si>
  <si>
    <r>
      <t>R</t>
    </r>
    <r>
      <rPr>
        <vertAlign val="subscript"/>
        <sz val="10"/>
        <rFont val="Arial"/>
        <family val="2"/>
      </rPr>
      <t>amp</t>
    </r>
    <r>
      <rPr>
        <sz val="10"/>
        <rFont val="Arial"/>
        <family val="2"/>
      </rPr>
      <t xml:space="preserve"> =</t>
    </r>
  </si>
  <si>
    <t>(Ramp)</t>
  </si>
  <si>
    <t>Choose desired damping, B</t>
  </si>
  <si>
    <t>desired B=</t>
  </si>
  <si>
    <t>(desiredB)</t>
  </si>
  <si>
    <r>
      <t>e=A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/A</t>
    </r>
    <r>
      <rPr>
        <b/>
        <vertAlign val="subscript"/>
        <sz val="10"/>
        <rFont val="Arial"/>
        <family val="2"/>
      </rPr>
      <t>2</t>
    </r>
  </si>
  <si>
    <t>del=ln(e)</t>
  </si>
  <si>
    <r>
      <t>B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=del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/(del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+4n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pi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</si>
  <si>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T</t>
    </r>
    <r>
      <rPr>
        <vertAlign val="subscript"/>
        <sz val="10"/>
        <rFont val="Arial"/>
        <family val="2"/>
      </rPr>
      <t>n</t>
    </r>
    <r>
      <rPr>
        <sz val="10"/>
        <rFont val="Arial"/>
        <family val="2"/>
      </rPr>
      <t>=T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*sqrt(1-B</t>
    </r>
    <r>
      <rPr>
        <vertAlign val="subscript"/>
        <sz val="10"/>
        <rFont val="Arial"/>
        <family val="2"/>
      </rPr>
      <t>0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</si>
  <si>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gamma=(r</t>
    </r>
    <r>
      <rPr>
        <b/>
        <vertAlign val="subscript"/>
        <sz val="10"/>
        <rFont val="Arial"/>
        <family val="2"/>
      </rPr>
      <t>s</t>
    </r>
    <r>
      <rPr>
        <b/>
        <sz val="10"/>
        <rFont val="Arial"/>
        <family val="2"/>
      </rPr>
      <t>+r</t>
    </r>
    <r>
      <rPr>
        <b/>
        <vertAlign val="subscript"/>
        <sz val="10"/>
        <rFont val="Arial"/>
        <family val="2"/>
      </rPr>
      <t>e</t>
    </r>
    <r>
      <rPr>
        <b/>
        <sz val="10"/>
        <rFont val="Arial"/>
        <family val="2"/>
      </rPr>
      <t>)*(B-B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)</t>
    </r>
  </si>
  <si>
    <r>
      <t>G=sqrt(4*pi*mass*gamma/T</t>
    </r>
    <r>
      <rPr>
        <vertAlign val="subscript"/>
        <sz val="10"/>
        <rFont val="Arial"/>
        <family val="2"/>
      </rPr>
      <t>n</t>
    </r>
    <r>
      <rPr>
        <sz val="10"/>
        <rFont val="Arial"/>
        <family val="2"/>
      </rPr>
      <t>)</t>
    </r>
  </si>
  <si>
    <t>volts</t>
  </si>
  <si>
    <r>
      <t>r</t>
    </r>
    <r>
      <rPr>
        <b/>
        <u/>
        <vertAlign val="subscript"/>
        <sz val="12"/>
        <rFont val="Arial"/>
        <family val="2"/>
      </rPr>
      <t>e</t>
    </r>
  </si>
  <si>
    <r>
      <t>A</t>
    </r>
    <r>
      <rPr>
        <b/>
        <u/>
        <vertAlign val="subscript"/>
        <sz val="12"/>
        <rFont val="Arial"/>
        <family val="2"/>
      </rPr>
      <t>1</t>
    </r>
  </si>
  <si>
    <r>
      <t>A</t>
    </r>
    <r>
      <rPr>
        <b/>
        <u/>
        <vertAlign val="subscript"/>
        <sz val="12"/>
        <rFont val="Arial"/>
        <family val="2"/>
      </rPr>
      <t>2</t>
    </r>
  </si>
  <si>
    <t>n</t>
  </si>
  <si>
    <t>e</t>
  </si>
  <si>
    <t>del</t>
  </si>
  <si>
    <r>
      <t>B (B</t>
    </r>
    <r>
      <rPr>
        <u/>
        <vertAlign val="subscript"/>
        <sz val="12"/>
        <rFont val="Arial"/>
        <family val="2"/>
      </rPr>
      <t>0</t>
    </r>
    <r>
      <rPr>
        <u/>
        <sz val="12"/>
        <rFont val="Arial"/>
        <family val="2"/>
      </rPr>
      <t xml:space="preserve"> if r</t>
    </r>
    <r>
      <rPr>
        <u/>
        <vertAlign val="subscript"/>
        <sz val="12"/>
        <rFont val="Arial"/>
        <family val="2"/>
      </rPr>
      <t>e</t>
    </r>
    <r>
      <rPr>
        <u/>
        <sz val="12"/>
        <rFont val="Arial"/>
        <family val="2"/>
      </rPr>
      <t xml:space="preserve"> is open)</t>
    </r>
  </si>
  <si>
    <r>
      <t>Natural Free Period, T</t>
    </r>
    <r>
      <rPr>
        <vertAlign val="subscript"/>
        <sz val="10"/>
        <rFont val="Arial"/>
        <family val="2"/>
      </rPr>
      <t>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 (NatlFreePer)</t>
    </r>
  </si>
  <si>
    <t>gamma</t>
  </si>
  <si>
    <t>(GammaAvg)</t>
  </si>
  <si>
    <t>(G)</t>
  </si>
  <si>
    <t>calculate S &amp; T resistors for desired damping and motor constant</t>
  </si>
  <si>
    <r>
      <t>r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=(gamma</t>
    </r>
    <r>
      <rPr>
        <vertAlign val="subscript"/>
        <sz val="10"/>
        <rFont val="Arial"/>
        <family val="2"/>
      </rPr>
      <t>avg</t>
    </r>
    <r>
      <rPr>
        <sz val="10"/>
        <rFont val="Arial"/>
        <family val="2"/>
      </rPr>
      <t>/(B-B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)) - r</t>
    </r>
    <r>
      <rPr>
        <vertAlign val="subscript"/>
        <sz val="10"/>
        <rFont val="Arial"/>
        <family val="2"/>
      </rPr>
      <t>s</t>
    </r>
  </si>
  <si>
    <r>
      <t>r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=</t>
    </r>
  </si>
  <si>
    <t>(Re)</t>
  </si>
  <si>
    <r>
      <t>r</t>
    </r>
    <r>
      <rPr>
        <vertAlign val="subscript"/>
        <sz val="10"/>
        <rFont val="Arial"/>
        <family val="2"/>
      </rPr>
      <t>ab</t>
    </r>
    <r>
      <rPr>
        <sz val="10"/>
        <rFont val="Arial"/>
        <family val="2"/>
      </rPr>
      <t>=(G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/G)*(r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+r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</si>
  <si>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ab</t>
    </r>
    <r>
      <rPr>
        <sz val="10"/>
        <rFont val="Arial"/>
        <family val="2"/>
      </rPr>
      <t>=</t>
    </r>
  </si>
  <si>
    <t>(Rab)</t>
  </si>
  <si>
    <r>
      <t>S=1/((1/r</t>
    </r>
    <r>
      <rPr>
        <vertAlign val="subscript"/>
        <sz val="10"/>
        <rFont val="Arial"/>
        <family val="2"/>
      </rPr>
      <t>ab</t>
    </r>
    <r>
      <rPr>
        <sz val="10"/>
        <rFont val="Arial"/>
        <family val="2"/>
      </rPr>
      <t>)-(1/r</t>
    </r>
    <r>
      <rPr>
        <vertAlign val="subscript"/>
        <sz val="10"/>
        <rFont val="Arial"/>
        <family val="2"/>
      </rPr>
      <t>amp</t>
    </r>
    <r>
      <rPr>
        <sz val="10"/>
        <rFont val="Arial"/>
        <family val="2"/>
      </rPr>
      <t>))</t>
    </r>
  </si>
  <si>
    <t>S=</t>
  </si>
  <si>
    <r>
      <t>T=r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-r</t>
    </r>
    <r>
      <rPr>
        <vertAlign val="subscript"/>
        <sz val="10"/>
        <rFont val="Arial"/>
        <family val="2"/>
      </rPr>
      <t>ab</t>
    </r>
  </si>
  <si>
    <t>T=</t>
  </si>
  <si>
    <t>from Qamar 2401a calculations</t>
  </si>
  <si>
    <t>electrical damping  (Go**2)/(4*pi*fo*m*Rt)</t>
  </si>
  <si>
    <t>Effective sensitivity or effective motor constant, Go*(Rload/Rt)</t>
  </si>
  <si>
    <t>poles</t>
  </si>
  <si>
    <t>pole 1</t>
  </si>
  <si>
    <t>pole 2</t>
  </si>
  <si>
    <t>values to calculate digital vs PS-2 comparison</t>
  </si>
  <si>
    <t xml:space="preserve">Digital </t>
  </si>
  <si>
    <t>PS-2</t>
  </si>
  <si>
    <t>Choose output format:</t>
  </si>
  <si>
    <t>seisan FAP</t>
  </si>
  <si>
    <t>type of sensor</t>
  </si>
  <si>
    <t>seismometer</t>
  </si>
  <si>
    <t>seismometer natural period</t>
  </si>
  <si>
    <t>for L-4 1-hz seismometers</t>
  </si>
  <si>
    <t>for L-22 2-hz seismometers (3-comps)</t>
  </si>
  <si>
    <t>seismometer damping ratio</t>
  </si>
  <si>
    <t>sensor loaded generator constant (V/M/S or V/G)</t>
  </si>
  <si>
    <t>100 V/M/S</t>
  </si>
  <si>
    <t>25 V/M/S</t>
  </si>
  <si>
    <t>10 V/M/S</t>
  </si>
  <si>
    <t>for BPPTK 10(?)-hz seismometer</t>
  </si>
  <si>
    <t>recording media gain (count/volt or m/v)</t>
  </si>
  <si>
    <t>12-bit AD conversion: 0.00122v/ct , or 819.6 ct/V</t>
  </si>
  <si>
    <t>psn 16-bit over +/-5V range</t>
  </si>
  <si>
    <t>Guralp 16-8R over +/-10V range</t>
  </si>
  <si>
    <t>PS-2 pen sensitivity mm/mV (switch 1,2,3,4)</t>
  </si>
  <si>
    <t>one</t>
  </si>
  <si>
    <t>two</t>
  </si>
  <si>
    <t>three</t>
  </si>
  <si>
    <t>four</t>
  </si>
  <si>
    <t>PS-2 pen sensitivity</t>
  </si>
  <si>
    <t>amplifier gain (dB)</t>
  </si>
  <si>
    <t>for standard VDAP installation with 60dB McVCO gain</t>
  </si>
  <si>
    <t>Digital system: McVCO gain -5dB to account for McVCO/Mc8 conversion mis-match in USGS standard</t>
  </si>
  <si>
    <t>for standard VDAP installation with 66dB McVCO gain</t>
  </si>
  <si>
    <t>PS-2: McVCO gain +1.1dB for McVCO/PS-2 conversion mismatch</t>
  </si>
  <si>
    <t>for standard VDAP installation with 72dB McVCO gain</t>
  </si>
  <si>
    <t>L22</t>
  </si>
  <si>
    <t xml:space="preserve">Mc8  output is +/-2.5V / +/-125hz </t>
  </si>
  <si>
    <t>McVCO output is 115hz / 4.05V</t>
  </si>
  <si>
    <t>USGS McVco out = 28.4 Hz/V</t>
  </si>
  <si>
    <t>USGS discrim out=0.02V/Hz</t>
  </si>
  <si>
    <t>Kinemetrics discrim out =? 0.04 V/Hz</t>
  </si>
  <si>
    <t>20log1.136</t>
  </si>
  <si>
    <t>McVCO, Kinemetrics</t>
  </si>
  <si>
    <t>PS-2 Atelem = McVCO* Disc= 1.136</t>
  </si>
  <si>
    <t xml:space="preserve"> 20log 0.568</t>
  </si>
  <si>
    <t>McVCO, Mc8</t>
  </si>
  <si>
    <t>Digital Atelem=vco * discrim =0.568</t>
  </si>
  <si>
    <t>PS-2 gain switch (0, 12, 18, 24, 30, 36, 42, 48, 54, 60, 66, 72)</t>
  </si>
  <si>
    <t>number of filters</t>
  </si>
  <si>
    <t>2, for digital system; 3, for McVCO/PS-2</t>
  </si>
  <si>
    <t>frequency and poles for each filter, poles negative for high pass</t>
  </si>
  <si>
    <t>30 4</t>
  </si>
  <si>
    <t xml:space="preserve">McVCO low-pass filter: 4 poles at 30Hz </t>
  </si>
  <si>
    <t>20 4</t>
  </si>
  <si>
    <t>J120D discriminator low-pass filter: 4 poles at 20Hz</t>
  </si>
  <si>
    <t>12.5 2</t>
  </si>
  <si>
    <t>PS-2 low-pass switch 12dB/octave</t>
  </si>
  <si>
    <t>0.1, -5</t>
  </si>
  <si>
    <t>PS-2 high pass, 12bB/octave, on Amp board, f=DC, 0.1, 5</t>
  </si>
  <si>
    <t>type of response</t>
  </si>
  <si>
    <t>displacement</t>
  </si>
  <si>
    <t>file name for files with poles and zeros, return for no file</t>
  </si>
  <si>
    <t>&lt;return&gt;</t>
  </si>
  <si>
    <t>file name for tabulated values, return for no file</t>
  </si>
  <si>
    <t>give file name for measured values, return for none</t>
  </si>
  <si>
    <t>PROGRAM NOW GENERATES ON-SCREEN GRAPHS</t>
  </si>
  <si>
    <t>SEISAN rsponse file (y/n=default)</t>
  </si>
  <si>
    <t>y</t>
  </si>
  <si>
    <t>enter station code</t>
  </si>
  <si>
    <t>enter station name</t>
  </si>
  <si>
    <t>enter component (4 chars0 e.g. SH Z)</t>
  </si>
  <si>
    <t>SH Z</t>
  </si>
  <si>
    <t>if short-period vertical</t>
  </si>
  <si>
    <t>enter date as yyyymmddhhmmss at least up to the day (e.g. 19880123)</t>
  </si>
  <si>
    <t>Latitude, return for none</t>
  </si>
  <si>
    <t>Longitude, return for none</t>
  </si>
  <si>
    <t>elevation in meters, return for none</t>
  </si>
  <si>
    <t>enter comments, one line</t>
  </si>
  <si>
    <t>VDAP installation yadda yadda</t>
  </si>
  <si>
    <t>gain</t>
  </si>
  <si>
    <t>normalization factor</t>
  </si>
  <si>
    <t>digitizer sensitivity</t>
  </si>
  <si>
    <t>bits</t>
  </si>
  <si>
    <t>range V</t>
  </si>
  <si>
    <t>counts</t>
  </si>
  <si>
    <t>ct/v</t>
  </si>
  <si>
    <t>device</t>
  </si>
  <si>
    <t>PSN ADC</t>
  </si>
  <si>
    <t>Guralp 16R</t>
  </si>
  <si>
    <t xml:space="preserve">Discrim output is +/-2.5V / +/-125hz </t>
  </si>
  <si>
    <t xml:space="preserve"> -b+/- ((b^2-4*a*c)^.5)/2*a</t>
  </si>
  <si>
    <r>
      <t xml:space="preserve"> (s^2 + 0.765367*s*w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+w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^2) </t>
    </r>
  </si>
  <si>
    <r>
      <t xml:space="preserve"> (s^2 + 1.8477759*s*w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+w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*2)</t>
    </r>
  </si>
  <si>
    <t>a</t>
  </si>
  <si>
    <t>b</t>
  </si>
  <si>
    <t>c</t>
  </si>
  <si>
    <t>f(hz)</t>
  </si>
  <si>
    <t>f(w)</t>
  </si>
  <si>
    <t>hz</t>
  </si>
  <si>
    <t>saturates at 5V</t>
  </si>
  <si>
    <t>volts/count</t>
  </si>
  <si>
    <t>counts/volt</t>
  </si>
  <si>
    <t>guralp 16-bit DM16-R8</t>
  </si>
  <si>
    <t>signal saturates at 16k</t>
  </si>
  <si>
    <t>psn 16-bit board</t>
  </si>
  <si>
    <t xml:space="preserve">worm system - disc out is +/-2.5Vpp,  PSN range is 10V, </t>
  </si>
  <si>
    <t>signal saturates at +/-2048 for +/-2.5V</t>
  </si>
  <si>
    <t xml:space="preserve"> =1.22mV/bit</t>
  </si>
  <si>
    <t>worm system - disc out is +/-2.5vpp, gain =4 on NI software for +/-10vpp or 12dB</t>
  </si>
  <si>
    <t>gain = 2</t>
  </si>
  <si>
    <t>volts / count</t>
  </si>
  <si>
    <t>12-bit counts</t>
  </si>
  <si>
    <t>for NI ADC in EW system:</t>
  </si>
  <si>
    <t>60dB</t>
  </si>
  <si>
    <t>X10 voltage, add 20dB</t>
  </si>
  <si>
    <t>double voltage (x2), add 6dB.</t>
  </si>
  <si>
    <t xml:space="preserve">Shortcuts for dB: Voltage - </t>
  </si>
  <si>
    <t>note: log10=1</t>
  </si>
  <si>
    <t>dB</t>
  </si>
  <si>
    <t>PSN</t>
  </si>
  <si>
    <t xml:space="preserve"> +/-5v range</t>
  </si>
  <si>
    <t>.00122V/BIT</t>
  </si>
  <si>
    <t>PCI_MIO_16E_4</t>
  </si>
  <si>
    <t>voltage dB</t>
  </si>
  <si>
    <t>power dB</t>
  </si>
  <si>
    <t>bit %</t>
  </si>
  <si>
    <t>Bit</t>
  </si>
  <si>
    <t>Hz</t>
  </si>
  <si>
    <t>ct/V</t>
  </si>
  <si>
    <t>f</t>
  </si>
  <si>
    <t>f0</t>
  </si>
  <si>
    <t>ADC</t>
  </si>
  <si>
    <t>This is a full description of the analog system response</t>
  </si>
  <si>
    <t>diagram</t>
  </si>
  <si>
    <t>L-pad</t>
  </si>
  <si>
    <t>McVCO</t>
  </si>
  <si>
    <t>Discriminator</t>
  </si>
  <si>
    <t>Gain</t>
  </si>
  <si>
    <t>V-Hz conversion</t>
  </si>
  <si>
    <t>m/sec - V conversion</t>
  </si>
  <si>
    <t>Seismometer</t>
  </si>
  <si>
    <t>Hz-V conversion</t>
  </si>
  <si>
    <t>Transfer function T(f)</t>
  </si>
  <si>
    <t>where</t>
  </si>
  <si>
    <t>frequency (hz)</t>
  </si>
  <si>
    <t>damping, set by seismometer and L-pad, nominally 0.8</t>
  </si>
  <si>
    <t>MotorConst</t>
  </si>
  <si>
    <t>motor constant, set by seismometer and L-pad, nominally 100V/m/sec</t>
  </si>
  <si>
    <t>seismometer center frequency, Hz, (1Hz for an L4)</t>
  </si>
  <si>
    <t>Damping, B</t>
  </si>
  <si>
    <t xml:space="preserve"> T(f) =((f^2)/((((f0-f^2)^2)+4*(damping^2)*(f0^2)*(f^2))^0.5)*MotorConst)*(10^(GaindB/20))*(1/(1+(f/30)^8)^0.5)*(1/(1+(f/20)^8)^0.5)*ADC</t>
  </si>
  <si>
    <t xml:space="preserve"> T(f) =((f^2)/((((f0^2-f^2)^2)+4*(damping^2)*(f0^2*f^2))^0.5)*motorConst</t>
  </si>
  <si>
    <t>T(f) seismometer&amp;L-pad, V/m/sec</t>
  </si>
  <si>
    <t>v/v</t>
  </si>
  <si>
    <t>seismometer transfer function, Poles &amp; zeros, V/m/sec</t>
  </si>
  <si>
    <t>McVCO transfer function, Gain, filter, Hz/V conversion</t>
  </si>
  <si>
    <t>30-hz lo pass filter</t>
  </si>
  <si>
    <t>20Hz lo pass filter</t>
  </si>
  <si>
    <t>V-ct conversion</t>
  </si>
  <si>
    <t>McVCOloPass</t>
  </si>
  <si>
    <t>McVCOgain_dB</t>
  </si>
  <si>
    <t>McVCO_V_Hz</t>
  </si>
  <si>
    <t>Disc_Hz_V</t>
  </si>
  <si>
    <t>V</t>
  </si>
  <si>
    <t>DiscLoPass</t>
  </si>
  <si>
    <t>McVCO lo-pass filter corner freq</t>
  </si>
  <si>
    <t>Disc lo-pass corner freq</t>
  </si>
  <si>
    <t>Mc8HiPass</t>
  </si>
  <si>
    <t>Mc8 hi-pass filter</t>
  </si>
  <si>
    <t xml:space="preserve"> McVCOloPass 30Hz 4-pole filter</t>
  </si>
  <si>
    <t>adjustable McVCO gain, 10^(McVCOgain_dB/20)</t>
  </si>
  <si>
    <t xml:space="preserve"> 2 poles</t>
  </si>
  <si>
    <t>2 zeros</t>
  </si>
  <si>
    <t>Note: to convert the velocity transfer function to displacment, multiply velocity by (2*3.1415*f)</t>
  </si>
  <si>
    <t>f0(hz)</t>
  </si>
  <si>
    <t>f0(w)</t>
  </si>
  <si>
    <t>PAZ constant, w^4</t>
  </si>
  <si>
    <t>Discriminator transfer function: filter, hz to V conversion</t>
  </si>
  <si>
    <t xml:space="preserve">Note mismatch of McVCO Hz to V and Discrim V to Hz conversions. Ideally this should equal 1 but the VDAP McVCO and the discriminators have different conversion factors due to historical reasons. VDAP McVCO uses the USGS standard of115Hz/4.05V, dating from when USGS McVCOs were powered by 4.05V mercury cells whose output voltage is stable enough for the VCO design to use it as a voltage standard. </t>
  </si>
  <si>
    <t>McVCO lo-pss 30z</t>
  </si>
  <si>
    <t>disc lo-pass 20hz</t>
  </si>
  <si>
    <t>total normalization factor after seismometer</t>
  </si>
  <si>
    <t>v/m/sec seismometer normalization factor</t>
  </si>
  <si>
    <t>Disc 20Hz lo-pass 4th order filter</t>
  </si>
  <si>
    <t xml:space="preserve"> -5.0265484  +3.7699113i ,  -5.0265484  -3.7699113i ,  -72.134140  +174.14719i , -72.134140  -174.14719i ,  -174.14720  +72.134102i ,  -174.14720  +72.134102i ,  -48.089432  +116.09813i ,  -48.089432  -116.09813i,  -116.09813 +48.08942i ,  -116.09813 -48.08942i</t>
  </si>
  <si>
    <t>PAZ for the whole system, in one line, for GEMPA input</t>
  </si>
  <si>
    <t>test</t>
  </si>
  <si>
    <t>T(1hz)</t>
  </si>
  <si>
    <t>total gain of 'datalogger' in stationXML</t>
  </si>
  <si>
    <t>gain of 'sensor' in stationXML</t>
  </si>
  <si>
    <t>(-2*pi*fo*b)</t>
  </si>
  <si>
    <t xml:space="preserve"> +j*(2*pi*fo*sqrt(1-b**2)</t>
  </si>
  <si>
    <t xml:space="preserve"> -j*(2*pi*fo*sqrt(1-b**2)</t>
  </si>
  <si>
    <t xml:space="preserve"> (-2*pi*fo*b)+j*(2*pi*fo*sqrt(1-b**2))</t>
  </si>
  <si>
    <t xml:space="preserve"> (-2*pi*fo*b)-j*(2*pi*fo*sqrt(1-b**2))</t>
  </si>
  <si>
    <t>w(30Hz)</t>
  </si>
  <si>
    <t>w(20Hz)</t>
  </si>
  <si>
    <t>analog-digital converter sensitivity; 16-bit Guralp ADC, 20V range</t>
  </si>
  <si>
    <t>McVCO lo pass ^4 (approx)</t>
  </si>
  <si>
    <t>Disc lo pass ^4 (approx)</t>
  </si>
  <si>
    <t>total gain outboard of seismometer at 1 hz</t>
  </si>
  <si>
    <t>total gain dB (McVCO gain * telem attenuation)</t>
  </si>
  <si>
    <t>ct/m/sec</t>
  </si>
  <si>
    <t>total system gain in stationXML. This checks with the total gain at 1Hz calculated in GSE2 response file</t>
  </si>
  <si>
    <t>T(f) (sec-1)</t>
  </si>
  <si>
    <t xml:space="preserve"> T(f) =((f^2)/((((f0^2-f^2)^2)+4*(damping^2)*(f0^2*f^2))^0.5)</t>
  </si>
  <si>
    <t xml:space="preserve"> T(f) =((f^2)/(f0^2-f^2+2*damping*f0*f)</t>
  </si>
  <si>
    <t>T(w) (sec^-1_</t>
  </si>
  <si>
    <t xml:space="preserve"> McVCOlopass=(1/((1+(B34/D34)^8)^0.5))</t>
  </si>
  <si>
    <t>L-4 Seismometer calibration worksheet adapted from Tony Qamar</t>
  </si>
  <si>
    <t>Use this sheet as a permanent record of seismometer calibration by changing the name to the serial number and the date of the calibration.</t>
  </si>
  <si>
    <t>Refer to the Procedure, or the document 'seismometer calibration for CVGHM.docx' for instructions</t>
  </si>
  <si>
    <t>italicised names refer to excel cell names used in calculations on this  worksheet</t>
  </si>
  <si>
    <t>Seismometer mass (kg) (read from seismometer tag) ( ~1.0)</t>
  </si>
  <si>
    <t>measure Coil resistance(ohms)  ( Measure!) may be 510</t>
  </si>
  <si>
    <r>
      <t>Measured Damped Period (sec) (measure with r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open) (~1.0)</t>
    </r>
  </si>
  <si>
    <t>(t_d)</t>
  </si>
  <si>
    <r>
      <t>B</t>
    </r>
    <r>
      <rPr>
        <b/>
        <vertAlign val="subscript"/>
        <sz val="10"/>
        <rFont val="Arial"/>
        <family val="2"/>
      </rPr>
      <t>1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=del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/(del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+pi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</si>
  <si>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ohms</t>
  </si>
  <si>
    <r>
      <t>B</t>
    </r>
    <r>
      <rPr>
        <u/>
        <vertAlign val="subscript"/>
        <sz val="12"/>
        <rFont val="Arial"/>
        <family val="2"/>
      </rPr>
      <t>1</t>
    </r>
    <r>
      <rPr>
        <u/>
        <sz val="12"/>
        <rFont val="Arial"/>
        <family val="2"/>
      </rPr>
      <t xml:space="preserve"> (B</t>
    </r>
    <r>
      <rPr>
        <u/>
        <vertAlign val="subscript"/>
        <sz val="12"/>
        <rFont val="Arial"/>
        <family val="2"/>
      </rPr>
      <t>0</t>
    </r>
    <r>
      <rPr>
        <u/>
        <sz val="12"/>
        <rFont val="Arial"/>
        <family val="2"/>
      </rPr>
      <t xml:space="preserve"> if r</t>
    </r>
    <r>
      <rPr>
        <u/>
        <vertAlign val="subscript"/>
        <sz val="12"/>
        <rFont val="Arial"/>
        <family val="2"/>
      </rPr>
      <t>e</t>
    </r>
    <r>
      <rPr>
        <u/>
        <sz val="12"/>
        <rFont val="Arial"/>
        <family val="2"/>
      </rPr>
      <t xml:space="preserve"> is open)</t>
    </r>
  </si>
  <si>
    <r>
      <t>r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=(gamma</t>
    </r>
    <r>
      <rPr>
        <vertAlign val="subscript"/>
        <sz val="10"/>
        <rFont val="Arial"/>
        <family val="2"/>
      </rPr>
      <t>avg</t>
    </r>
    <r>
      <rPr>
        <sz val="11"/>
        <color theme="1"/>
        <rFont val="Calibri"/>
        <family val="2"/>
        <scheme val="minor"/>
      </rPr>
      <t>/(B-B</t>
    </r>
    <r>
      <rPr>
        <vertAlign val="sub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>)) - r</t>
    </r>
    <r>
      <rPr>
        <vertAlign val="subscript"/>
        <sz val="10"/>
        <rFont val="Arial"/>
        <family val="2"/>
      </rPr>
      <t>s</t>
    </r>
  </si>
  <si>
    <t>VDAP values</t>
  </si>
  <si>
    <r>
      <t>cross-check on G</t>
    </r>
    <r>
      <rPr>
        <b/>
        <vertAlign val="subscript"/>
        <sz val="10"/>
        <rFont val="Arial"/>
        <family val="2"/>
      </rPr>
      <t>e</t>
    </r>
    <r>
      <rPr>
        <b/>
        <sz val="10"/>
        <rFont val="Arial"/>
        <family val="2"/>
      </rPr>
      <t xml:space="preserve"> and B for S &amp; T values for this seismometer</t>
    </r>
  </si>
  <si>
    <t>Serial Number</t>
  </si>
  <si>
    <r>
      <t>G</t>
    </r>
    <r>
      <rPr>
        <b/>
        <u/>
        <vertAlign val="subscript"/>
        <sz val="10"/>
        <rFont val="Arial"/>
        <family val="2"/>
      </rPr>
      <t>e</t>
    </r>
    <r>
      <rPr>
        <b/>
        <u/>
        <sz val="10"/>
        <rFont val="Arial"/>
        <family val="2"/>
      </rPr>
      <t xml:space="preserve"> v/m/sec</t>
    </r>
  </si>
  <si>
    <r>
      <t>B</t>
    </r>
    <r>
      <rPr>
        <b/>
        <u/>
        <vertAlign val="subscript"/>
        <sz val="10"/>
        <rFont val="Arial"/>
        <family val="2"/>
      </rPr>
      <t>0</t>
    </r>
  </si>
  <si>
    <r>
      <t>B</t>
    </r>
    <r>
      <rPr>
        <b/>
        <u/>
        <vertAlign val="subscript"/>
        <sz val="10"/>
        <rFont val="Arial"/>
        <family val="2"/>
      </rPr>
      <t>1</t>
    </r>
  </si>
  <si>
    <t>Trillium</t>
  </si>
  <si>
    <t>review of Sulis' 8/12 'update on stationXML.doc'</t>
  </si>
  <si>
    <t>seiscomp max amp</t>
  </si>
  <si>
    <t>nm/sec</t>
  </si>
  <si>
    <t>seisan max amp</t>
  </si>
  <si>
    <t>m/sec</t>
  </si>
  <si>
    <t>cal pulse</t>
  </si>
  <si>
    <t>'0000'</t>
  </si>
  <si>
    <t>'0110'</t>
  </si>
  <si>
    <t>72dB assumption)</t>
  </si>
  <si>
    <t xml:space="preserve">was 67dB </t>
  </si>
  <si>
    <t>Gain of McVCO, dB, =10^(gain/20) 60dB=1000, 66dB=1995, 72dB= 3981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</si>
</sst>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00"/>
    <numFmt numFmtId="165" formatCode="#,##0.0"/>
    <numFmt numFmtId="166" formatCode="0.0"/>
    <numFmt numFmtId="167" formatCode="0.0000"/>
    <numFmt numFmtId="168" formatCode="0.000000000"/>
    <numFmt numFmtId="169" formatCode="0.000000"/>
    <numFmt numFmtId="170" formatCode="0.00000"/>
    <numFmt numFmtId="171" formatCode="#,##0.00000"/>
    <numFmt numFmtId="172" formatCode="#,##0.0000"/>
    <numFmt numFmtId="173" formatCode="_(* #,##0_);_(* \(#,##0\);_(* &quot;-&quot;??_);_(@_)"/>
    <numFmt numFmtId="174" formatCode="#,##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u/>
      <sz val="12"/>
      <name val="Arial"/>
      <family val="2"/>
    </font>
    <font>
      <b/>
      <u/>
      <vertAlign val="subscript"/>
      <sz val="12"/>
      <name val="Arial"/>
      <family val="2"/>
    </font>
    <font>
      <u/>
      <sz val="12"/>
      <name val="Arial"/>
      <family val="2"/>
    </font>
    <font>
      <u/>
      <vertAlign val="subscript"/>
      <sz val="12"/>
      <name val="Arial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vertAlign val="subscript"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23" fillId="0" borderId="0"/>
    <xf numFmtId="43" fontId="30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2" fillId="0" borderId="0" xfId="1" applyAlignment="1">
      <alignment wrapText="1"/>
    </xf>
    <xf numFmtId="0" fontId="4" fillId="0" borderId="0" xfId="1" applyFont="1" applyAlignment="1">
      <alignment horizontal="right"/>
    </xf>
    <xf numFmtId="0" fontId="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3" fontId="5" fillId="0" borderId="0" xfId="1" applyNumberFormat="1" applyFont="1" applyAlignment="1">
      <alignment horizontal="center" vertical="center"/>
    </xf>
    <xf numFmtId="1" fontId="2" fillId="0" borderId="0" xfId="1" applyNumberFormat="1"/>
    <xf numFmtId="2" fontId="6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6" fontId="2" fillId="0" borderId="0" xfId="1" applyNumberFormat="1" applyAlignment="1">
      <alignment horizontal="center"/>
    </xf>
    <xf numFmtId="2" fontId="5" fillId="0" borderId="0" xfId="1" applyNumberFormat="1" applyFont="1" applyAlignment="1">
      <alignment horizontal="center" vertical="center"/>
    </xf>
    <xf numFmtId="0" fontId="5" fillId="0" borderId="0" xfId="1" applyFont="1"/>
    <xf numFmtId="3" fontId="4" fillId="0" borderId="0" xfId="1" applyNumberFormat="1" applyFont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1" fontId="2" fillId="2" borderId="0" xfId="1" applyNumberFormat="1" applyFill="1"/>
    <xf numFmtId="2" fontId="6" fillId="2" borderId="0" xfId="1" applyNumberFormat="1" applyFont="1" applyFill="1" applyAlignment="1">
      <alignment horizontal="center" vertical="center"/>
    </xf>
    <xf numFmtId="165" fontId="2" fillId="2" borderId="0" xfId="1" applyNumberFormat="1" applyFill="1" applyAlignment="1">
      <alignment horizontal="center" vertical="center"/>
    </xf>
    <xf numFmtId="165" fontId="6" fillId="2" borderId="0" xfId="1" applyNumberFormat="1" applyFont="1" applyFill="1" applyAlignment="1">
      <alignment horizontal="center" vertical="center"/>
    </xf>
    <xf numFmtId="166" fontId="2" fillId="2" borderId="0" xfId="1" applyNumberFormat="1" applyFill="1" applyAlignment="1">
      <alignment horizontal="center"/>
    </xf>
    <xf numFmtId="0" fontId="2" fillId="2" borderId="0" xfId="1" applyFill="1"/>
    <xf numFmtId="0" fontId="5" fillId="3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1" fontId="2" fillId="3" borderId="0" xfId="1" applyNumberFormat="1" applyFill="1"/>
    <xf numFmtId="2" fontId="6" fillId="3" borderId="0" xfId="1" applyNumberFormat="1" applyFont="1" applyFill="1" applyAlignment="1">
      <alignment horizontal="center" vertical="center"/>
    </xf>
    <xf numFmtId="165" fontId="2" fillId="3" borderId="0" xfId="1" applyNumberFormat="1" applyFill="1" applyAlignment="1">
      <alignment horizontal="center" vertical="center"/>
    </xf>
    <xf numFmtId="165" fontId="6" fillId="3" borderId="0" xfId="1" applyNumberFormat="1" applyFont="1" applyFill="1" applyAlignment="1">
      <alignment horizontal="center" vertical="center"/>
    </xf>
    <xf numFmtId="166" fontId="2" fillId="3" borderId="0" xfId="1" applyNumberFormat="1" applyFill="1" applyAlignment="1">
      <alignment horizontal="center"/>
    </xf>
    <xf numFmtId="0" fontId="2" fillId="3" borderId="0" xfId="1" applyFill="1"/>
    <xf numFmtId="0" fontId="2" fillId="0" borderId="0" xfId="1" applyAlignment="1">
      <alignment horizontal="center" vertical="center"/>
    </xf>
    <xf numFmtId="166" fontId="2" fillId="0" borderId="0" xfId="1" applyNumberFormat="1" applyAlignment="1">
      <alignment horizontal="center" vertical="center"/>
    </xf>
    <xf numFmtId="4" fontId="2" fillId="0" borderId="0" xfId="1" applyNumberForma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2" xfId="1" applyBorder="1"/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4" fillId="0" borderId="0" xfId="1" applyFont="1" applyAlignment="1">
      <alignment horizontal="center"/>
    </xf>
    <xf numFmtId="0" fontId="2" fillId="0" borderId="2" xfId="1" applyBorder="1" applyAlignment="1">
      <alignment horizontal="center"/>
    </xf>
    <xf numFmtId="0" fontId="12" fillId="0" borderId="0" xfId="1" applyFont="1"/>
    <xf numFmtId="0" fontId="2" fillId="0" borderId="0" xfId="1" applyAlignment="1">
      <alignment horizontal="center"/>
    </xf>
    <xf numFmtId="0" fontId="5" fillId="0" borderId="0" xfId="1" applyFont="1" applyAlignment="1">
      <alignment horizontal="right"/>
    </xf>
    <xf numFmtId="3" fontId="2" fillId="0" borderId="2" xfId="1" applyNumberFormat="1" applyBorder="1" applyAlignment="1">
      <alignment horizontal="center"/>
    </xf>
    <xf numFmtId="0" fontId="2" fillId="0" borderId="3" xfId="1" applyBorder="1" applyAlignment="1">
      <alignment horizontal="center"/>
    </xf>
    <xf numFmtId="3" fontId="2" fillId="0" borderId="0" xfId="1" applyNumberFormat="1" applyAlignment="1">
      <alignment horizontal="center"/>
    </xf>
    <xf numFmtId="0" fontId="4" fillId="0" borderId="0" xfId="1" applyFont="1" applyAlignment="1">
      <alignment horizontal="center" wrapText="1"/>
    </xf>
    <xf numFmtId="0" fontId="5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17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5" fillId="0" borderId="0" xfId="1" applyFont="1" applyAlignment="1">
      <alignment horizontal="center" wrapText="1"/>
    </xf>
    <xf numFmtId="3" fontId="5" fillId="0" borderId="0" xfId="1" applyNumberFormat="1" applyFont="1" applyAlignment="1">
      <alignment horizontal="center"/>
    </xf>
    <xf numFmtId="2" fontId="2" fillId="0" borderId="0" xfId="1" applyNumberFormat="1" applyAlignment="1">
      <alignment horizontal="center"/>
    </xf>
    <xf numFmtId="1" fontId="2" fillId="0" borderId="0" xfId="1" applyNumberFormat="1" applyAlignment="1">
      <alignment horizontal="center"/>
    </xf>
    <xf numFmtId="3" fontId="2" fillId="0" borderId="0" xfId="1" applyNumberFormat="1"/>
    <xf numFmtId="3" fontId="2" fillId="3" borderId="0" xfId="1" applyNumberFormat="1" applyFill="1"/>
    <xf numFmtId="3" fontId="5" fillId="0" borderId="0" xfId="1" applyNumberFormat="1" applyFont="1"/>
    <xf numFmtId="167" fontId="2" fillId="0" borderId="0" xfId="1" applyNumberFormat="1" applyAlignment="1">
      <alignment horizont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5" fillId="0" borderId="0" xfId="2"/>
    <xf numFmtId="0" fontId="5" fillId="0" borderId="0" xfId="2" applyAlignment="1">
      <alignment horizontal="center"/>
    </xf>
    <xf numFmtId="0" fontId="5" fillId="0" borderId="0" xfId="2" applyAlignment="1">
      <alignment horizontal="right"/>
    </xf>
    <xf numFmtId="0" fontId="5" fillId="3" borderId="0" xfId="2" applyFill="1" applyAlignment="1">
      <alignment horizontal="center"/>
    </xf>
    <xf numFmtId="0" fontId="12" fillId="0" borderId="0" xfId="2" applyFont="1"/>
    <xf numFmtId="0" fontId="4" fillId="0" borderId="0" xfId="2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/>
    </xf>
    <xf numFmtId="166" fontId="7" fillId="0" borderId="5" xfId="1" applyNumberFormat="1" applyFont="1" applyBorder="1" applyAlignment="1">
      <alignment horizontal="center" vertical="center"/>
    </xf>
    <xf numFmtId="0" fontId="7" fillId="0" borderId="5" xfId="1" applyFont="1" applyBorder="1"/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" fontId="7" fillId="0" borderId="0" xfId="1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center" vertical="center"/>
    </xf>
    <xf numFmtId="0" fontId="7" fillId="0" borderId="0" xfId="1" applyFont="1" applyBorder="1"/>
    <xf numFmtId="0" fontId="3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0" xfId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" fontId="2" fillId="0" borderId="0" xfId="1" applyNumberFormat="1" applyBorder="1"/>
    <xf numFmtId="166" fontId="2" fillId="0" borderId="0" xfId="1" applyNumberForma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165" fontId="2" fillId="0" borderId="8" xfId="1" applyNumberFormat="1" applyBorder="1" applyAlignment="1">
      <alignment horizontal="center" vertical="center"/>
    </xf>
    <xf numFmtId="4" fontId="2" fillId="0" borderId="8" xfId="1" applyNumberForma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1" fontId="2" fillId="0" borderId="10" xfId="1" applyNumberFormat="1" applyBorder="1"/>
    <xf numFmtId="166" fontId="2" fillId="0" borderId="10" xfId="1" applyNumberFormat="1" applyBorder="1" applyAlignment="1">
      <alignment horizontal="center" vertical="center"/>
    </xf>
    <xf numFmtId="4" fontId="2" fillId="0" borderId="11" xfId="1" applyNumberFormat="1" applyBorder="1" applyAlignment="1">
      <alignment horizontal="center" vertical="center"/>
    </xf>
    <xf numFmtId="4" fontId="2" fillId="0" borderId="0" xfId="1" applyNumberForma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1" fontId="3" fillId="0" borderId="5" xfId="1" applyNumberFormat="1" applyFont="1" applyBorder="1" applyAlignment="1">
      <alignment horizontal="center"/>
    </xf>
    <xf numFmtId="166" fontId="3" fillId="0" borderId="6" xfId="1" applyNumberFormat="1" applyFont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/>
    </xf>
    <xf numFmtId="166" fontId="4" fillId="0" borderId="8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66" fontId="4" fillId="0" borderId="11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8" xfId="1" applyFont="1" applyBorder="1" applyAlignment="1">
      <alignment horizontal="center" vertical="center"/>
    </xf>
    <xf numFmtId="3" fontId="4" fillId="0" borderId="0" xfId="1" applyNumberFormat="1" applyFont="1" applyBorder="1" applyAlignment="1">
      <alignment horizontal="center" vertical="center"/>
    </xf>
    <xf numFmtId="3" fontId="4" fillId="0" borderId="8" xfId="1" applyNumberFormat="1" applyFont="1" applyBorder="1" applyAlignment="1">
      <alignment horizontal="center" vertical="center"/>
    </xf>
    <xf numFmtId="0" fontId="4" fillId="0" borderId="0" xfId="1" applyFont="1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23" fillId="0" borderId="0" xfId="3"/>
    <xf numFmtId="3" fontId="23" fillId="0" borderId="0" xfId="3" applyNumberFormat="1"/>
    <xf numFmtId="168" fontId="23" fillId="4" borderId="0" xfId="3" applyNumberFormat="1" applyFill="1"/>
    <xf numFmtId="0" fontId="23" fillId="4" borderId="0" xfId="3" applyFill="1"/>
    <xf numFmtId="0" fontId="2" fillId="0" borderId="0" xfId="3" applyFont="1"/>
    <xf numFmtId="0" fontId="24" fillId="0" borderId="0" xfId="3" applyFont="1"/>
    <xf numFmtId="1" fontId="24" fillId="0" borderId="0" xfId="3" applyNumberFormat="1" applyFont="1" applyAlignment="1">
      <alignment horizontal="center"/>
    </xf>
    <xf numFmtId="0" fontId="24" fillId="0" borderId="0" xfId="3" applyFont="1" applyAlignment="1">
      <alignment horizontal="center"/>
    </xf>
    <xf numFmtId="0" fontId="25" fillId="0" borderId="0" xfId="3" applyFont="1" applyAlignment="1">
      <alignment horizontal="center"/>
    </xf>
    <xf numFmtId="169" fontId="24" fillId="0" borderId="0" xfId="3" applyNumberFormat="1" applyFont="1" applyAlignment="1">
      <alignment horizontal="center"/>
    </xf>
    <xf numFmtId="3" fontId="24" fillId="0" borderId="0" xfId="3" applyNumberFormat="1" applyFont="1" applyAlignment="1">
      <alignment horizontal="center"/>
    </xf>
    <xf numFmtId="170" fontId="24" fillId="0" borderId="0" xfId="3" applyNumberFormat="1" applyFont="1" applyAlignment="1">
      <alignment horizontal="center"/>
    </xf>
    <xf numFmtId="171" fontId="24" fillId="0" borderId="0" xfId="3" applyNumberFormat="1" applyFont="1" applyAlignment="1">
      <alignment horizontal="center"/>
    </xf>
    <xf numFmtId="172" fontId="24" fillId="0" borderId="0" xfId="3" applyNumberFormat="1" applyFont="1" applyAlignment="1">
      <alignment horizontal="center"/>
    </xf>
    <xf numFmtId="164" fontId="24" fillId="0" borderId="0" xfId="3" applyNumberFormat="1" applyFont="1" applyAlignment="1">
      <alignment horizontal="center"/>
    </xf>
    <xf numFmtId="4" fontId="24" fillId="0" borderId="0" xfId="3" applyNumberFormat="1" applyFont="1" applyAlignment="1">
      <alignment horizontal="center"/>
    </xf>
    <xf numFmtId="165" fontId="24" fillId="0" borderId="0" xfId="3" applyNumberFormat="1" applyFont="1" applyAlignment="1">
      <alignment horizontal="center"/>
    </xf>
    <xf numFmtId="0" fontId="26" fillId="0" borderId="0" xfId="3" applyFont="1" applyAlignment="1">
      <alignment horizontal="center"/>
    </xf>
    <xf numFmtId="0" fontId="2" fillId="0" borderId="0" xfId="3" applyFont="1" applyAlignment="1">
      <alignment vertical="center"/>
    </xf>
    <xf numFmtId="0" fontId="2" fillId="0" borderId="0" xfId="1" applyAlignment="1">
      <alignment horizontal="right"/>
    </xf>
    <xf numFmtId="0" fontId="1" fillId="0" borderId="13" xfId="0" applyFont="1" applyBorder="1" applyAlignment="1">
      <alignment horizontal="center" wrapText="1"/>
    </xf>
    <xf numFmtId="11" fontId="1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2" xfId="0" applyBorder="1"/>
    <xf numFmtId="0" fontId="21" fillId="0" borderId="0" xfId="0" applyFont="1"/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4" fillId="0" borderId="0" xfId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4" fillId="0" borderId="0" xfId="3" applyNumberFormat="1" applyFont="1" applyAlignment="1">
      <alignment horizontal="center" vertical="center"/>
    </xf>
    <xf numFmtId="0" fontId="2" fillId="0" borderId="0" xfId="1" applyAlignment="1">
      <alignment horizontal="center" wrapText="1"/>
    </xf>
    <xf numFmtId="1" fontId="2" fillId="0" borderId="10" xfId="1" applyNumberFormat="1" applyBorder="1" applyAlignment="1">
      <alignment horizontal="center"/>
    </xf>
    <xf numFmtId="1" fontId="2" fillId="3" borderId="0" xfId="1" applyNumberFormat="1" applyFill="1" applyAlignment="1">
      <alignment horizontal="center"/>
    </xf>
    <xf numFmtId="3" fontId="4" fillId="0" borderId="0" xfId="1" applyNumberFormat="1" applyFont="1" applyAlignment="1">
      <alignment horizontal="center"/>
    </xf>
    <xf numFmtId="3" fontId="2" fillId="3" borderId="0" xfId="1" applyNumberFormat="1" applyFill="1" applyAlignment="1">
      <alignment horizontal="center"/>
    </xf>
    <xf numFmtId="1" fontId="6" fillId="0" borderId="0" xfId="1" applyNumberFormat="1" applyFont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73" fontId="5" fillId="0" borderId="0" xfId="4" applyNumberFormat="1" applyFont="1" applyAlignment="1">
      <alignment horizontal="center" vertical="center"/>
    </xf>
    <xf numFmtId="174" fontId="6" fillId="0" borderId="0" xfId="1" applyNumberFormat="1" applyFont="1" applyAlignment="1">
      <alignment horizontal="center" vertical="center"/>
    </xf>
    <xf numFmtId="164" fontId="2" fillId="0" borderId="0" xfId="1" applyNumberFormat="1" applyAlignment="1">
      <alignment horizont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 wrapText="1"/>
    </xf>
    <xf numFmtId="0" fontId="2" fillId="0" borderId="0" xfId="1" applyAlignment="1">
      <alignment horizontal="right"/>
    </xf>
    <xf numFmtId="0" fontId="2" fillId="0" borderId="0" xfId="1" applyAlignment="1">
      <alignment horizontal="right" wrapText="1"/>
    </xf>
    <xf numFmtId="0" fontId="4" fillId="0" borderId="0" xfId="1" applyFont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1" fontId="0" fillId="0" borderId="0" xfId="0" applyNumberFormat="1"/>
    <xf numFmtId="0" fontId="0" fillId="0" borderId="0" xfId="0" quotePrefix="1"/>
    <xf numFmtId="0" fontId="31" fillId="0" borderId="0" xfId="0" applyFont="1"/>
  </cellXfs>
  <cellStyles count="5">
    <cellStyle name="Comma" xfId="4" builtinId="3"/>
    <cellStyle name="Normal" xfId="0" builtinId="0"/>
    <cellStyle name="Normal 2" xfId="1" xr:uid="{17C6D1ED-63D6-49B6-A154-4C7511CBB254}"/>
    <cellStyle name="Normal 3" xfId="2" xr:uid="{AB6E72B1-B7DC-4E16-BD42-5B635EFAE361}"/>
    <cellStyle name="Normal 4" xfId="3" xr:uid="{ABCA743E-BE62-4F18-82F2-FF61AD21B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ofon.gfz-potsdam.de/ns/seiscomp3-schema/0.10'">
  <Schema ID="Schema1" Namespace="http://geofon.gfz-potsdam.de/ns/seiscomp3-schema/0.10">
    <xsd:schema xmlns:xsd="http://www.w3.org/2001/XMLSchema" xmlns:ns0="http://geofon.gfz-potsdam.de/ns/seiscomp3-schema/0.10" xmlns="" targetNamespace="http://geofon.gfz-potsdam.de/ns/seiscomp3-schema/0.10">
      <xsd:element nillable="true" name="seiscomp">
        <xsd:complexType>
          <xsd:sequence minOccurs="0">
            <xsd:element minOccurs="0" nillable="true" name="Inventory" form="qualified">
              <xsd:complexType>
                <xsd:sequence minOccurs="0">
                  <xsd:element minOccurs="0" maxOccurs="unbounded" nillable="true" name="sensor" form="qualified">
                    <xsd:complexType>
                      <xsd:all>
                        <xsd:element minOccurs="0" nillable="true" type="xsd:string" name="model" form="qualified"/>
                        <xsd:element minOccurs="0" nillable="true" type="xsd:string" name="manufacturer" form="qualified"/>
                        <xsd:element minOccurs="0" nillable="true" type="xsd:string" name="unit" form="qualified"/>
                        <xsd:element minOccurs="0" nillable="true" type="xsd:string" name="description" form="qualified"/>
                        <xsd:element minOccurs="0" nillable="true" type="xsd:string" name="type" form="qualified"/>
                        <xsd:element minOccurs="0" nillable="true" type="xsd:double" name="lowFrequency" form="qualified"/>
                        <xsd:element minOccurs="0" nillable="true" type="xsd:integer" name="highFrequency" form="qualified"/>
                        <xsd:element minOccurs="0" nillable="true" type="xsd:string" name="remark" form="qualified"/>
                      </xsd:all>
                      <xsd:attribute name="publicID" form="unqualified" type="xsd:string"/>
                      <xsd:attribute name="name" form="unqualified" type="xsd:string"/>
                      <xsd:attribute name="response" form="unqualified" type="xsd:string"/>
                    </xsd:complexType>
                  </xsd:element>
                  <xsd:element minOccurs="0" nillable="true" name="datalogger" form="qualified">
                    <xsd:complexType>
                      <xsd:sequence minOccurs="0">
                        <xsd:element minOccurs="0" nillable="true" type="xsd:string" name="description" form="qualified"/>
                        <xsd:element minOccurs="0" nillable="true" type="xsd:string" name="digitizerModel" form="qualified"/>
                        <xsd:element minOccurs="0" nillable="true" type="xsd:string" name="digitizerManufacturer" form="qualified"/>
                        <xsd:element minOccurs="0" nillable="true" type="xsd:double" name="gain" form="qualified"/>
                        <xsd:element minOccurs="0" nillable="true" name="decimation" form="qualified">
                          <xsd:complexType>
                            <xsd:sequence minOccurs="0">
                              <xsd:element minOccurs="0" nillable="true" type="xsd:string" name="analogueFilterChain" form="qualified"/>
                            </xsd:sequence>
                            <xsd:attribute name="sampleRateNumerator" form="unqualified" type="xsd:integer"/>
                            <xsd:attribute name="sampleRateDenominator" form="unqualified" type="xsd:integer"/>
                          </xsd:complexType>
                        </xsd:element>
                      </xsd:sequence>
                      <xsd:attribute name="publicID" form="unqualified" type="xsd:string"/>
                      <xsd:attribute name="name" form="unqualified" type="xsd:string"/>
                    </xsd:complexType>
                  </xsd:element>
                  <xsd:element minOccurs="0" maxOccurs="unbounded" nillable="true" name="responsePAZ" form="qualified">
                    <xsd:complexType>
                      <xsd:all>
                        <xsd:element minOccurs="0" nillable="true" type="xsd:string" name="type" form="qualified"/>
                        <xsd:element minOccurs="0" nillable="true" type="xsd:double" name="gain" form="qualified"/>
                        <xsd:element minOccurs="0" nillable="true" type="xsd:integer" name="gainFrequency" form="qualified"/>
                        <xsd:element minOccurs="0" nillable="true" type="xsd:double" name="normalizationFactor" form="qualified"/>
                        <xsd:element minOccurs="0" nillable="true" type="xsd:integer" name="normalizationFrequency" form="qualified"/>
                        <xsd:element minOccurs="0" nillable="true" type="xsd:integer" name="numberOfZeros" form="qualified"/>
                        <xsd:element minOccurs="0" nillable="true" type="xsd:integer" name="numberOfPoles" form="qualified"/>
                        <xsd:element minOccurs="0" nillable="true" type="xsd:string" name="zeros" form="qualified"/>
                        <xsd:element minOccurs="0" nillable="true" type="xsd:string" name="poles" form="qualified"/>
                        <xsd:element minOccurs="0" nillable="true" type="xsd:string" name="remark" form="qualified"/>
                      </xsd:all>
                      <xsd:attribute name="publicID" form="unqualified" type="xsd:string"/>
                      <xsd:attribute name="name" form="unqualified" type="xsd:string"/>
                    </xsd:complexType>
                  </xsd:element>
                  <xsd:element minOccurs="0" nillable="true" name="responseFIR" form="qualified">
                    <xsd:complexType>
                      <xsd:sequence minOccurs="0">
                        <xsd:element minOccurs="0" nillable="true" type="xsd:integer" name="gain" form="qualified"/>
                        <xsd:element minOccurs="0" nillable="true" type="xsd:integer" name="gainFrequency" form="qualified"/>
                        <xsd:element minOccurs="0" nillable="true" type="xsd:integer" name="decimationFactor" form="qualified"/>
                        <xsd:element minOccurs="0" nillable="true" type="xsd:integer" name="delay" form="qualified"/>
                        <xsd:element minOccurs="0" nillable="true" type="xsd:integer" name="correction" form="qualified"/>
                        <xsd:element minOccurs="0" nillable="true" type="xsd:integer" name="numberOfCoefficients" form="qualified"/>
                        <xsd:element minOccurs="0" nillable="true" type="xsd:string" name="symmetry" form="qualified"/>
                        <xsd:element minOccurs="0" nillable="true" type="xsd:integer" name="coefficients" form="qualified"/>
                      </xsd:sequence>
                      <xsd:attribute name="publicID" form="unqualified" type="xsd:string"/>
                      <xsd:attribute name="name" form="unqualified" type="xsd:string"/>
                    </xsd:complexType>
                  </xsd:element>
                  <xsd:element minOccurs="0" nillable="true" name="network" form="qualified">
                    <xsd:complexType>
                      <xsd:sequence minOccurs="0">
                        <xsd:element minOccurs="0" nillable="true" type="xsd:string" name="start" form="qualified"/>
                        <xsd:element minOccurs="0" nillable="true" type="xsd:string" name="description" form="qualified"/>
                        <xsd:element minOccurs="0" nillable="true" type="xsd:string" name="institutions" form="qualified"/>
                        <xsd:element minOccurs="0" nillable="true" type="xsd:string" name="region" form="qualified"/>
                        <xsd:element minOccurs="0" nillable="true" type="xsd:string" name="type" form="qualified"/>
                        <xsd:element minOccurs="0" nillable="true" type="xsd:boolean" name="shared" form="qualified"/>
                        <xsd:element minOccurs="0" nillable="true" type="xsd:string" name="remark" form="qualified"/>
                        <xsd:element minOccurs="0" nillable="true" name="station" form="qualified">
                          <xsd:complexType>
                            <xsd:sequence minOccurs="0">
                              <xsd:element minOccurs="0" nillable="true" type="xsd:string" name="start" form="qualified"/>
                              <xsd:element minOccurs="0" nillable="true" type="xsd:string" name="description" form="qualified"/>
                              <xsd:element minOccurs="0" nillable="true" type="xsd:double" name="latitude" form="qualified"/>
                              <xsd:element minOccurs="0" nillable="true" type="xsd:double" name="longitude" form="qualified"/>
                              <xsd:element minOccurs="0" nillable="true" type="xsd:integer" name="elevation" form="qualified"/>
                              <xsd:element minOccurs="0" nillable="true" type="xsd:string" name="place" form="qualified"/>
                              <xsd:element minOccurs="0" nillable="true" type="xsd:string" name="country" form="qualified"/>
                              <xsd:element minOccurs="0" nillable="true" type="xsd:string" name="affiliation" form="qualified"/>
                              <xsd:element minOccurs="0" nillable="true" type="xsd:string" name="type" form="qualified"/>
                              <xsd:element minOccurs="0" nillable="true" type="xsd:boolean" name="restricted" form="qualified"/>
                              <xsd:element minOccurs="0" nillable="true" name="sensorLocation" form="qualified">
                                <xsd:complexType>
                                  <xsd:sequence minOccurs="0">
                                    <xsd:element minOccurs="0" nillable="true" type="xsd:string" name="start" form="qualified"/>
                                    <xsd:element minOccurs="0" nillable="true" type="xsd:double" name="latitude" form="qualified"/>
                                    <xsd:element minOccurs="0" nillable="true" type="xsd:double" name="longitude" form="qualified"/>
                                    <xsd:element minOccurs="0" nillable="true" type="xsd:integer" name="elevation" form="qualified"/>
                                    <xsd:element minOccurs="0" nillable="true" name="stream" form="qualified">
                                      <xsd:complexType>
                                        <xsd:sequence minOccurs="0">
                                          <xsd:element minOccurs="0" nillable="true" type="xsd:string" name="start" form="qualified"/>
                                          <xsd:element minOccurs="0" nillable="true" type="xsd:integer" name="sampleRateNumerator" form="qualified"/>
                                          <xsd:element minOccurs="0" nillable="true" type="xsd:integer" name="sampleRateDenominator" form="qualified"/>
                                          <xsd:element minOccurs="0" nillable="true" type="xsd:integer" name="gain" form="qualified"/>
                                          <xsd:element minOccurs="0" nillable="true" type="xsd:integer" name="gainFrequency" form="qualified"/>
                                          <xsd:element minOccurs="0" nillable="true" type="xsd:string" name="gainUnit" form="qualified"/>
                                          <xsd:element minOccurs="0" nillable="true" type="xsd:boolean" name="restricted" form="qualified"/>
                                        </xsd:sequence>
                                        <xsd:attribute name="publicID" form="unqualified" type="xsd:string"/>
                                        <xsd:attribute name="code" form="unqualified" type="xsd:string"/>
                                        <xsd:attribute name="datalogger" form="unqualified" type="xsd:string"/>
                                        <xsd:attribute name="sensor" form="unqualified" type="xsd:string"/>
                                      </xsd:complexType>
                                    </xsd:element>
                                  </xsd:sequence>
                                  <xsd:attribute name="publicID" form="unqualified" type="xsd:string"/>
                                  <xsd:attribute name="code" form="unqualified" type="xsd:string"/>
                                </xsd:complexType>
                              </xsd:element>
                            </xsd:sequence>
                            <xsd:attribute name="publicID" form="unqualified" type="xsd:string"/>
                            <xsd:attribute name="code" form="unqualified" type="xsd:string"/>
                          </xsd:complexType>
                        </xsd:element>
                      </xsd:sequence>
                      <xsd:attribute name="publicID" form="unqualified" type="xsd:string"/>
                      <xsd:attribute name="cod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</xsd:complexType>
      </xsd:element>
    </xsd:schema>
  </Schema>
  <Map ID="1" Name="seiscomp_Map" RootElement="seiscomp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</xdr:col>
      <xdr:colOff>304800</xdr:colOff>
      <xdr:row>19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630"/>
          <a:ext cx="3855720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121920</xdr:colOff>
      <xdr:row>4</xdr:row>
      <xdr:rowOff>22860</xdr:rowOff>
    </xdr:from>
    <xdr:to>
      <xdr:col>13</xdr:col>
      <xdr:colOff>342900</xdr:colOff>
      <xdr:row>16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647700"/>
          <a:ext cx="4030980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4</xdr:col>
      <xdr:colOff>312420</xdr:colOff>
      <xdr:row>66</xdr:row>
      <xdr:rowOff>7620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61220"/>
          <a:ext cx="252984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</xdr:colOff>
          <xdr:row>2</xdr:row>
          <xdr:rowOff>22860</xdr:rowOff>
        </xdr:from>
        <xdr:to>
          <xdr:col>6</xdr:col>
          <xdr:colOff>868680</xdr:colOff>
          <xdr:row>4</xdr:row>
          <xdr:rowOff>160020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350520</xdr:colOff>
          <xdr:row>4</xdr:row>
          <xdr:rowOff>22860</xdr:rowOff>
        </xdr:from>
        <xdr:to>
          <xdr:col>17</xdr:col>
          <xdr:colOff>304800</xdr:colOff>
          <xdr:row>7</xdr:row>
          <xdr:rowOff>137160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5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4.w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8036-795D-428A-8746-843614425B83}">
  <dimension ref="B3:E28"/>
  <sheetViews>
    <sheetView workbookViewId="0">
      <selection activeCell="D22" sqref="D22"/>
    </sheetView>
  </sheetViews>
  <sheetFormatPr defaultRowHeight="14.4" x14ac:dyDescent="0.3"/>
  <cols>
    <col min="2" max="3" width="8.88671875" style="2"/>
    <col min="4" max="4" width="42.109375" customWidth="1"/>
  </cols>
  <sheetData>
    <row r="3" spans="2:5" x14ac:dyDescent="0.3">
      <c r="B3" s="1" t="s">
        <v>0</v>
      </c>
      <c r="C3" s="1"/>
      <c r="D3" t="s">
        <v>1</v>
      </c>
    </row>
    <row r="4" spans="2:5" x14ac:dyDescent="0.3">
      <c r="B4" s="2" t="s">
        <v>2</v>
      </c>
      <c r="D4" t="s">
        <v>3</v>
      </c>
      <c r="E4" t="s">
        <v>17</v>
      </c>
    </row>
    <row r="5" spans="2:5" x14ac:dyDescent="0.3">
      <c r="B5" s="2" t="s">
        <v>4</v>
      </c>
      <c r="D5" t="s">
        <v>5</v>
      </c>
      <c r="E5" t="s">
        <v>18</v>
      </c>
    </row>
    <row r="7" spans="2:5" x14ac:dyDescent="0.3">
      <c r="B7" s="1" t="s">
        <v>6</v>
      </c>
      <c r="C7" s="1"/>
      <c r="D7" t="s">
        <v>7</v>
      </c>
    </row>
    <row r="8" spans="2:5" x14ac:dyDescent="0.3">
      <c r="B8" s="2" t="s">
        <v>8</v>
      </c>
      <c r="D8" t="s">
        <v>9</v>
      </c>
    </row>
    <row r="9" spans="2:5" x14ac:dyDescent="0.3">
      <c r="B9" s="2" t="s">
        <v>10</v>
      </c>
      <c r="D9" t="s">
        <v>11</v>
      </c>
    </row>
    <row r="10" spans="2:5" x14ac:dyDescent="0.3">
      <c r="B10" s="2" t="s">
        <v>12</v>
      </c>
      <c r="D10" t="s">
        <v>13</v>
      </c>
    </row>
    <row r="11" spans="2:5" x14ac:dyDescent="0.3">
      <c r="B11" s="2" t="s">
        <v>14</v>
      </c>
      <c r="D11" t="s">
        <v>15</v>
      </c>
    </row>
    <row r="12" spans="2:5" x14ac:dyDescent="0.3">
      <c r="D12" t="s">
        <v>16</v>
      </c>
    </row>
    <row r="14" spans="2:5" x14ac:dyDescent="0.3">
      <c r="B14" s="2" t="s">
        <v>19</v>
      </c>
      <c r="D14" t="s">
        <v>20</v>
      </c>
    </row>
    <row r="15" spans="2:5" x14ac:dyDescent="0.3">
      <c r="B15" s="2" t="s">
        <v>22</v>
      </c>
      <c r="D15" t="s">
        <v>21</v>
      </c>
    </row>
    <row r="16" spans="2:5" x14ac:dyDescent="0.3">
      <c r="B16" s="2" t="s">
        <v>23</v>
      </c>
      <c r="D16" t="s">
        <v>24</v>
      </c>
    </row>
    <row r="18" spans="2:4" x14ac:dyDescent="0.3">
      <c r="B18" s="2" t="s">
        <v>4</v>
      </c>
      <c r="D18" t="s">
        <v>191</v>
      </c>
    </row>
    <row r="20" spans="2:4" x14ac:dyDescent="0.3">
      <c r="D20" s="3" t="s">
        <v>30</v>
      </c>
    </row>
    <row r="21" spans="2:4" x14ac:dyDescent="0.3">
      <c r="B21" s="2" t="s">
        <v>25</v>
      </c>
      <c r="D21" s="3" t="s">
        <v>26</v>
      </c>
    </row>
    <row r="22" spans="2:4" x14ac:dyDescent="0.3">
      <c r="B22" s="2" t="s">
        <v>27</v>
      </c>
      <c r="D22" s="3" t="s">
        <v>28</v>
      </c>
    </row>
    <row r="23" spans="2:4" x14ac:dyDescent="0.3">
      <c r="D23" s="3"/>
    </row>
    <row r="24" spans="2:4" x14ac:dyDescent="0.3">
      <c r="D24" s="3" t="s">
        <v>31</v>
      </c>
    </row>
    <row r="25" spans="2:4" x14ac:dyDescent="0.3">
      <c r="B25" s="2">
        <v>0</v>
      </c>
      <c r="D25" s="3">
        <v>0</v>
      </c>
    </row>
    <row r="26" spans="2:4" x14ac:dyDescent="0.3">
      <c r="B26" s="2">
        <v>0</v>
      </c>
      <c r="D26" s="3">
        <v>0</v>
      </c>
    </row>
    <row r="28" spans="2:4" x14ac:dyDescent="0.3">
      <c r="B28" s="2" t="s">
        <v>29</v>
      </c>
      <c r="D28" t="s">
        <v>192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8B9E-BB16-431B-BB8F-4B19996D88DF}">
  <dimension ref="A1:Q72"/>
  <sheetViews>
    <sheetView topLeftCell="A34" zoomScale="90" zoomScaleNormal="90" workbookViewId="0">
      <selection activeCell="L62" sqref="L62"/>
    </sheetView>
  </sheetViews>
  <sheetFormatPr defaultRowHeight="13.2" x14ac:dyDescent="0.25"/>
  <cols>
    <col min="1" max="3" width="8.88671875" style="4"/>
    <col min="4" max="4" width="13.77734375" style="4" customWidth="1"/>
    <col min="5" max="6" width="8.88671875" style="4"/>
    <col min="7" max="7" width="10" style="4" customWidth="1"/>
    <col min="8" max="8" width="10.109375" style="4" customWidth="1"/>
    <col min="9" max="9" width="8.88671875" style="4"/>
    <col min="10" max="10" width="9.88671875" style="4" customWidth="1"/>
    <col min="11" max="11" width="13.77734375" style="4" customWidth="1"/>
    <col min="12" max="12" width="10.109375" style="4" customWidth="1"/>
    <col min="13" max="13" width="10.44140625" style="4" bestFit="1" customWidth="1"/>
    <col min="14" max="14" width="8.88671875" style="4"/>
    <col min="15" max="15" width="10.33203125" style="4" customWidth="1"/>
    <col min="16" max="16384" width="8.88671875" style="4"/>
  </cols>
  <sheetData>
    <row r="1" spans="4:4" x14ac:dyDescent="0.25">
      <c r="D1" s="20" t="s">
        <v>117</v>
      </c>
    </row>
    <row r="2" spans="4:4" x14ac:dyDescent="0.25">
      <c r="D2" s="20"/>
    </row>
    <row r="20" spans="2:12" x14ac:dyDescent="0.25">
      <c r="L20" s="20"/>
    </row>
    <row r="21" spans="2:12" x14ac:dyDescent="0.25">
      <c r="B21" s="20" t="s">
        <v>118</v>
      </c>
      <c r="L21" s="20"/>
    </row>
    <row r="22" spans="2:12" x14ac:dyDescent="0.25">
      <c r="B22" s="20" t="s">
        <v>119</v>
      </c>
      <c r="L22" s="20"/>
    </row>
    <row r="23" spans="2:12" x14ac:dyDescent="0.25">
      <c r="B23" s="20" t="s">
        <v>120</v>
      </c>
      <c r="L23" s="20"/>
    </row>
    <row r="24" spans="2:12" x14ac:dyDescent="0.25">
      <c r="B24" s="20" t="s">
        <v>121</v>
      </c>
      <c r="L24" s="20"/>
    </row>
    <row r="25" spans="2:12" x14ac:dyDescent="0.25">
      <c r="B25" s="20" t="s">
        <v>122</v>
      </c>
      <c r="L25" s="20"/>
    </row>
    <row r="26" spans="2:12" x14ac:dyDescent="0.25">
      <c r="B26" s="20" t="s">
        <v>123</v>
      </c>
      <c r="L26" s="20"/>
    </row>
    <row r="27" spans="2:12" x14ac:dyDescent="0.25">
      <c r="B27" s="20"/>
      <c r="L27" s="20"/>
    </row>
    <row r="28" spans="2:12" x14ac:dyDescent="0.25">
      <c r="B28" s="20"/>
      <c r="L28" s="20"/>
    </row>
    <row r="29" spans="2:12" x14ac:dyDescent="0.25">
      <c r="B29" s="20"/>
      <c r="L29" s="20"/>
    </row>
    <row r="30" spans="2:12" x14ac:dyDescent="0.25">
      <c r="B30" s="20"/>
      <c r="L30" s="20"/>
    </row>
    <row r="31" spans="2:12" x14ac:dyDescent="0.25">
      <c r="L31" s="20"/>
    </row>
    <row r="32" spans="2:12" x14ac:dyDescent="0.25">
      <c r="L32" s="20"/>
    </row>
    <row r="33" spans="2:15" x14ac:dyDescent="0.25">
      <c r="L33" s="41" t="s">
        <v>124</v>
      </c>
      <c r="M33" s="41"/>
    </row>
    <row r="34" spans="2:15" ht="13.8" thickBot="1" x14ac:dyDescent="0.3">
      <c r="L34" s="42" t="s">
        <v>125</v>
      </c>
      <c r="M34" s="41" t="s">
        <v>126</v>
      </c>
      <c r="N34" s="41" t="s">
        <v>127</v>
      </c>
    </row>
    <row r="35" spans="2:15" x14ac:dyDescent="0.25">
      <c r="H35" s="43" t="s">
        <v>128</v>
      </c>
      <c r="L35" s="44" t="s">
        <v>129</v>
      </c>
      <c r="M35" s="20" t="s">
        <v>130</v>
      </c>
      <c r="N35" s="20" t="s">
        <v>131</v>
      </c>
    </row>
    <row r="36" spans="2:15" x14ac:dyDescent="0.25">
      <c r="H36" s="45"/>
      <c r="L36" s="44" t="s">
        <v>54</v>
      </c>
      <c r="M36" s="20" t="s">
        <v>132</v>
      </c>
      <c r="N36" s="20" t="s">
        <v>131</v>
      </c>
      <c r="O36" s="20" t="s">
        <v>133</v>
      </c>
    </row>
    <row r="37" spans="2:15" x14ac:dyDescent="0.25">
      <c r="B37" s="171" t="s">
        <v>134</v>
      </c>
      <c r="C37" s="171"/>
      <c r="D37" s="171"/>
      <c r="E37" s="171"/>
      <c r="F37" s="171"/>
      <c r="H37" s="46">
        <v>2401</v>
      </c>
      <c r="L37" s="44" t="s">
        <v>135</v>
      </c>
      <c r="M37" s="20" t="s">
        <v>136</v>
      </c>
      <c r="N37" s="20" t="s">
        <v>137</v>
      </c>
    </row>
    <row r="38" spans="2:15" x14ac:dyDescent="0.25">
      <c r="B38" s="171" t="s">
        <v>138</v>
      </c>
      <c r="C38" s="171"/>
      <c r="D38" s="171"/>
      <c r="E38" s="171"/>
      <c r="F38" s="171"/>
      <c r="H38" s="47"/>
      <c r="L38" s="44" t="s">
        <v>139</v>
      </c>
      <c r="M38" s="20" t="s">
        <v>140</v>
      </c>
      <c r="N38" s="20" t="s">
        <v>137</v>
      </c>
    </row>
    <row r="39" spans="2:15" ht="12.75" customHeight="1" x14ac:dyDescent="0.25">
      <c r="B39" s="173" t="s">
        <v>141</v>
      </c>
      <c r="C39" s="173"/>
      <c r="D39" s="173"/>
      <c r="E39" s="173"/>
      <c r="F39" s="173"/>
      <c r="G39" s="48" t="s">
        <v>142</v>
      </c>
      <c r="H39" s="49">
        <v>0.96099999999999997</v>
      </c>
      <c r="I39" s="50" t="s">
        <v>143</v>
      </c>
      <c r="L39" s="51"/>
    </row>
    <row r="40" spans="2:15" ht="14.25" customHeight="1" x14ac:dyDescent="0.35">
      <c r="B40" s="173" t="s">
        <v>144</v>
      </c>
      <c r="C40" s="173"/>
      <c r="D40" s="173"/>
      <c r="E40" s="173"/>
      <c r="F40" s="173"/>
      <c r="G40" s="48" t="s">
        <v>145</v>
      </c>
      <c r="H40" s="49">
        <v>5600</v>
      </c>
      <c r="I40" s="50" t="s">
        <v>146</v>
      </c>
      <c r="L40" s="44" t="s">
        <v>147</v>
      </c>
      <c r="M40" s="20" t="s">
        <v>148</v>
      </c>
      <c r="O40" s="20" t="s">
        <v>149</v>
      </c>
    </row>
    <row r="41" spans="2:15" ht="15.6" x14ac:dyDescent="0.35">
      <c r="B41" s="171" t="s">
        <v>150</v>
      </c>
      <c r="C41" s="171"/>
      <c r="D41" s="171"/>
      <c r="E41" s="171"/>
      <c r="F41" s="171"/>
      <c r="G41" s="48" t="s">
        <v>151</v>
      </c>
      <c r="H41" s="49">
        <v>1.1000000000000001</v>
      </c>
      <c r="L41" s="20"/>
      <c r="M41" s="9"/>
      <c r="O41" s="50"/>
    </row>
    <row r="42" spans="2:15" ht="15.6" x14ac:dyDescent="0.35">
      <c r="B42" s="171" t="s">
        <v>152</v>
      </c>
      <c r="C42" s="171"/>
      <c r="D42" s="171"/>
      <c r="E42" s="171"/>
      <c r="F42" s="171"/>
      <c r="G42" s="48" t="s">
        <v>153</v>
      </c>
      <c r="H42" s="49">
        <v>100</v>
      </c>
      <c r="I42" s="50" t="s">
        <v>154</v>
      </c>
      <c r="K42" s="20"/>
      <c r="M42" s="9"/>
      <c r="O42" s="50"/>
    </row>
    <row r="43" spans="2:15" ht="15.6" x14ac:dyDescent="0.35">
      <c r="B43" s="171" t="s">
        <v>155</v>
      </c>
      <c r="C43" s="171"/>
      <c r="D43" s="171"/>
      <c r="E43" s="171"/>
      <c r="F43" s="171"/>
      <c r="G43" s="52" t="s">
        <v>156</v>
      </c>
      <c r="H43" s="53">
        <v>10000</v>
      </c>
      <c r="I43" s="50" t="s">
        <v>157</v>
      </c>
      <c r="K43" s="20"/>
      <c r="M43" s="9"/>
      <c r="O43" s="50"/>
    </row>
    <row r="44" spans="2:15" ht="13.8" thickBot="1" x14ac:dyDescent="0.3">
      <c r="B44" s="171" t="s">
        <v>158</v>
      </c>
      <c r="C44" s="171"/>
      <c r="D44" s="171"/>
      <c r="E44" s="171"/>
      <c r="F44" s="171"/>
      <c r="G44" s="9" t="s">
        <v>159</v>
      </c>
      <c r="H44" s="54">
        <v>0.8</v>
      </c>
      <c r="I44" s="50" t="s">
        <v>160</v>
      </c>
      <c r="K44" s="20"/>
      <c r="M44" s="9"/>
      <c r="O44" s="50"/>
    </row>
    <row r="45" spans="2:15" x14ac:dyDescent="0.25">
      <c r="B45" s="44"/>
      <c r="C45" s="44"/>
      <c r="D45" s="44"/>
      <c r="E45" s="44"/>
      <c r="F45" s="44"/>
      <c r="G45" s="52"/>
      <c r="H45" s="55"/>
      <c r="I45" s="50"/>
      <c r="K45" s="20"/>
      <c r="M45" s="9"/>
      <c r="O45" s="50"/>
    </row>
    <row r="46" spans="2:15" x14ac:dyDescent="0.25">
      <c r="B46" s="44"/>
      <c r="C46" s="44"/>
      <c r="D46" s="44"/>
      <c r="E46" s="44"/>
      <c r="F46" s="44"/>
      <c r="G46" s="52"/>
      <c r="H46" s="55"/>
      <c r="I46" s="50"/>
      <c r="K46" s="20"/>
      <c r="M46" s="9"/>
      <c r="O46" s="50"/>
    </row>
    <row r="47" spans="2:15" ht="44.4" x14ac:dyDescent="0.35">
      <c r="H47" s="48" t="s">
        <v>161</v>
      </c>
      <c r="I47" s="48" t="s">
        <v>162</v>
      </c>
      <c r="J47" s="56" t="s">
        <v>163</v>
      </c>
      <c r="K47" s="57" t="s">
        <v>164</v>
      </c>
      <c r="L47" s="58" t="s">
        <v>165</v>
      </c>
      <c r="O47" s="57" t="s">
        <v>166</v>
      </c>
    </row>
    <row r="48" spans="2:15" x14ac:dyDescent="0.25">
      <c r="D48" s="48"/>
      <c r="E48" s="48" t="s">
        <v>167</v>
      </c>
      <c r="F48" s="48" t="s">
        <v>167</v>
      </c>
      <c r="G48" s="48"/>
    </row>
    <row r="49" spans="1:17" ht="54" x14ac:dyDescent="0.4">
      <c r="A49" s="59"/>
      <c r="B49" s="59"/>
      <c r="C49" s="59"/>
      <c r="D49" s="59" t="s">
        <v>168</v>
      </c>
      <c r="E49" s="59" t="s">
        <v>169</v>
      </c>
      <c r="F49" s="59" t="s">
        <v>170</v>
      </c>
      <c r="G49" s="59" t="s">
        <v>171</v>
      </c>
      <c r="H49" s="60" t="s">
        <v>172</v>
      </c>
      <c r="I49" s="60" t="s">
        <v>173</v>
      </c>
      <c r="J49" s="61" t="s">
        <v>174</v>
      </c>
      <c r="K49" s="62" t="s">
        <v>175</v>
      </c>
      <c r="L49" s="60" t="s">
        <v>176</v>
      </c>
      <c r="O49" s="60" t="s">
        <v>32</v>
      </c>
    </row>
    <row r="50" spans="1:17" x14ac:dyDescent="0.25">
      <c r="C50" s="51"/>
      <c r="D50" s="63">
        <v>1000000000</v>
      </c>
      <c r="E50" s="51">
        <v>2.9</v>
      </c>
      <c r="F50" s="51">
        <v>1.1599999999999999</v>
      </c>
      <c r="G50" s="51">
        <v>0.5</v>
      </c>
      <c r="H50" s="64">
        <f>E50/F50</f>
        <v>2.5</v>
      </c>
      <c r="I50" s="64">
        <f>LN(H50)</f>
        <v>0.91629073187415511</v>
      </c>
      <c r="J50" s="64">
        <f>SQRT(I50^2/(I50^2+39*(G50^2)))</f>
        <v>0.28157477610303022</v>
      </c>
      <c r="K50" s="64">
        <f>H41*SQRT(1-MechB^2)</f>
        <v>1.0554932169415678</v>
      </c>
      <c r="L50" s="65">
        <f>(CoilRes+D50)*(J50-MechB)</f>
        <v>0</v>
      </c>
      <c r="M50" s="51"/>
      <c r="N50" s="51"/>
      <c r="O50" s="65">
        <f>SQRT(4*3.14*mass*L50/NatlFreePer)</f>
        <v>0</v>
      </c>
    </row>
    <row r="51" spans="1:17" x14ac:dyDescent="0.25">
      <c r="C51" s="51"/>
      <c r="D51" s="63"/>
      <c r="E51" s="51"/>
      <c r="F51" s="51"/>
      <c r="G51" s="51"/>
      <c r="H51" s="64"/>
      <c r="I51" s="64"/>
      <c r="J51" s="64"/>
      <c r="K51" s="64"/>
      <c r="L51" s="51"/>
      <c r="M51" s="51"/>
      <c r="N51" s="51"/>
      <c r="O51" s="51"/>
    </row>
    <row r="52" spans="1:17" x14ac:dyDescent="0.25">
      <c r="C52" s="51"/>
      <c r="D52" s="55">
        <v>100000</v>
      </c>
      <c r="E52" s="51">
        <v>2.6</v>
      </c>
      <c r="F52" s="51">
        <v>0.83</v>
      </c>
      <c r="G52" s="51">
        <v>0.5</v>
      </c>
      <c r="H52" s="64">
        <f>E52/F52</f>
        <v>3.132530120481928</v>
      </c>
      <c r="I52" s="64">
        <f>LN(H52)</f>
        <v>1.14184102321893</v>
      </c>
      <c r="J52" s="64">
        <f>SQRT(I52^2/(I52^2+39*(G52^2)))</f>
        <v>0.34343916739092817</v>
      </c>
      <c r="K52" s="51"/>
      <c r="L52" s="65">
        <f>(CoilRes+D52)*(J52-MechB)</f>
        <v>6532.8797200020235</v>
      </c>
      <c r="M52" s="51"/>
      <c r="N52" s="51"/>
      <c r="O52" s="65">
        <f>SQRT(4*3.14*mass*L52/NatlFreePer)</f>
        <v>273.32611052490944</v>
      </c>
    </row>
    <row r="53" spans="1:17" x14ac:dyDescent="0.25">
      <c r="D53" s="55">
        <v>50000</v>
      </c>
      <c r="E53" s="44">
        <v>2.15</v>
      </c>
      <c r="F53" s="51">
        <v>0.51</v>
      </c>
      <c r="G53" s="51">
        <v>0.5</v>
      </c>
      <c r="H53" s="64">
        <f>E53/F53</f>
        <v>4.215686274509804</v>
      </c>
      <c r="I53" s="64">
        <f>LN(H53)</f>
        <v>1.4388123954033372</v>
      </c>
      <c r="J53" s="64">
        <f>SQRT(I53^2/(I53^2+39*(G53^2)))</f>
        <v>0.41849676496169141</v>
      </c>
      <c r="K53" s="51"/>
      <c r="L53" s="65">
        <f>(CoilRes+D53)*(J53-MechB)</f>
        <v>7612.8625805415622</v>
      </c>
      <c r="M53" s="51"/>
      <c r="N53" s="51"/>
      <c r="O53" s="65">
        <f>SQRT(4*3.14*mass*L53/NatlFreePer)</f>
        <v>295.05486875486366</v>
      </c>
      <c r="P53" s="51"/>
      <c r="Q53" s="51"/>
    </row>
    <row r="54" spans="1:17" x14ac:dyDescent="0.25">
      <c r="D54" s="55">
        <v>33000</v>
      </c>
      <c r="E54" s="51">
        <v>1.94</v>
      </c>
      <c r="F54" s="51">
        <v>0.38</v>
      </c>
      <c r="G54" s="51">
        <v>0.5</v>
      </c>
      <c r="H54" s="64">
        <f>E54/F54</f>
        <v>5.1052631578947363</v>
      </c>
      <c r="I54" s="64">
        <f>LN(H54)</f>
        <v>1.6302719993369423</v>
      </c>
      <c r="J54" s="64">
        <f>SQRT(I54^2/(I54^2+39*(G54^2)))</f>
        <v>0.46282084221212466</v>
      </c>
      <c r="K54" s="51"/>
      <c r="L54" s="65">
        <f>(CoilRes+D54)*(J54-MechB)</f>
        <v>6996.0981518110457</v>
      </c>
      <c r="M54" s="51"/>
      <c r="N54" s="51"/>
      <c r="O54" s="65">
        <f>SQRT(4*3.14*mass*L54/NatlFreePer)</f>
        <v>282.85036081814678</v>
      </c>
      <c r="P54" s="51"/>
      <c r="Q54" s="51"/>
    </row>
    <row r="55" spans="1:17" x14ac:dyDescent="0.25">
      <c r="D55" s="55">
        <v>25000</v>
      </c>
      <c r="E55" s="51">
        <v>0.69199999999999995</v>
      </c>
      <c r="F55" s="51">
        <v>0.108</v>
      </c>
      <c r="G55" s="51">
        <v>0.5</v>
      </c>
      <c r="H55" s="64">
        <f>E55/F55</f>
        <v>6.4074074074074074</v>
      </c>
      <c r="I55" s="64">
        <f>LN(H55)</f>
        <v>1.8574547284934499</v>
      </c>
      <c r="J55" s="64">
        <f>SQRT(I55^2/(I55^2+39*(G55^2)))</f>
        <v>0.51124491412423179</v>
      </c>
      <c r="K55" s="51"/>
      <c r="L55" s="65">
        <f>(CoilRes+D55)*(J55-MechB)</f>
        <v>7027.9062234487683</v>
      </c>
      <c r="M55" s="51"/>
      <c r="N55" s="51"/>
      <c r="O55" s="65">
        <f>SQRT(4*3.14*mass*L55/NatlFreePer)</f>
        <v>283.49262749997007</v>
      </c>
      <c r="P55" s="51"/>
      <c r="Q55" s="51"/>
    </row>
    <row r="56" spans="1:17" x14ac:dyDescent="0.25">
      <c r="D56" s="66"/>
      <c r="M56" s="67">
        <f>SUM(L52:L55)/4</f>
        <v>7042.4366689508497</v>
      </c>
      <c r="N56" s="50" t="s">
        <v>177</v>
      </c>
      <c r="P56" s="32">
        <f>SUM(O52:O55)/4</f>
        <v>283.68099189947247</v>
      </c>
      <c r="Q56" s="50" t="s">
        <v>178</v>
      </c>
    </row>
    <row r="57" spans="1:17" x14ac:dyDescent="0.25">
      <c r="D57" s="66"/>
      <c r="L57" s="65"/>
    </row>
    <row r="63" spans="1:17" x14ac:dyDescent="0.25">
      <c r="F63" s="52"/>
      <c r="G63" s="20" t="s">
        <v>179</v>
      </c>
      <c r="H63" s="20"/>
      <c r="I63" s="20"/>
      <c r="J63" s="20"/>
      <c r="K63" s="20"/>
    </row>
    <row r="65" spans="6:13" ht="15.6" x14ac:dyDescent="0.35">
      <c r="G65" s="172" t="s">
        <v>180</v>
      </c>
      <c r="H65" s="172"/>
      <c r="I65" s="52" t="s">
        <v>181</v>
      </c>
      <c r="J65" s="66">
        <f>(GammaAvg/(desiredB-MechB))-CoilRes</f>
        <v>7984.2863046155362</v>
      </c>
      <c r="K65" s="50" t="s">
        <v>182</v>
      </c>
    </row>
    <row r="66" spans="6:13" x14ac:dyDescent="0.25">
      <c r="J66" s="66"/>
      <c r="K66" s="50"/>
    </row>
    <row r="67" spans="6:13" ht="15.6" x14ac:dyDescent="0.35">
      <c r="F67" s="52"/>
      <c r="G67" s="172" t="s">
        <v>183</v>
      </c>
      <c r="H67" s="172"/>
      <c r="I67" s="52" t="s">
        <v>184</v>
      </c>
      <c r="J67" s="66">
        <f>(Ge/G)*(Re+CoilRes)</f>
        <v>4788.5782595646642</v>
      </c>
      <c r="K67" s="50" t="s">
        <v>185</v>
      </c>
    </row>
    <row r="68" spans="6:13" x14ac:dyDescent="0.25">
      <c r="L68" s="63"/>
      <c r="M68" s="50"/>
    </row>
    <row r="69" spans="6:13" x14ac:dyDescent="0.25">
      <c r="L69" s="55"/>
      <c r="M69" s="50"/>
    </row>
    <row r="70" spans="6:13" ht="15.6" x14ac:dyDescent="0.35">
      <c r="G70" s="20" t="s">
        <v>186</v>
      </c>
      <c r="I70" s="52" t="s">
        <v>187</v>
      </c>
      <c r="J70" s="66">
        <f>1/((1/Rab)-(1/Ramp))</f>
        <v>9188.6216431308258</v>
      </c>
      <c r="L70" s="51">
        <v>7500</v>
      </c>
      <c r="M70" s="50"/>
    </row>
    <row r="71" spans="6:13" x14ac:dyDescent="0.25">
      <c r="J71" s="68"/>
      <c r="L71" s="51"/>
    </row>
    <row r="72" spans="6:13" ht="15.6" x14ac:dyDescent="0.35">
      <c r="G72" s="20" t="s">
        <v>188</v>
      </c>
      <c r="I72" s="52" t="s">
        <v>189</v>
      </c>
      <c r="J72" s="66">
        <f>Re-Rab</f>
        <v>3195.708045050872</v>
      </c>
      <c r="L72" s="51">
        <v>2200</v>
      </c>
    </row>
  </sheetData>
  <mergeCells count="10">
    <mergeCell ref="B43:F43"/>
    <mergeCell ref="B44:F44"/>
    <mergeCell ref="G65:H65"/>
    <mergeCell ref="G67:H67"/>
    <mergeCell ref="B37:F37"/>
    <mergeCell ref="B38:F38"/>
    <mergeCell ref="B39:F39"/>
    <mergeCell ref="B40:F40"/>
    <mergeCell ref="B41:F41"/>
    <mergeCell ref="B42:F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1D28-2FA6-477C-ADB8-EAAE0250268B}">
  <dimension ref="A1:Q50"/>
  <sheetViews>
    <sheetView topLeftCell="A10" zoomScale="90" zoomScaleNormal="90" workbookViewId="0">
      <selection activeCell="L38" sqref="L38"/>
    </sheetView>
  </sheetViews>
  <sheetFormatPr defaultRowHeight="13.2" x14ac:dyDescent="0.25"/>
  <cols>
    <col min="1" max="2" width="8.88671875" style="4"/>
    <col min="3" max="3" width="5.88671875" style="4" customWidth="1"/>
    <col min="4" max="4" width="15.44140625" style="4" customWidth="1"/>
    <col min="5" max="5" width="14" style="4" customWidth="1"/>
    <col min="6" max="6" width="8.88671875" style="4"/>
    <col min="7" max="7" width="10.5546875" style="4" customWidth="1"/>
    <col min="8" max="8" width="14.44140625" style="4" customWidth="1"/>
    <col min="9" max="9" width="8.88671875" style="4"/>
    <col min="10" max="10" width="12" style="4" customWidth="1"/>
    <col min="11" max="11" width="14.5546875" style="4" customWidth="1"/>
    <col min="12" max="12" width="10.6640625" style="4" customWidth="1"/>
    <col min="13" max="13" width="13.6640625" style="4" customWidth="1"/>
    <col min="14" max="14" width="16.5546875" style="4" customWidth="1"/>
    <col min="15" max="15" width="10.88671875" style="4" customWidth="1"/>
    <col min="16" max="259" width="8.88671875" style="4"/>
    <col min="260" max="260" width="14.5546875" style="4" customWidth="1"/>
    <col min="261" max="262" width="8.88671875" style="4"/>
    <col min="263" max="263" width="10.5546875" style="4" customWidth="1"/>
    <col min="264" max="264" width="10.6640625" style="4" customWidth="1"/>
    <col min="265" max="265" width="8.88671875" style="4"/>
    <col min="266" max="266" width="10.44140625" style="4" customWidth="1"/>
    <col min="267" max="267" width="14.5546875" style="4" customWidth="1"/>
    <col min="268" max="268" width="10.6640625" style="4" customWidth="1"/>
    <col min="269" max="269" width="11" style="4" bestFit="1" customWidth="1"/>
    <col min="270" max="270" width="8.88671875" style="4"/>
    <col min="271" max="271" width="10.88671875" style="4" customWidth="1"/>
    <col min="272" max="515" width="8.88671875" style="4"/>
    <col min="516" max="516" width="14.5546875" style="4" customWidth="1"/>
    <col min="517" max="518" width="8.88671875" style="4"/>
    <col min="519" max="519" width="10.5546875" style="4" customWidth="1"/>
    <col min="520" max="520" width="10.6640625" style="4" customWidth="1"/>
    <col min="521" max="521" width="8.88671875" style="4"/>
    <col min="522" max="522" width="10.44140625" style="4" customWidth="1"/>
    <col min="523" max="523" width="14.5546875" style="4" customWidth="1"/>
    <col min="524" max="524" width="10.6640625" style="4" customWidth="1"/>
    <col min="525" max="525" width="11" style="4" bestFit="1" customWidth="1"/>
    <col min="526" max="526" width="8.88671875" style="4"/>
    <col min="527" max="527" width="10.88671875" style="4" customWidth="1"/>
    <col min="528" max="771" width="8.88671875" style="4"/>
    <col min="772" max="772" width="14.5546875" style="4" customWidth="1"/>
    <col min="773" max="774" width="8.88671875" style="4"/>
    <col min="775" max="775" width="10.5546875" style="4" customWidth="1"/>
    <col min="776" max="776" width="10.6640625" style="4" customWidth="1"/>
    <col min="777" max="777" width="8.88671875" style="4"/>
    <col min="778" max="778" width="10.44140625" style="4" customWidth="1"/>
    <col min="779" max="779" width="14.5546875" style="4" customWidth="1"/>
    <col min="780" max="780" width="10.6640625" style="4" customWidth="1"/>
    <col min="781" max="781" width="11" style="4" bestFit="1" customWidth="1"/>
    <col min="782" max="782" width="8.88671875" style="4"/>
    <col min="783" max="783" width="10.88671875" style="4" customWidth="1"/>
    <col min="784" max="1027" width="8.88671875" style="4"/>
    <col min="1028" max="1028" width="14.5546875" style="4" customWidth="1"/>
    <col min="1029" max="1030" width="8.88671875" style="4"/>
    <col min="1031" max="1031" width="10.5546875" style="4" customWidth="1"/>
    <col min="1032" max="1032" width="10.6640625" style="4" customWidth="1"/>
    <col min="1033" max="1033" width="8.88671875" style="4"/>
    <col min="1034" max="1034" width="10.44140625" style="4" customWidth="1"/>
    <col min="1035" max="1035" width="14.5546875" style="4" customWidth="1"/>
    <col min="1036" max="1036" width="10.6640625" style="4" customWidth="1"/>
    <col min="1037" max="1037" width="11" style="4" bestFit="1" customWidth="1"/>
    <col min="1038" max="1038" width="8.88671875" style="4"/>
    <col min="1039" max="1039" width="10.88671875" style="4" customWidth="1"/>
    <col min="1040" max="1283" width="8.88671875" style="4"/>
    <col min="1284" max="1284" width="14.5546875" style="4" customWidth="1"/>
    <col min="1285" max="1286" width="8.88671875" style="4"/>
    <col min="1287" max="1287" width="10.5546875" style="4" customWidth="1"/>
    <col min="1288" max="1288" width="10.6640625" style="4" customWidth="1"/>
    <col min="1289" max="1289" width="8.88671875" style="4"/>
    <col min="1290" max="1290" width="10.44140625" style="4" customWidth="1"/>
    <col min="1291" max="1291" width="14.5546875" style="4" customWidth="1"/>
    <col min="1292" max="1292" width="10.6640625" style="4" customWidth="1"/>
    <col min="1293" max="1293" width="11" style="4" bestFit="1" customWidth="1"/>
    <col min="1294" max="1294" width="8.88671875" style="4"/>
    <col min="1295" max="1295" width="10.88671875" style="4" customWidth="1"/>
    <col min="1296" max="1539" width="8.88671875" style="4"/>
    <col min="1540" max="1540" width="14.5546875" style="4" customWidth="1"/>
    <col min="1541" max="1542" width="8.88671875" style="4"/>
    <col min="1543" max="1543" width="10.5546875" style="4" customWidth="1"/>
    <col min="1544" max="1544" width="10.6640625" style="4" customWidth="1"/>
    <col min="1545" max="1545" width="8.88671875" style="4"/>
    <col min="1546" max="1546" width="10.44140625" style="4" customWidth="1"/>
    <col min="1547" max="1547" width="14.5546875" style="4" customWidth="1"/>
    <col min="1548" max="1548" width="10.6640625" style="4" customWidth="1"/>
    <col min="1549" max="1549" width="11" style="4" bestFit="1" customWidth="1"/>
    <col min="1550" max="1550" width="8.88671875" style="4"/>
    <col min="1551" max="1551" width="10.88671875" style="4" customWidth="1"/>
    <col min="1552" max="1795" width="8.88671875" style="4"/>
    <col min="1796" max="1796" width="14.5546875" style="4" customWidth="1"/>
    <col min="1797" max="1798" width="8.88671875" style="4"/>
    <col min="1799" max="1799" width="10.5546875" style="4" customWidth="1"/>
    <col min="1800" max="1800" width="10.6640625" style="4" customWidth="1"/>
    <col min="1801" max="1801" width="8.88671875" style="4"/>
    <col min="1802" max="1802" width="10.44140625" style="4" customWidth="1"/>
    <col min="1803" max="1803" width="14.5546875" style="4" customWidth="1"/>
    <col min="1804" max="1804" width="10.6640625" style="4" customWidth="1"/>
    <col min="1805" max="1805" width="11" style="4" bestFit="1" customWidth="1"/>
    <col min="1806" max="1806" width="8.88671875" style="4"/>
    <col min="1807" max="1807" width="10.88671875" style="4" customWidth="1"/>
    <col min="1808" max="2051" width="8.88671875" style="4"/>
    <col min="2052" max="2052" width="14.5546875" style="4" customWidth="1"/>
    <col min="2053" max="2054" width="8.88671875" style="4"/>
    <col min="2055" max="2055" width="10.5546875" style="4" customWidth="1"/>
    <col min="2056" max="2056" width="10.6640625" style="4" customWidth="1"/>
    <col min="2057" max="2057" width="8.88671875" style="4"/>
    <col min="2058" max="2058" width="10.44140625" style="4" customWidth="1"/>
    <col min="2059" max="2059" width="14.5546875" style="4" customWidth="1"/>
    <col min="2060" max="2060" width="10.6640625" style="4" customWidth="1"/>
    <col min="2061" max="2061" width="11" style="4" bestFit="1" customWidth="1"/>
    <col min="2062" max="2062" width="8.88671875" style="4"/>
    <col min="2063" max="2063" width="10.88671875" style="4" customWidth="1"/>
    <col min="2064" max="2307" width="8.88671875" style="4"/>
    <col min="2308" max="2308" width="14.5546875" style="4" customWidth="1"/>
    <col min="2309" max="2310" width="8.88671875" style="4"/>
    <col min="2311" max="2311" width="10.5546875" style="4" customWidth="1"/>
    <col min="2312" max="2312" width="10.6640625" style="4" customWidth="1"/>
    <col min="2313" max="2313" width="8.88671875" style="4"/>
    <col min="2314" max="2314" width="10.44140625" style="4" customWidth="1"/>
    <col min="2315" max="2315" width="14.5546875" style="4" customWidth="1"/>
    <col min="2316" max="2316" width="10.6640625" style="4" customWidth="1"/>
    <col min="2317" max="2317" width="11" style="4" bestFit="1" customWidth="1"/>
    <col min="2318" max="2318" width="8.88671875" style="4"/>
    <col min="2319" max="2319" width="10.88671875" style="4" customWidth="1"/>
    <col min="2320" max="2563" width="8.88671875" style="4"/>
    <col min="2564" max="2564" width="14.5546875" style="4" customWidth="1"/>
    <col min="2565" max="2566" width="8.88671875" style="4"/>
    <col min="2567" max="2567" width="10.5546875" style="4" customWidth="1"/>
    <col min="2568" max="2568" width="10.6640625" style="4" customWidth="1"/>
    <col min="2569" max="2569" width="8.88671875" style="4"/>
    <col min="2570" max="2570" width="10.44140625" style="4" customWidth="1"/>
    <col min="2571" max="2571" width="14.5546875" style="4" customWidth="1"/>
    <col min="2572" max="2572" width="10.6640625" style="4" customWidth="1"/>
    <col min="2573" max="2573" width="11" style="4" bestFit="1" customWidth="1"/>
    <col min="2574" max="2574" width="8.88671875" style="4"/>
    <col min="2575" max="2575" width="10.88671875" style="4" customWidth="1"/>
    <col min="2576" max="2819" width="8.88671875" style="4"/>
    <col min="2820" max="2820" width="14.5546875" style="4" customWidth="1"/>
    <col min="2821" max="2822" width="8.88671875" style="4"/>
    <col min="2823" max="2823" width="10.5546875" style="4" customWidth="1"/>
    <col min="2824" max="2824" width="10.6640625" style="4" customWidth="1"/>
    <col min="2825" max="2825" width="8.88671875" style="4"/>
    <col min="2826" max="2826" width="10.44140625" style="4" customWidth="1"/>
    <col min="2827" max="2827" width="14.5546875" style="4" customWidth="1"/>
    <col min="2828" max="2828" width="10.6640625" style="4" customWidth="1"/>
    <col min="2829" max="2829" width="11" style="4" bestFit="1" customWidth="1"/>
    <col min="2830" max="2830" width="8.88671875" style="4"/>
    <col min="2831" max="2831" width="10.88671875" style="4" customWidth="1"/>
    <col min="2832" max="3075" width="8.88671875" style="4"/>
    <col min="3076" max="3076" width="14.5546875" style="4" customWidth="1"/>
    <col min="3077" max="3078" width="8.88671875" style="4"/>
    <col min="3079" max="3079" width="10.5546875" style="4" customWidth="1"/>
    <col min="3080" max="3080" width="10.6640625" style="4" customWidth="1"/>
    <col min="3081" max="3081" width="8.88671875" style="4"/>
    <col min="3082" max="3082" width="10.44140625" style="4" customWidth="1"/>
    <col min="3083" max="3083" width="14.5546875" style="4" customWidth="1"/>
    <col min="3084" max="3084" width="10.6640625" style="4" customWidth="1"/>
    <col min="3085" max="3085" width="11" style="4" bestFit="1" customWidth="1"/>
    <col min="3086" max="3086" width="8.88671875" style="4"/>
    <col min="3087" max="3087" width="10.88671875" style="4" customWidth="1"/>
    <col min="3088" max="3331" width="8.88671875" style="4"/>
    <col min="3332" max="3332" width="14.5546875" style="4" customWidth="1"/>
    <col min="3333" max="3334" width="8.88671875" style="4"/>
    <col min="3335" max="3335" width="10.5546875" style="4" customWidth="1"/>
    <col min="3336" max="3336" width="10.6640625" style="4" customWidth="1"/>
    <col min="3337" max="3337" width="8.88671875" style="4"/>
    <col min="3338" max="3338" width="10.44140625" style="4" customWidth="1"/>
    <col min="3339" max="3339" width="14.5546875" style="4" customWidth="1"/>
    <col min="3340" max="3340" width="10.6640625" style="4" customWidth="1"/>
    <col min="3341" max="3341" width="11" style="4" bestFit="1" customWidth="1"/>
    <col min="3342" max="3342" width="8.88671875" style="4"/>
    <col min="3343" max="3343" width="10.88671875" style="4" customWidth="1"/>
    <col min="3344" max="3587" width="8.88671875" style="4"/>
    <col min="3588" max="3588" width="14.5546875" style="4" customWidth="1"/>
    <col min="3589" max="3590" width="8.88671875" style="4"/>
    <col min="3591" max="3591" width="10.5546875" style="4" customWidth="1"/>
    <col min="3592" max="3592" width="10.6640625" style="4" customWidth="1"/>
    <col min="3593" max="3593" width="8.88671875" style="4"/>
    <col min="3594" max="3594" width="10.44140625" style="4" customWidth="1"/>
    <col min="3595" max="3595" width="14.5546875" style="4" customWidth="1"/>
    <col min="3596" max="3596" width="10.6640625" style="4" customWidth="1"/>
    <col min="3597" max="3597" width="11" style="4" bestFit="1" customWidth="1"/>
    <col min="3598" max="3598" width="8.88671875" style="4"/>
    <col min="3599" max="3599" width="10.88671875" style="4" customWidth="1"/>
    <col min="3600" max="3843" width="8.88671875" style="4"/>
    <col min="3844" max="3844" width="14.5546875" style="4" customWidth="1"/>
    <col min="3845" max="3846" width="8.88671875" style="4"/>
    <col min="3847" max="3847" width="10.5546875" style="4" customWidth="1"/>
    <col min="3848" max="3848" width="10.6640625" style="4" customWidth="1"/>
    <col min="3849" max="3849" width="8.88671875" style="4"/>
    <col min="3850" max="3850" width="10.44140625" style="4" customWidth="1"/>
    <col min="3851" max="3851" width="14.5546875" style="4" customWidth="1"/>
    <col min="3852" max="3852" width="10.6640625" style="4" customWidth="1"/>
    <col min="3853" max="3853" width="11" style="4" bestFit="1" customWidth="1"/>
    <col min="3854" max="3854" width="8.88671875" style="4"/>
    <col min="3855" max="3855" width="10.88671875" style="4" customWidth="1"/>
    <col min="3856" max="4099" width="8.88671875" style="4"/>
    <col min="4100" max="4100" width="14.5546875" style="4" customWidth="1"/>
    <col min="4101" max="4102" width="8.88671875" style="4"/>
    <col min="4103" max="4103" width="10.5546875" style="4" customWidth="1"/>
    <col min="4104" max="4104" width="10.6640625" style="4" customWidth="1"/>
    <col min="4105" max="4105" width="8.88671875" style="4"/>
    <col min="4106" max="4106" width="10.44140625" style="4" customWidth="1"/>
    <col min="4107" max="4107" width="14.5546875" style="4" customWidth="1"/>
    <col min="4108" max="4108" width="10.6640625" style="4" customWidth="1"/>
    <col min="4109" max="4109" width="11" style="4" bestFit="1" customWidth="1"/>
    <col min="4110" max="4110" width="8.88671875" style="4"/>
    <col min="4111" max="4111" width="10.88671875" style="4" customWidth="1"/>
    <col min="4112" max="4355" width="8.88671875" style="4"/>
    <col min="4356" max="4356" width="14.5546875" style="4" customWidth="1"/>
    <col min="4357" max="4358" width="8.88671875" style="4"/>
    <col min="4359" max="4359" width="10.5546875" style="4" customWidth="1"/>
    <col min="4360" max="4360" width="10.6640625" style="4" customWidth="1"/>
    <col min="4361" max="4361" width="8.88671875" style="4"/>
    <col min="4362" max="4362" width="10.44140625" style="4" customWidth="1"/>
    <col min="4363" max="4363" width="14.5546875" style="4" customWidth="1"/>
    <col min="4364" max="4364" width="10.6640625" style="4" customWidth="1"/>
    <col min="4365" max="4365" width="11" style="4" bestFit="1" customWidth="1"/>
    <col min="4366" max="4366" width="8.88671875" style="4"/>
    <col min="4367" max="4367" width="10.88671875" style="4" customWidth="1"/>
    <col min="4368" max="4611" width="8.88671875" style="4"/>
    <col min="4612" max="4612" width="14.5546875" style="4" customWidth="1"/>
    <col min="4613" max="4614" width="8.88671875" style="4"/>
    <col min="4615" max="4615" width="10.5546875" style="4" customWidth="1"/>
    <col min="4616" max="4616" width="10.6640625" style="4" customWidth="1"/>
    <col min="4617" max="4617" width="8.88671875" style="4"/>
    <col min="4618" max="4618" width="10.44140625" style="4" customWidth="1"/>
    <col min="4619" max="4619" width="14.5546875" style="4" customWidth="1"/>
    <col min="4620" max="4620" width="10.6640625" style="4" customWidth="1"/>
    <col min="4621" max="4621" width="11" style="4" bestFit="1" customWidth="1"/>
    <col min="4622" max="4622" width="8.88671875" style="4"/>
    <col min="4623" max="4623" width="10.88671875" style="4" customWidth="1"/>
    <col min="4624" max="4867" width="8.88671875" style="4"/>
    <col min="4868" max="4868" width="14.5546875" style="4" customWidth="1"/>
    <col min="4869" max="4870" width="8.88671875" style="4"/>
    <col min="4871" max="4871" width="10.5546875" style="4" customWidth="1"/>
    <col min="4872" max="4872" width="10.6640625" style="4" customWidth="1"/>
    <col min="4873" max="4873" width="8.88671875" style="4"/>
    <col min="4874" max="4874" width="10.44140625" style="4" customWidth="1"/>
    <col min="4875" max="4875" width="14.5546875" style="4" customWidth="1"/>
    <col min="4876" max="4876" width="10.6640625" style="4" customWidth="1"/>
    <col min="4877" max="4877" width="11" style="4" bestFit="1" customWidth="1"/>
    <col min="4878" max="4878" width="8.88671875" style="4"/>
    <col min="4879" max="4879" width="10.88671875" style="4" customWidth="1"/>
    <col min="4880" max="5123" width="8.88671875" style="4"/>
    <col min="5124" max="5124" width="14.5546875" style="4" customWidth="1"/>
    <col min="5125" max="5126" width="8.88671875" style="4"/>
    <col min="5127" max="5127" width="10.5546875" style="4" customWidth="1"/>
    <col min="5128" max="5128" width="10.6640625" style="4" customWidth="1"/>
    <col min="5129" max="5129" width="8.88671875" style="4"/>
    <col min="5130" max="5130" width="10.44140625" style="4" customWidth="1"/>
    <col min="5131" max="5131" width="14.5546875" style="4" customWidth="1"/>
    <col min="5132" max="5132" width="10.6640625" style="4" customWidth="1"/>
    <col min="5133" max="5133" width="11" style="4" bestFit="1" customWidth="1"/>
    <col min="5134" max="5134" width="8.88671875" style="4"/>
    <col min="5135" max="5135" width="10.88671875" style="4" customWidth="1"/>
    <col min="5136" max="5379" width="8.88671875" style="4"/>
    <col min="5380" max="5380" width="14.5546875" style="4" customWidth="1"/>
    <col min="5381" max="5382" width="8.88671875" style="4"/>
    <col min="5383" max="5383" width="10.5546875" style="4" customWidth="1"/>
    <col min="5384" max="5384" width="10.6640625" style="4" customWidth="1"/>
    <col min="5385" max="5385" width="8.88671875" style="4"/>
    <col min="5386" max="5386" width="10.44140625" style="4" customWidth="1"/>
    <col min="5387" max="5387" width="14.5546875" style="4" customWidth="1"/>
    <col min="5388" max="5388" width="10.6640625" style="4" customWidth="1"/>
    <col min="5389" max="5389" width="11" style="4" bestFit="1" customWidth="1"/>
    <col min="5390" max="5390" width="8.88671875" style="4"/>
    <col min="5391" max="5391" width="10.88671875" style="4" customWidth="1"/>
    <col min="5392" max="5635" width="8.88671875" style="4"/>
    <col min="5636" max="5636" width="14.5546875" style="4" customWidth="1"/>
    <col min="5637" max="5638" width="8.88671875" style="4"/>
    <col min="5639" max="5639" width="10.5546875" style="4" customWidth="1"/>
    <col min="5640" max="5640" width="10.6640625" style="4" customWidth="1"/>
    <col min="5641" max="5641" width="8.88671875" style="4"/>
    <col min="5642" max="5642" width="10.44140625" style="4" customWidth="1"/>
    <col min="5643" max="5643" width="14.5546875" style="4" customWidth="1"/>
    <col min="5644" max="5644" width="10.6640625" style="4" customWidth="1"/>
    <col min="5645" max="5645" width="11" style="4" bestFit="1" customWidth="1"/>
    <col min="5646" max="5646" width="8.88671875" style="4"/>
    <col min="5647" max="5647" width="10.88671875" style="4" customWidth="1"/>
    <col min="5648" max="5891" width="8.88671875" style="4"/>
    <col min="5892" max="5892" width="14.5546875" style="4" customWidth="1"/>
    <col min="5893" max="5894" width="8.88671875" style="4"/>
    <col min="5895" max="5895" width="10.5546875" style="4" customWidth="1"/>
    <col min="5896" max="5896" width="10.6640625" style="4" customWidth="1"/>
    <col min="5897" max="5897" width="8.88671875" style="4"/>
    <col min="5898" max="5898" width="10.44140625" style="4" customWidth="1"/>
    <col min="5899" max="5899" width="14.5546875" style="4" customWidth="1"/>
    <col min="5900" max="5900" width="10.6640625" style="4" customWidth="1"/>
    <col min="5901" max="5901" width="11" style="4" bestFit="1" customWidth="1"/>
    <col min="5902" max="5902" width="8.88671875" style="4"/>
    <col min="5903" max="5903" width="10.88671875" style="4" customWidth="1"/>
    <col min="5904" max="6147" width="8.88671875" style="4"/>
    <col min="6148" max="6148" width="14.5546875" style="4" customWidth="1"/>
    <col min="6149" max="6150" width="8.88671875" style="4"/>
    <col min="6151" max="6151" width="10.5546875" style="4" customWidth="1"/>
    <col min="6152" max="6152" width="10.6640625" style="4" customWidth="1"/>
    <col min="6153" max="6153" width="8.88671875" style="4"/>
    <col min="6154" max="6154" width="10.44140625" style="4" customWidth="1"/>
    <col min="6155" max="6155" width="14.5546875" style="4" customWidth="1"/>
    <col min="6156" max="6156" width="10.6640625" style="4" customWidth="1"/>
    <col min="6157" max="6157" width="11" style="4" bestFit="1" customWidth="1"/>
    <col min="6158" max="6158" width="8.88671875" style="4"/>
    <col min="6159" max="6159" width="10.88671875" style="4" customWidth="1"/>
    <col min="6160" max="6403" width="8.88671875" style="4"/>
    <col min="6404" max="6404" width="14.5546875" style="4" customWidth="1"/>
    <col min="6405" max="6406" width="8.88671875" style="4"/>
    <col min="6407" max="6407" width="10.5546875" style="4" customWidth="1"/>
    <col min="6408" max="6408" width="10.6640625" style="4" customWidth="1"/>
    <col min="6409" max="6409" width="8.88671875" style="4"/>
    <col min="6410" max="6410" width="10.44140625" style="4" customWidth="1"/>
    <col min="6411" max="6411" width="14.5546875" style="4" customWidth="1"/>
    <col min="6412" max="6412" width="10.6640625" style="4" customWidth="1"/>
    <col min="6413" max="6413" width="11" style="4" bestFit="1" customWidth="1"/>
    <col min="6414" max="6414" width="8.88671875" style="4"/>
    <col min="6415" max="6415" width="10.88671875" style="4" customWidth="1"/>
    <col min="6416" max="6659" width="8.88671875" style="4"/>
    <col min="6660" max="6660" width="14.5546875" style="4" customWidth="1"/>
    <col min="6661" max="6662" width="8.88671875" style="4"/>
    <col min="6663" max="6663" width="10.5546875" style="4" customWidth="1"/>
    <col min="6664" max="6664" width="10.6640625" style="4" customWidth="1"/>
    <col min="6665" max="6665" width="8.88671875" style="4"/>
    <col min="6666" max="6666" width="10.44140625" style="4" customWidth="1"/>
    <col min="6667" max="6667" width="14.5546875" style="4" customWidth="1"/>
    <col min="6668" max="6668" width="10.6640625" style="4" customWidth="1"/>
    <col min="6669" max="6669" width="11" style="4" bestFit="1" customWidth="1"/>
    <col min="6670" max="6670" width="8.88671875" style="4"/>
    <col min="6671" max="6671" width="10.88671875" style="4" customWidth="1"/>
    <col min="6672" max="6915" width="8.88671875" style="4"/>
    <col min="6916" max="6916" width="14.5546875" style="4" customWidth="1"/>
    <col min="6917" max="6918" width="8.88671875" style="4"/>
    <col min="6919" max="6919" width="10.5546875" style="4" customWidth="1"/>
    <col min="6920" max="6920" width="10.6640625" style="4" customWidth="1"/>
    <col min="6921" max="6921" width="8.88671875" style="4"/>
    <col min="6922" max="6922" width="10.44140625" style="4" customWidth="1"/>
    <col min="6923" max="6923" width="14.5546875" style="4" customWidth="1"/>
    <col min="6924" max="6924" width="10.6640625" style="4" customWidth="1"/>
    <col min="6925" max="6925" width="11" style="4" bestFit="1" customWidth="1"/>
    <col min="6926" max="6926" width="8.88671875" style="4"/>
    <col min="6927" max="6927" width="10.88671875" style="4" customWidth="1"/>
    <col min="6928" max="7171" width="8.88671875" style="4"/>
    <col min="7172" max="7172" width="14.5546875" style="4" customWidth="1"/>
    <col min="7173" max="7174" width="8.88671875" style="4"/>
    <col min="7175" max="7175" width="10.5546875" style="4" customWidth="1"/>
    <col min="7176" max="7176" width="10.6640625" style="4" customWidth="1"/>
    <col min="7177" max="7177" width="8.88671875" style="4"/>
    <col min="7178" max="7178" width="10.44140625" style="4" customWidth="1"/>
    <col min="7179" max="7179" width="14.5546875" style="4" customWidth="1"/>
    <col min="7180" max="7180" width="10.6640625" style="4" customWidth="1"/>
    <col min="7181" max="7181" width="11" style="4" bestFit="1" customWidth="1"/>
    <col min="7182" max="7182" width="8.88671875" style="4"/>
    <col min="7183" max="7183" width="10.88671875" style="4" customWidth="1"/>
    <col min="7184" max="7427" width="8.88671875" style="4"/>
    <col min="7428" max="7428" width="14.5546875" style="4" customWidth="1"/>
    <col min="7429" max="7430" width="8.88671875" style="4"/>
    <col min="7431" max="7431" width="10.5546875" style="4" customWidth="1"/>
    <col min="7432" max="7432" width="10.6640625" style="4" customWidth="1"/>
    <col min="7433" max="7433" width="8.88671875" style="4"/>
    <col min="7434" max="7434" width="10.44140625" style="4" customWidth="1"/>
    <col min="7435" max="7435" width="14.5546875" style="4" customWidth="1"/>
    <col min="7436" max="7436" width="10.6640625" style="4" customWidth="1"/>
    <col min="7437" max="7437" width="11" style="4" bestFit="1" customWidth="1"/>
    <col min="7438" max="7438" width="8.88671875" style="4"/>
    <col min="7439" max="7439" width="10.88671875" style="4" customWidth="1"/>
    <col min="7440" max="7683" width="8.88671875" style="4"/>
    <col min="7684" max="7684" width="14.5546875" style="4" customWidth="1"/>
    <col min="7685" max="7686" width="8.88671875" style="4"/>
    <col min="7687" max="7687" width="10.5546875" style="4" customWidth="1"/>
    <col min="7688" max="7688" width="10.6640625" style="4" customWidth="1"/>
    <col min="7689" max="7689" width="8.88671875" style="4"/>
    <col min="7690" max="7690" width="10.44140625" style="4" customWidth="1"/>
    <col min="7691" max="7691" width="14.5546875" style="4" customWidth="1"/>
    <col min="7692" max="7692" width="10.6640625" style="4" customWidth="1"/>
    <col min="7693" max="7693" width="11" style="4" bestFit="1" customWidth="1"/>
    <col min="7694" max="7694" width="8.88671875" style="4"/>
    <col min="7695" max="7695" width="10.88671875" style="4" customWidth="1"/>
    <col min="7696" max="7939" width="8.88671875" style="4"/>
    <col min="7940" max="7940" width="14.5546875" style="4" customWidth="1"/>
    <col min="7941" max="7942" width="8.88671875" style="4"/>
    <col min="7943" max="7943" width="10.5546875" style="4" customWidth="1"/>
    <col min="7944" max="7944" width="10.6640625" style="4" customWidth="1"/>
    <col min="7945" max="7945" width="8.88671875" style="4"/>
    <col min="7946" max="7946" width="10.44140625" style="4" customWidth="1"/>
    <col min="7947" max="7947" width="14.5546875" style="4" customWidth="1"/>
    <col min="7948" max="7948" width="10.6640625" style="4" customWidth="1"/>
    <col min="7949" max="7949" width="11" style="4" bestFit="1" customWidth="1"/>
    <col min="7950" max="7950" width="8.88671875" style="4"/>
    <col min="7951" max="7951" width="10.88671875" style="4" customWidth="1"/>
    <col min="7952" max="8195" width="8.88671875" style="4"/>
    <col min="8196" max="8196" width="14.5546875" style="4" customWidth="1"/>
    <col min="8197" max="8198" width="8.88671875" style="4"/>
    <col min="8199" max="8199" width="10.5546875" style="4" customWidth="1"/>
    <col min="8200" max="8200" width="10.6640625" style="4" customWidth="1"/>
    <col min="8201" max="8201" width="8.88671875" style="4"/>
    <col min="8202" max="8202" width="10.44140625" style="4" customWidth="1"/>
    <col min="8203" max="8203" width="14.5546875" style="4" customWidth="1"/>
    <col min="8204" max="8204" width="10.6640625" style="4" customWidth="1"/>
    <col min="8205" max="8205" width="11" style="4" bestFit="1" customWidth="1"/>
    <col min="8206" max="8206" width="8.88671875" style="4"/>
    <col min="8207" max="8207" width="10.88671875" style="4" customWidth="1"/>
    <col min="8208" max="8451" width="8.88671875" style="4"/>
    <col min="8452" max="8452" width="14.5546875" style="4" customWidth="1"/>
    <col min="8453" max="8454" width="8.88671875" style="4"/>
    <col min="8455" max="8455" width="10.5546875" style="4" customWidth="1"/>
    <col min="8456" max="8456" width="10.6640625" style="4" customWidth="1"/>
    <col min="8457" max="8457" width="8.88671875" style="4"/>
    <col min="8458" max="8458" width="10.44140625" style="4" customWidth="1"/>
    <col min="8459" max="8459" width="14.5546875" style="4" customWidth="1"/>
    <col min="8460" max="8460" width="10.6640625" style="4" customWidth="1"/>
    <col min="8461" max="8461" width="11" style="4" bestFit="1" customWidth="1"/>
    <col min="8462" max="8462" width="8.88671875" style="4"/>
    <col min="8463" max="8463" width="10.88671875" style="4" customWidth="1"/>
    <col min="8464" max="8707" width="8.88671875" style="4"/>
    <col min="8708" max="8708" width="14.5546875" style="4" customWidth="1"/>
    <col min="8709" max="8710" width="8.88671875" style="4"/>
    <col min="8711" max="8711" width="10.5546875" style="4" customWidth="1"/>
    <col min="8712" max="8712" width="10.6640625" style="4" customWidth="1"/>
    <col min="8713" max="8713" width="8.88671875" style="4"/>
    <col min="8714" max="8714" width="10.44140625" style="4" customWidth="1"/>
    <col min="8715" max="8715" width="14.5546875" style="4" customWidth="1"/>
    <col min="8716" max="8716" width="10.6640625" style="4" customWidth="1"/>
    <col min="8717" max="8717" width="11" style="4" bestFit="1" customWidth="1"/>
    <col min="8718" max="8718" width="8.88671875" style="4"/>
    <col min="8719" max="8719" width="10.88671875" style="4" customWidth="1"/>
    <col min="8720" max="8963" width="8.88671875" style="4"/>
    <col min="8964" max="8964" width="14.5546875" style="4" customWidth="1"/>
    <col min="8965" max="8966" width="8.88671875" style="4"/>
    <col min="8967" max="8967" width="10.5546875" style="4" customWidth="1"/>
    <col min="8968" max="8968" width="10.6640625" style="4" customWidth="1"/>
    <col min="8969" max="8969" width="8.88671875" style="4"/>
    <col min="8970" max="8970" width="10.44140625" style="4" customWidth="1"/>
    <col min="8971" max="8971" width="14.5546875" style="4" customWidth="1"/>
    <col min="8972" max="8972" width="10.6640625" style="4" customWidth="1"/>
    <col min="8973" max="8973" width="11" style="4" bestFit="1" customWidth="1"/>
    <col min="8974" max="8974" width="8.88671875" style="4"/>
    <col min="8975" max="8975" width="10.88671875" style="4" customWidth="1"/>
    <col min="8976" max="9219" width="8.88671875" style="4"/>
    <col min="9220" max="9220" width="14.5546875" style="4" customWidth="1"/>
    <col min="9221" max="9222" width="8.88671875" style="4"/>
    <col min="9223" max="9223" width="10.5546875" style="4" customWidth="1"/>
    <col min="9224" max="9224" width="10.6640625" style="4" customWidth="1"/>
    <col min="9225" max="9225" width="8.88671875" style="4"/>
    <col min="9226" max="9226" width="10.44140625" style="4" customWidth="1"/>
    <col min="9227" max="9227" width="14.5546875" style="4" customWidth="1"/>
    <col min="9228" max="9228" width="10.6640625" style="4" customWidth="1"/>
    <col min="9229" max="9229" width="11" style="4" bestFit="1" customWidth="1"/>
    <col min="9230" max="9230" width="8.88671875" style="4"/>
    <col min="9231" max="9231" width="10.88671875" style="4" customWidth="1"/>
    <col min="9232" max="9475" width="8.88671875" style="4"/>
    <col min="9476" max="9476" width="14.5546875" style="4" customWidth="1"/>
    <col min="9477" max="9478" width="8.88671875" style="4"/>
    <col min="9479" max="9479" width="10.5546875" style="4" customWidth="1"/>
    <col min="9480" max="9480" width="10.6640625" style="4" customWidth="1"/>
    <col min="9481" max="9481" width="8.88671875" style="4"/>
    <col min="9482" max="9482" width="10.44140625" style="4" customWidth="1"/>
    <col min="9483" max="9483" width="14.5546875" style="4" customWidth="1"/>
    <col min="9484" max="9484" width="10.6640625" style="4" customWidth="1"/>
    <col min="9485" max="9485" width="11" style="4" bestFit="1" customWidth="1"/>
    <col min="9486" max="9486" width="8.88671875" style="4"/>
    <col min="9487" max="9487" width="10.88671875" style="4" customWidth="1"/>
    <col min="9488" max="9731" width="8.88671875" style="4"/>
    <col min="9732" max="9732" width="14.5546875" style="4" customWidth="1"/>
    <col min="9733" max="9734" width="8.88671875" style="4"/>
    <col min="9735" max="9735" width="10.5546875" style="4" customWidth="1"/>
    <col min="9736" max="9736" width="10.6640625" style="4" customWidth="1"/>
    <col min="9737" max="9737" width="8.88671875" style="4"/>
    <col min="9738" max="9738" width="10.44140625" style="4" customWidth="1"/>
    <col min="9739" max="9739" width="14.5546875" style="4" customWidth="1"/>
    <col min="9740" max="9740" width="10.6640625" style="4" customWidth="1"/>
    <col min="9741" max="9741" width="11" style="4" bestFit="1" customWidth="1"/>
    <col min="9742" max="9742" width="8.88671875" style="4"/>
    <col min="9743" max="9743" width="10.88671875" style="4" customWidth="1"/>
    <col min="9744" max="9987" width="8.88671875" style="4"/>
    <col min="9988" max="9988" width="14.5546875" style="4" customWidth="1"/>
    <col min="9989" max="9990" width="8.88671875" style="4"/>
    <col min="9991" max="9991" width="10.5546875" style="4" customWidth="1"/>
    <col min="9992" max="9992" width="10.6640625" style="4" customWidth="1"/>
    <col min="9993" max="9993" width="8.88671875" style="4"/>
    <col min="9994" max="9994" width="10.44140625" style="4" customWidth="1"/>
    <col min="9995" max="9995" width="14.5546875" style="4" customWidth="1"/>
    <col min="9996" max="9996" width="10.6640625" style="4" customWidth="1"/>
    <col min="9997" max="9997" width="11" style="4" bestFit="1" customWidth="1"/>
    <col min="9998" max="9998" width="8.88671875" style="4"/>
    <col min="9999" max="9999" width="10.88671875" style="4" customWidth="1"/>
    <col min="10000" max="10243" width="8.88671875" style="4"/>
    <col min="10244" max="10244" width="14.5546875" style="4" customWidth="1"/>
    <col min="10245" max="10246" width="8.88671875" style="4"/>
    <col min="10247" max="10247" width="10.5546875" style="4" customWidth="1"/>
    <col min="10248" max="10248" width="10.6640625" style="4" customWidth="1"/>
    <col min="10249" max="10249" width="8.88671875" style="4"/>
    <col min="10250" max="10250" width="10.44140625" style="4" customWidth="1"/>
    <col min="10251" max="10251" width="14.5546875" style="4" customWidth="1"/>
    <col min="10252" max="10252" width="10.6640625" style="4" customWidth="1"/>
    <col min="10253" max="10253" width="11" style="4" bestFit="1" customWidth="1"/>
    <col min="10254" max="10254" width="8.88671875" style="4"/>
    <col min="10255" max="10255" width="10.88671875" style="4" customWidth="1"/>
    <col min="10256" max="10499" width="8.88671875" style="4"/>
    <col min="10500" max="10500" width="14.5546875" style="4" customWidth="1"/>
    <col min="10501" max="10502" width="8.88671875" style="4"/>
    <col min="10503" max="10503" width="10.5546875" style="4" customWidth="1"/>
    <col min="10504" max="10504" width="10.6640625" style="4" customWidth="1"/>
    <col min="10505" max="10505" width="8.88671875" style="4"/>
    <col min="10506" max="10506" width="10.44140625" style="4" customWidth="1"/>
    <col min="10507" max="10507" width="14.5546875" style="4" customWidth="1"/>
    <col min="10508" max="10508" width="10.6640625" style="4" customWidth="1"/>
    <col min="10509" max="10509" width="11" style="4" bestFit="1" customWidth="1"/>
    <col min="10510" max="10510" width="8.88671875" style="4"/>
    <col min="10511" max="10511" width="10.88671875" style="4" customWidth="1"/>
    <col min="10512" max="10755" width="8.88671875" style="4"/>
    <col min="10756" max="10756" width="14.5546875" style="4" customWidth="1"/>
    <col min="10757" max="10758" width="8.88671875" style="4"/>
    <col min="10759" max="10759" width="10.5546875" style="4" customWidth="1"/>
    <col min="10760" max="10760" width="10.6640625" style="4" customWidth="1"/>
    <col min="10761" max="10761" width="8.88671875" style="4"/>
    <col min="10762" max="10762" width="10.44140625" style="4" customWidth="1"/>
    <col min="10763" max="10763" width="14.5546875" style="4" customWidth="1"/>
    <col min="10764" max="10764" width="10.6640625" style="4" customWidth="1"/>
    <col min="10765" max="10765" width="11" style="4" bestFit="1" customWidth="1"/>
    <col min="10766" max="10766" width="8.88671875" style="4"/>
    <col min="10767" max="10767" width="10.88671875" style="4" customWidth="1"/>
    <col min="10768" max="11011" width="8.88671875" style="4"/>
    <col min="11012" max="11012" width="14.5546875" style="4" customWidth="1"/>
    <col min="11013" max="11014" width="8.88671875" style="4"/>
    <col min="11015" max="11015" width="10.5546875" style="4" customWidth="1"/>
    <col min="11016" max="11016" width="10.6640625" style="4" customWidth="1"/>
    <col min="11017" max="11017" width="8.88671875" style="4"/>
    <col min="11018" max="11018" width="10.44140625" style="4" customWidth="1"/>
    <col min="11019" max="11019" width="14.5546875" style="4" customWidth="1"/>
    <col min="11020" max="11020" width="10.6640625" style="4" customWidth="1"/>
    <col min="11021" max="11021" width="11" style="4" bestFit="1" customWidth="1"/>
    <col min="11022" max="11022" width="8.88671875" style="4"/>
    <col min="11023" max="11023" width="10.88671875" style="4" customWidth="1"/>
    <col min="11024" max="11267" width="8.88671875" style="4"/>
    <col min="11268" max="11268" width="14.5546875" style="4" customWidth="1"/>
    <col min="11269" max="11270" width="8.88671875" style="4"/>
    <col min="11271" max="11271" width="10.5546875" style="4" customWidth="1"/>
    <col min="11272" max="11272" width="10.6640625" style="4" customWidth="1"/>
    <col min="11273" max="11273" width="8.88671875" style="4"/>
    <col min="11274" max="11274" width="10.44140625" style="4" customWidth="1"/>
    <col min="11275" max="11275" width="14.5546875" style="4" customWidth="1"/>
    <col min="11276" max="11276" width="10.6640625" style="4" customWidth="1"/>
    <col min="11277" max="11277" width="11" style="4" bestFit="1" customWidth="1"/>
    <col min="11278" max="11278" width="8.88671875" style="4"/>
    <col min="11279" max="11279" width="10.88671875" style="4" customWidth="1"/>
    <col min="11280" max="11523" width="8.88671875" style="4"/>
    <col min="11524" max="11524" width="14.5546875" style="4" customWidth="1"/>
    <col min="11525" max="11526" width="8.88671875" style="4"/>
    <col min="11527" max="11527" width="10.5546875" style="4" customWidth="1"/>
    <col min="11528" max="11528" width="10.6640625" style="4" customWidth="1"/>
    <col min="11529" max="11529" width="8.88671875" style="4"/>
    <col min="11530" max="11530" width="10.44140625" style="4" customWidth="1"/>
    <col min="11531" max="11531" width="14.5546875" style="4" customWidth="1"/>
    <col min="11532" max="11532" width="10.6640625" style="4" customWidth="1"/>
    <col min="11533" max="11533" width="11" style="4" bestFit="1" customWidth="1"/>
    <col min="11534" max="11534" width="8.88671875" style="4"/>
    <col min="11535" max="11535" width="10.88671875" style="4" customWidth="1"/>
    <col min="11536" max="11779" width="8.88671875" style="4"/>
    <col min="11780" max="11780" width="14.5546875" style="4" customWidth="1"/>
    <col min="11781" max="11782" width="8.88671875" style="4"/>
    <col min="11783" max="11783" width="10.5546875" style="4" customWidth="1"/>
    <col min="11784" max="11784" width="10.6640625" style="4" customWidth="1"/>
    <col min="11785" max="11785" width="8.88671875" style="4"/>
    <col min="11786" max="11786" width="10.44140625" style="4" customWidth="1"/>
    <col min="11787" max="11787" width="14.5546875" style="4" customWidth="1"/>
    <col min="11788" max="11788" width="10.6640625" style="4" customWidth="1"/>
    <col min="11789" max="11789" width="11" style="4" bestFit="1" customWidth="1"/>
    <col min="11790" max="11790" width="8.88671875" style="4"/>
    <col min="11791" max="11791" width="10.88671875" style="4" customWidth="1"/>
    <col min="11792" max="12035" width="8.88671875" style="4"/>
    <col min="12036" max="12036" width="14.5546875" style="4" customWidth="1"/>
    <col min="12037" max="12038" width="8.88671875" style="4"/>
    <col min="12039" max="12039" width="10.5546875" style="4" customWidth="1"/>
    <col min="12040" max="12040" width="10.6640625" style="4" customWidth="1"/>
    <col min="12041" max="12041" width="8.88671875" style="4"/>
    <col min="12042" max="12042" width="10.44140625" style="4" customWidth="1"/>
    <col min="12043" max="12043" width="14.5546875" style="4" customWidth="1"/>
    <col min="12044" max="12044" width="10.6640625" style="4" customWidth="1"/>
    <col min="12045" max="12045" width="11" style="4" bestFit="1" customWidth="1"/>
    <col min="12046" max="12046" width="8.88671875" style="4"/>
    <col min="12047" max="12047" width="10.88671875" style="4" customWidth="1"/>
    <col min="12048" max="12291" width="8.88671875" style="4"/>
    <col min="12292" max="12292" width="14.5546875" style="4" customWidth="1"/>
    <col min="12293" max="12294" width="8.88671875" style="4"/>
    <col min="12295" max="12295" width="10.5546875" style="4" customWidth="1"/>
    <col min="12296" max="12296" width="10.6640625" style="4" customWidth="1"/>
    <col min="12297" max="12297" width="8.88671875" style="4"/>
    <col min="12298" max="12298" width="10.44140625" style="4" customWidth="1"/>
    <col min="12299" max="12299" width="14.5546875" style="4" customWidth="1"/>
    <col min="12300" max="12300" width="10.6640625" style="4" customWidth="1"/>
    <col min="12301" max="12301" width="11" style="4" bestFit="1" customWidth="1"/>
    <col min="12302" max="12302" width="8.88671875" style="4"/>
    <col min="12303" max="12303" width="10.88671875" style="4" customWidth="1"/>
    <col min="12304" max="12547" width="8.88671875" style="4"/>
    <col min="12548" max="12548" width="14.5546875" style="4" customWidth="1"/>
    <col min="12549" max="12550" width="8.88671875" style="4"/>
    <col min="12551" max="12551" width="10.5546875" style="4" customWidth="1"/>
    <col min="12552" max="12552" width="10.6640625" style="4" customWidth="1"/>
    <col min="12553" max="12553" width="8.88671875" style="4"/>
    <col min="12554" max="12554" width="10.44140625" style="4" customWidth="1"/>
    <col min="12555" max="12555" width="14.5546875" style="4" customWidth="1"/>
    <col min="12556" max="12556" width="10.6640625" style="4" customWidth="1"/>
    <col min="12557" max="12557" width="11" style="4" bestFit="1" customWidth="1"/>
    <col min="12558" max="12558" width="8.88671875" style="4"/>
    <col min="12559" max="12559" width="10.88671875" style="4" customWidth="1"/>
    <col min="12560" max="12803" width="8.88671875" style="4"/>
    <col min="12804" max="12804" width="14.5546875" style="4" customWidth="1"/>
    <col min="12805" max="12806" width="8.88671875" style="4"/>
    <col min="12807" max="12807" width="10.5546875" style="4" customWidth="1"/>
    <col min="12808" max="12808" width="10.6640625" style="4" customWidth="1"/>
    <col min="12809" max="12809" width="8.88671875" style="4"/>
    <col min="12810" max="12810" width="10.44140625" style="4" customWidth="1"/>
    <col min="12811" max="12811" width="14.5546875" style="4" customWidth="1"/>
    <col min="12812" max="12812" width="10.6640625" style="4" customWidth="1"/>
    <col min="12813" max="12813" width="11" style="4" bestFit="1" customWidth="1"/>
    <col min="12814" max="12814" width="8.88671875" style="4"/>
    <col min="12815" max="12815" width="10.88671875" style="4" customWidth="1"/>
    <col min="12816" max="13059" width="8.88671875" style="4"/>
    <col min="13060" max="13060" width="14.5546875" style="4" customWidth="1"/>
    <col min="13061" max="13062" width="8.88671875" style="4"/>
    <col min="13063" max="13063" width="10.5546875" style="4" customWidth="1"/>
    <col min="13064" max="13064" width="10.6640625" style="4" customWidth="1"/>
    <col min="13065" max="13065" width="8.88671875" style="4"/>
    <col min="13066" max="13066" width="10.44140625" style="4" customWidth="1"/>
    <col min="13067" max="13067" width="14.5546875" style="4" customWidth="1"/>
    <col min="13068" max="13068" width="10.6640625" style="4" customWidth="1"/>
    <col min="13069" max="13069" width="11" style="4" bestFit="1" customWidth="1"/>
    <col min="13070" max="13070" width="8.88671875" style="4"/>
    <col min="13071" max="13071" width="10.88671875" style="4" customWidth="1"/>
    <col min="13072" max="13315" width="8.88671875" style="4"/>
    <col min="13316" max="13316" width="14.5546875" style="4" customWidth="1"/>
    <col min="13317" max="13318" width="8.88671875" style="4"/>
    <col min="13319" max="13319" width="10.5546875" style="4" customWidth="1"/>
    <col min="13320" max="13320" width="10.6640625" style="4" customWidth="1"/>
    <col min="13321" max="13321" width="8.88671875" style="4"/>
    <col min="13322" max="13322" width="10.44140625" style="4" customWidth="1"/>
    <col min="13323" max="13323" width="14.5546875" style="4" customWidth="1"/>
    <col min="13324" max="13324" width="10.6640625" style="4" customWidth="1"/>
    <col min="13325" max="13325" width="11" style="4" bestFit="1" customWidth="1"/>
    <col min="13326" max="13326" width="8.88671875" style="4"/>
    <col min="13327" max="13327" width="10.88671875" style="4" customWidth="1"/>
    <col min="13328" max="13571" width="8.88671875" style="4"/>
    <col min="13572" max="13572" width="14.5546875" style="4" customWidth="1"/>
    <col min="13573" max="13574" width="8.88671875" style="4"/>
    <col min="13575" max="13575" width="10.5546875" style="4" customWidth="1"/>
    <col min="13576" max="13576" width="10.6640625" style="4" customWidth="1"/>
    <col min="13577" max="13577" width="8.88671875" style="4"/>
    <col min="13578" max="13578" width="10.44140625" style="4" customWidth="1"/>
    <col min="13579" max="13579" width="14.5546875" style="4" customWidth="1"/>
    <col min="13580" max="13580" width="10.6640625" style="4" customWidth="1"/>
    <col min="13581" max="13581" width="11" style="4" bestFit="1" customWidth="1"/>
    <col min="13582" max="13582" width="8.88671875" style="4"/>
    <col min="13583" max="13583" width="10.88671875" style="4" customWidth="1"/>
    <col min="13584" max="13827" width="8.88671875" style="4"/>
    <col min="13828" max="13828" width="14.5546875" style="4" customWidth="1"/>
    <col min="13829" max="13830" width="8.88671875" style="4"/>
    <col min="13831" max="13831" width="10.5546875" style="4" customWidth="1"/>
    <col min="13832" max="13832" width="10.6640625" style="4" customWidth="1"/>
    <col min="13833" max="13833" width="8.88671875" style="4"/>
    <col min="13834" max="13834" width="10.44140625" style="4" customWidth="1"/>
    <col min="13835" max="13835" width="14.5546875" style="4" customWidth="1"/>
    <col min="13836" max="13836" width="10.6640625" style="4" customWidth="1"/>
    <col min="13837" max="13837" width="11" style="4" bestFit="1" customWidth="1"/>
    <col min="13838" max="13838" width="8.88671875" style="4"/>
    <col min="13839" max="13839" width="10.88671875" style="4" customWidth="1"/>
    <col min="13840" max="14083" width="8.88671875" style="4"/>
    <col min="14084" max="14084" width="14.5546875" style="4" customWidth="1"/>
    <col min="14085" max="14086" width="8.88671875" style="4"/>
    <col min="14087" max="14087" width="10.5546875" style="4" customWidth="1"/>
    <col min="14088" max="14088" width="10.6640625" style="4" customWidth="1"/>
    <col min="14089" max="14089" width="8.88671875" style="4"/>
    <col min="14090" max="14090" width="10.44140625" style="4" customWidth="1"/>
    <col min="14091" max="14091" width="14.5546875" style="4" customWidth="1"/>
    <col min="14092" max="14092" width="10.6640625" style="4" customWidth="1"/>
    <col min="14093" max="14093" width="11" style="4" bestFit="1" customWidth="1"/>
    <col min="14094" max="14094" width="8.88671875" style="4"/>
    <col min="14095" max="14095" width="10.88671875" style="4" customWidth="1"/>
    <col min="14096" max="14339" width="8.88671875" style="4"/>
    <col min="14340" max="14340" width="14.5546875" style="4" customWidth="1"/>
    <col min="14341" max="14342" width="8.88671875" style="4"/>
    <col min="14343" max="14343" width="10.5546875" style="4" customWidth="1"/>
    <col min="14344" max="14344" width="10.6640625" style="4" customWidth="1"/>
    <col min="14345" max="14345" width="8.88671875" style="4"/>
    <col min="14346" max="14346" width="10.44140625" style="4" customWidth="1"/>
    <col min="14347" max="14347" width="14.5546875" style="4" customWidth="1"/>
    <col min="14348" max="14348" width="10.6640625" style="4" customWidth="1"/>
    <col min="14349" max="14349" width="11" style="4" bestFit="1" customWidth="1"/>
    <col min="14350" max="14350" width="8.88671875" style="4"/>
    <col min="14351" max="14351" width="10.88671875" style="4" customWidth="1"/>
    <col min="14352" max="14595" width="8.88671875" style="4"/>
    <col min="14596" max="14596" width="14.5546875" style="4" customWidth="1"/>
    <col min="14597" max="14598" width="8.88671875" style="4"/>
    <col min="14599" max="14599" width="10.5546875" style="4" customWidth="1"/>
    <col min="14600" max="14600" width="10.6640625" style="4" customWidth="1"/>
    <col min="14601" max="14601" width="8.88671875" style="4"/>
    <col min="14602" max="14602" width="10.44140625" style="4" customWidth="1"/>
    <col min="14603" max="14603" width="14.5546875" style="4" customWidth="1"/>
    <col min="14604" max="14604" width="10.6640625" style="4" customWidth="1"/>
    <col min="14605" max="14605" width="11" style="4" bestFit="1" customWidth="1"/>
    <col min="14606" max="14606" width="8.88671875" style="4"/>
    <col min="14607" max="14607" width="10.88671875" style="4" customWidth="1"/>
    <col min="14608" max="14851" width="8.88671875" style="4"/>
    <col min="14852" max="14852" width="14.5546875" style="4" customWidth="1"/>
    <col min="14853" max="14854" width="8.88671875" style="4"/>
    <col min="14855" max="14855" width="10.5546875" style="4" customWidth="1"/>
    <col min="14856" max="14856" width="10.6640625" style="4" customWidth="1"/>
    <col min="14857" max="14857" width="8.88671875" style="4"/>
    <col min="14858" max="14858" width="10.44140625" style="4" customWidth="1"/>
    <col min="14859" max="14859" width="14.5546875" style="4" customWidth="1"/>
    <col min="14860" max="14860" width="10.6640625" style="4" customWidth="1"/>
    <col min="14861" max="14861" width="11" style="4" bestFit="1" customWidth="1"/>
    <col min="14862" max="14862" width="8.88671875" style="4"/>
    <col min="14863" max="14863" width="10.88671875" style="4" customWidth="1"/>
    <col min="14864" max="15107" width="8.88671875" style="4"/>
    <col min="15108" max="15108" width="14.5546875" style="4" customWidth="1"/>
    <col min="15109" max="15110" width="8.88671875" style="4"/>
    <col min="15111" max="15111" width="10.5546875" style="4" customWidth="1"/>
    <col min="15112" max="15112" width="10.6640625" style="4" customWidth="1"/>
    <col min="15113" max="15113" width="8.88671875" style="4"/>
    <col min="15114" max="15114" width="10.44140625" style="4" customWidth="1"/>
    <col min="15115" max="15115" width="14.5546875" style="4" customWidth="1"/>
    <col min="15116" max="15116" width="10.6640625" style="4" customWidth="1"/>
    <col min="15117" max="15117" width="11" style="4" bestFit="1" customWidth="1"/>
    <col min="15118" max="15118" width="8.88671875" style="4"/>
    <col min="15119" max="15119" width="10.88671875" style="4" customWidth="1"/>
    <col min="15120" max="15363" width="8.88671875" style="4"/>
    <col min="15364" max="15364" width="14.5546875" style="4" customWidth="1"/>
    <col min="15365" max="15366" width="8.88671875" style="4"/>
    <col min="15367" max="15367" width="10.5546875" style="4" customWidth="1"/>
    <col min="15368" max="15368" width="10.6640625" style="4" customWidth="1"/>
    <col min="15369" max="15369" width="8.88671875" style="4"/>
    <col min="15370" max="15370" width="10.44140625" style="4" customWidth="1"/>
    <col min="15371" max="15371" width="14.5546875" style="4" customWidth="1"/>
    <col min="15372" max="15372" width="10.6640625" style="4" customWidth="1"/>
    <col min="15373" max="15373" width="11" style="4" bestFit="1" customWidth="1"/>
    <col min="15374" max="15374" width="8.88671875" style="4"/>
    <col min="15375" max="15375" width="10.88671875" style="4" customWidth="1"/>
    <col min="15376" max="15619" width="8.88671875" style="4"/>
    <col min="15620" max="15620" width="14.5546875" style="4" customWidth="1"/>
    <col min="15621" max="15622" width="8.88671875" style="4"/>
    <col min="15623" max="15623" width="10.5546875" style="4" customWidth="1"/>
    <col min="15624" max="15624" width="10.6640625" style="4" customWidth="1"/>
    <col min="15625" max="15625" width="8.88671875" style="4"/>
    <col min="15626" max="15626" width="10.44140625" style="4" customWidth="1"/>
    <col min="15627" max="15627" width="14.5546875" style="4" customWidth="1"/>
    <col min="15628" max="15628" width="10.6640625" style="4" customWidth="1"/>
    <col min="15629" max="15629" width="11" style="4" bestFit="1" customWidth="1"/>
    <col min="15630" max="15630" width="8.88671875" style="4"/>
    <col min="15631" max="15631" width="10.88671875" style="4" customWidth="1"/>
    <col min="15632" max="15875" width="8.88671875" style="4"/>
    <col min="15876" max="15876" width="14.5546875" style="4" customWidth="1"/>
    <col min="15877" max="15878" width="8.88671875" style="4"/>
    <col min="15879" max="15879" width="10.5546875" style="4" customWidth="1"/>
    <col min="15880" max="15880" width="10.6640625" style="4" customWidth="1"/>
    <col min="15881" max="15881" width="8.88671875" style="4"/>
    <col min="15882" max="15882" width="10.44140625" style="4" customWidth="1"/>
    <col min="15883" max="15883" width="14.5546875" style="4" customWidth="1"/>
    <col min="15884" max="15884" width="10.6640625" style="4" customWidth="1"/>
    <col min="15885" max="15885" width="11" style="4" bestFit="1" customWidth="1"/>
    <col min="15886" max="15886" width="8.88671875" style="4"/>
    <col min="15887" max="15887" width="10.88671875" style="4" customWidth="1"/>
    <col min="15888" max="16131" width="8.88671875" style="4"/>
    <col min="16132" max="16132" width="14.5546875" style="4" customWidth="1"/>
    <col min="16133" max="16134" width="8.88671875" style="4"/>
    <col min="16135" max="16135" width="10.5546875" style="4" customWidth="1"/>
    <col min="16136" max="16136" width="10.6640625" style="4" customWidth="1"/>
    <col min="16137" max="16137" width="8.88671875" style="4"/>
    <col min="16138" max="16138" width="10.44140625" style="4" customWidth="1"/>
    <col min="16139" max="16139" width="14.5546875" style="4" customWidth="1"/>
    <col min="16140" max="16140" width="10.6640625" style="4" customWidth="1"/>
    <col min="16141" max="16141" width="11" style="4" bestFit="1" customWidth="1"/>
    <col min="16142" max="16142" width="8.88671875" style="4"/>
    <col min="16143" max="16143" width="10.88671875" style="4" customWidth="1"/>
    <col min="16144" max="16384" width="8.88671875" style="4"/>
  </cols>
  <sheetData>
    <row r="1" spans="2:15" x14ac:dyDescent="0.25">
      <c r="D1" s="4" t="s">
        <v>402</v>
      </c>
    </row>
    <row r="2" spans="2:15" x14ac:dyDescent="0.25">
      <c r="D2" s="4" t="s">
        <v>403</v>
      </c>
    </row>
    <row r="3" spans="2:15" x14ac:dyDescent="0.25">
      <c r="D3" s="4" t="s">
        <v>404</v>
      </c>
    </row>
    <row r="5" spans="2:15" x14ac:dyDescent="0.25">
      <c r="D5" s="50" t="s">
        <v>405</v>
      </c>
    </row>
    <row r="6" spans="2:15" x14ac:dyDescent="0.25">
      <c r="L6" s="41"/>
      <c r="M6" s="41"/>
    </row>
    <row r="7" spans="2:15" ht="13.8" thickBot="1" x14ac:dyDescent="0.3">
      <c r="L7" s="42"/>
      <c r="M7" s="41"/>
      <c r="N7" s="41"/>
    </row>
    <row r="8" spans="2:15" x14ac:dyDescent="0.25">
      <c r="H8" s="43" t="s">
        <v>128</v>
      </c>
      <c r="L8" s="155"/>
    </row>
    <row r="9" spans="2:15" x14ac:dyDescent="0.25">
      <c r="H9" s="45"/>
      <c r="L9" s="155"/>
    </row>
    <row r="10" spans="2:15" x14ac:dyDescent="0.25">
      <c r="B10" s="174" t="s">
        <v>134</v>
      </c>
      <c r="C10" s="174"/>
      <c r="D10" s="174"/>
      <c r="E10" s="174"/>
      <c r="F10" s="174"/>
      <c r="H10" s="49" t="s">
        <v>379</v>
      </c>
      <c r="L10" s="155"/>
    </row>
    <row r="11" spans="2:15" x14ac:dyDescent="0.25">
      <c r="B11" s="174" t="s">
        <v>138</v>
      </c>
      <c r="C11" s="174"/>
      <c r="D11" s="174"/>
      <c r="E11" s="174"/>
      <c r="F11" s="174"/>
      <c r="H11" s="45"/>
      <c r="L11" s="155"/>
    </row>
    <row r="12" spans="2:15" ht="12.75" customHeight="1" x14ac:dyDescent="0.25">
      <c r="B12" s="175" t="s">
        <v>406</v>
      </c>
      <c r="C12" s="175"/>
      <c r="D12" s="175"/>
      <c r="E12" s="175"/>
      <c r="F12" s="175"/>
      <c r="G12" s="156" t="s">
        <v>142</v>
      </c>
      <c r="H12" s="49"/>
      <c r="I12" s="50" t="s">
        <v>143</v>
      </c>
      <c r="L12" s="155"/>
    </row>
    <row r="13" spans="2:15" ht="14.25" customHeight="1" x14ac:dyDescent="0.35">
      <c r="B13" s="175" t="s">
        <v>407</v>
      </c>
      <c r="C13" s="175"/>
      <c r="D13" s="175"/>
      <c r="E13" s="175"/>
      <c r="F13" s="175"/>
      <c r="G13" s="156" t="s">
        <v>145</v>
      </c>
      <c r="H13" s="49"/>
      <c r="I13" s="50" t="s">
        <v>146</v>
      </c>
      <c r="L13" s="155"/>
    </row>
    <row r="14" spans="2:15" ht="15.6" x14ac:dyDescent="0.35">
      <c r="B14" s="174" t="s">
        <v>408</v>
      </c>
      <c r="C14" s="174"/>
      <c r="D14" s="174"/>
      <c r="E14" s="174"/>
      <c r="F14" s="174"/>
      <c r="G14" s="156" t="s">
        <v>151</v>
      </c>
      <c r="H14" s="49"/>
      <c r="I14" s="50" t="s">
        <v>409</v>
      </c>
      <c r="M14" s="9"/>
      <c r="O14" s="50"/>
    </row>
    <row r="15" spans="2:15" ht="15.6" x14ac:dyDescent="0.35">
      <c r="B15" s="174" t="s">
        <v>152</v>
      </c>
      <c r="C15" s="174"/>
      <c r="D15" s="174"/>
      <c r="E15" s="174"/>
      <c r="F15" s="174"/>
      <c r="G15" s="156" t="s">
        <v>153</v>
      </c>
      <c r="H15" s="49">
        <v>100</v>
      </c>
      <c r="I15" s="50" t="s">
        <v>154</v>
      </c>
      <c r="M15" s="9"/>
      <c r="O15" s="50"/>
    </row>
    <row r="16" spans="2:15" ht="15.6" x14ac:dyDescent="0.35">
      <c r="B16" s="174" t="s">
        <v>155</v>
      </c>
      <c r="C16" s="174"/>
      <c r="D16" s="174"/>
      <c r="E16" s="174"/>
      <c r="F16" s="174"/>
      <c r="G16" s="145" t="s">
        <v>156</v>
      </c>
      <c r="H16" s="53">
        <v>10000</v>
      </c>
      <c r="I16" s="50" t="s">
        <v>157</v>
      </c>
      <c r="M16" s="9"/>
      <c r="O16" s="50"/>
    </row>
    <row r="17" spans="1:17" ht="13.8" thickBot="1" x14ac:dyDescent="0.3">
      <c r="B17" s="174" t="s">
        <v>158</v>
      </c>
      <c r="C17" s="174"/>
      <c r="D17" s="174"/>
      <c r="E17" s="174"/>
      <c r="F17" s="174"/>
      <c r="G17" s="9" t="s">
        <v>159</v>
      </c>
      <c r="H17" s="54">
        <v>0.8</v>
      </c>
      <c r="I17" s="50" t="s">
        <v>160</v>
      </c>
      <c r="M17" s="9"/>
      <c r="O17" s="50"/>
    </row>
    <row r="18" spans="1:17" x14ac:dyDescent="0.25">
      <c r="B18" s="155"/>
      <c r="C18" s="155"/>
      <c r="D18" s="155"/>
      <c r="E18" s="155"/>
      <c r="F18" s="155"/>
      <c r="G18" s="145"/>
      <c r="H18" s="55"/>
      <c r="I18" s="50"/>
      <c r="M18" s="9"/>
      <c r="O18" s="50"/>
    </row>
    <row r="19" spans="1:17" x14ac:dyDescent="0.25">
      <c r="B19" s="155"/>
      <c r="C19" s="155"/>
      <c r="D19" s="155"/>
      <c r="E19" s="155"/>
      <c r="F19" s="155"/>
      <c r="G19" s="145"/>
      <c r="H19" s="55"/>
      <c r="I19" s="50"/>
      <c r="M19" s="9"/>
      <c r="O19" s="50"/>
    </row>
    <row r="20" spans="1:17" ht="44.4" x14ac:dyDescent="0.35">
      <c r="G20" s="56" t="s">
        <v>410</v>
      </c>
      <c r="H20" s="8" t="s">
        <v>164</v>
      </c>
      <c r="I20" s="58" t="s">
        <v>165</v>
      </c>
      <c r="K20" s="8" t="s">
        <v>166</v>
      </c>
    </row>
    <row r="21" spans="1:17" x14ac:dyDescent="0.25">
      <c r="D21" s="156" t="s">
        <v>411</v>
      </c>
      <c r="E21" s="156" t="s">
        <v>167</v>
      </c>
      <c r="F21" s="156" t="s">
        <v>167</v>
      </c>
    </row>
    <row r="22" spans="1:17" ht="54" x14ac:dyDescent="0.4">
      <c r="A22" s="59"/>
      <c r="B22" s="59"/>
      <c r="C22" s="59"/>
      <c r="D22" s="59" t="s">
        <v>168</v>
      </c>
      <c r="E22" s="59" t="s">
        <v>169</v>
      </c>
      <c r="F22" s="59" t="s">
        <v>170</v>
      </c>
      <c r="G22" s="61" t="s">
        <v>412</v>
      </c>
      <c r="H22" s="159" t="s">
        <v>175</v>
      </c>
      <c r="I22" s="60" t="s">
        <v>176</v>
      </c>
      <c r="K22" s="60" t="s">
        <v>32</v>
      </c>
    </row>
    <row r="23" spans="1:17" x14ac:dyDescent="0.25">
      <c r="C23" s="155"/>
      <c r="D23" s="55">
        <v>1000000000</v>
      </c>
      <c r="E23" s="155"/>
      <c r="F23" s="155"/>
      <c r="G23" s="64" t="e">
        <f>SQRT((LN(E23/F23))^2/((LN(E23/F23))^2+9.87))</f>
        <v>#DIV/0!</v>
      </c>
      <c r="H23" s="64" t="e">
        <f>t_d*(SQRT(1-MechB^2))</f>
        <v>#DIV/0!</v>
      </c>
      <c r="I23" s="65"/>
      <c r="J23" s="155"/>
      <c r="K23" s="65"/>
    </row>
    <row r="24" spans="1:17" x14ac:dyDescent="0.25">
      <c r="C24" s="155"/>
      <c r="D24" s="55"/>
      <c r="E24" s="155"/>
      <c r="F24" s="155"/>
      <c r="G24" s="64"/>
      <c r="H24" s="64"/>
      <c r="I24" s="155"/>
      <c r="J24" s="155"/>
      <c r="K24" s="155"/>
    </row>
    <row r="25" spans="1:17" x14ac:dyDescent="0.25">
      <c r="C25" s="155"/>
      <c r="D25" s="55">
        <v>100000</v>
      </c>
      <c r="E25" s="155"/>
      <c r="F25" s="155"/>
      <c r="G25" s="64" t="e">
        <f>SQRT((LN(E25/F25))^2/((LN(E25/F25))^2+9.87))</f>
        <v>#DIV/0!</v>
      </c>
      <c r="H25" s="155"/>
      <c r="I25" s="65" t="e">
        <f>(CoilRes+D25)*(G25-MechB)</f>
        <v>#DIV/0!</v>
      </c>
      <c r="J25" s="155"/>
      <c r="K25" s="65" t="e">
        <f>SQRT(4*3.14*mass*(CoilRes+D25)*(G25-MechB)/NatlFreePer)</f>
        <v>#DIV/0!</v>
      </c>
    </row>
    <row r="26" spans="1:17" x14ac:dyDescent="0.25">
      <c r="D26" s="55">
        <v>50000</v>
      </c>
      <c r="E26" s="155"/>
      <c r="F26" s="155"/>
      <c r="G26" s="64" t="e">
        <f>SQRT((LN(E26/F26))^2/((LN(E26/F26))^2+9.87))</f>
        <v>#DIV/0!</v>
      </c>
      <c r="H26" s="155"/>
      <c r="I26" s="65" t="e">
        <f>(CoilRes+D26)*(G26-MechB)</f>
        <v>#DIV/0!</v>
      </c>
      <c r="J26" s="155"/>
      <c r="K26" s="65" t="e">
        <f>SQRT(4*3.14*mass*(CoilRes+D26)*(G26-MechB)/NatlFreePer)</f>
        <v>#DIV/0!</v>
      </c>
      <c r="L26" s="155"/>
      <c r="Q26" s="155"/>
    </row>
    <row r="27" spans="1:17" x14ac:dyDescent="0.25">
      <c r="D27" s="55">
        <v>33000</v>
      </c>
      <c r="E27" s="155"/>
      <c r="F27" s="155"/>
      <c r="G27" s="64" t="e">
        <f>SQRT((LN(E27/F27))^2/((LN(E27/F27))^2+9.87))</f>
        <v>#DIV/0!</v>
      </c>
      <c r="H27" s="155"/>
      <c r="I27" s="65" t="e">
        <f>(CoilRes+D27)*(G27-MechB)</f>
        <v>#DIV/0!</v>
      </c>
      <c r="J27" s="155"/>
      <c r="K27" s="65" t="e">
        <f>SQRT(4*3.14*mass*(CoilRes+D27)*(G27-MechB)/NatlFreePer)</f>
        <v>#DIV/0!</v>
      </c>
      <c r="L27" s="155"/>
      <c r="Q27" s="155"/>
    </row>
    <row r="28" spans="1:17" ht="13.8" thickBot="1" x14ac:dyDescent="0.3">
      <c r="D28" s="55">
        <v>25000</v>
      </c>
      <c r="E28" s="155"/>
      <c r="F28" s="155"/>
      <c r="G28" s="64" t="e">
        <f>SQRT((LN(E28/F28))^2/((LN(E28/F28))^2+9.87))</f>
        <v>#DIV/0!</v>
      </c>
      <c r="H28" s="155"/>
      <c r="I28" s="160" t="e">
        <f>(CoilRes+D28)*(G28-MechB)</f>
        <v>#DIV/0!</v>
      </c>
      <c r="J28" s="155"/>
      <c r="K28" s="160" t="e">
        <f>SQRT(4*3.14*mass*(CoilRes+D28)*(G28-MechB)/NatlFreePer)</f>
        <v>#DIV/0!</v>
      </c>
      <c r="L28" s="155"/>
      <c r="Q28" s="155"/>
    </row>
    <row r="29" spans="1:17" x14ac:dyDescent="0.25">
      <c r="D29" s="66"/>
      <c r="I29" s="55" t="e">
        <f>SUM(I25:I28)/4</f>
        <v>#DIV/0!</v>
      </c>
      <c r="J29" s="50" t="s">
        <v>177</v>
      </c>
      <c r="K29" s="161" t="e">
        <f>SUM(K25:K28)/4</f>
        <v>#DIV/0!</v>
      </c>
      <c r="L29" s="50" t="s">
        <v>178</v>
      </c>
    </row>
    <row r="30" spans="1:17" x14ac:dyDescent="0.25">
      <c r="D30" s="66"/>
      <c r="L30" s="65"/>
    </row>
    <row r="32" spans="1:17" x14ac:dyDescent="0.25">
      <c r="G32" s="4" t="s">
        <v>179</v>
      </c>
    </row>
    <row r="34" spans="2:16" ht="15.6" x14ac:dyDescent="0.35">
      <c r="G34" s="4" t="s">
        <v>413</v>
      </c>
      <c r="I34" s="145" t="s">
        <v>181</v>
      </c>
      <c r="J34" s="66" t="e">
        <f>(GammaAvg/(desiredB-MechB))-CoilRes</f>
        <v>#DIV/0!</v>
      </c>
      <c r="K34" s="50" t="s">
        <v>182</v>
      </c>
    </row>
    <row r="35" spans="2:16" x14ac:dyDescent="0.25">
      <c r="J35" s="66"/>
      <c r="K35" s="50"/>
    </row>
    <row r="36" spans="2:16" ht="15.6" x14ac:dyDescent="0.35">
      <c r="F36" s="145"/>
      <c r="G36" s="4" t="s">
        <v>183</v>
      </c>
      <c r="I36" s="145" t="s">
        <v>184</v>
      </c>
      <c r="J36" s="66" t="e">
        <f>(Ge/G)*(Re+CoilRes)</f>
        <v>#DIV/0!</v>
      </c>
      <c r="K36" s="50" t="s">
        <v>185</v>
      </c>
    </row>
    <row r="37" spans="2:16" x14ac:dyDescent="0.25">
      <c r="L37" s="55"/>
    </row>
    <row r="38" spans="2:16" x14ac:dyDescent="0.25">
      <c r="L38" s="162" t="s">
        <v>414</v>
      </c>
    </row>
    <row r="39" spans="2:16" ht="15.6" x14ac:dyDescent="0.35">
      <c r="G39" s="4" t="s">
        <v>186</v>
      </c>
      <c r="I39" s="9" t="s">
        <v>187</v>
      </c>
      <c r="J39" s="163" t="e">
        <f>1/((1/Rab)-(1/Ramp))</f>
        <v>#DIV/0!</v>
      </c>
      <c r="L39" s="155">
        <v>7500</v>
      </c>
    </row>
    <row r="40" spans="2:16" x14ac:dyDescent="0.25">
      <c r="F40" s="145"/>
      <c r="I40" s="122"/>
      <c r="J40" s="55"/>
      <c r="L40" s="155"/>
    </row>
    <row r="41" spans="2:16" ht="15.6" x14ac:dyDescent="0.35">
      <c r="G41" s="4" t="s">
        <v>188</v>
      </c>
      <c r="I41" s="9" t="s">
        <v>189</v>
      </c>
      <c r="J41" s="163" t="e">
        <f>Re-Rab</f>
        <v>#DIV/0!</v>
      </c>
      <c r="L41" s="155">
        <v>2200</v>
      </c>
      <c r="M41" s="50"/>
    </row>
    <row r="42" spans="2:16" x14ac:dyDescent="0.25">
      <c r="M42" s="50"/>
    </row>
    <row r="43" spans="2:16" x14ac:dyDescent="0.25">
      <c r="M43" s="50"/>
    </row>
    <row r="45" spans="2:16" ht="15" customHeight="1" x14ac:dyDescent="0.35">
      <c r="D45" s="122"/>
      <c r="E45" s="122" t="s">
        <v>415</v>
      </c>
      <c r="F45" s="122"/>
      <c r="G45" s="122"/>
      <c r="H45" s="122"/>
      <c r="I45" s="122"/>
      <c r="J45" s="122"/>
    </row>
    <row r="47" spans="2:16" ht="26.4" x14ac:dyDescent="0.25">
      <c r="B47" s="5"/>
      <c r="C47" s="6"/>
      <c r="D47" s="6" t="s">
        <v>416</v>
      </c>
      <c r="E47" s="6" t="s">
        <v>34</v>
      </c>
      <c r="F47" s="6" t="s">
        <v>50</v>
      </c>
      <c r="G47" s="6" t="s">
        <v>417</v>
      </c>
      <c r="H47" s="6" t="s">
        <v>418</v>
      </c>
      <c r="I47" s="6" t="s">
        <v>419</v>
      </c>
      <c r="J47" s="6" t="s">
        <v>54</v>
      </c>
      <c r="O47" s="6"/>
      <c r="P47" s="8"/>
    </row>
    <row r="48" spans="2:16" ht="15.6" x14ac:dyDescent="0.25">
      <c r="B48" s="156"/>
      <c r="C48" s="38"/>
      <c r="D48" s="38" t="str">
        <f>SerialNumber</f>
        <v>test</v>
      </c>
      <c r="E48" s="21">
        <v>8330</v>
      </c>
      <c r="F48" s="21">
        <v>3348</v>
      </c>
      <c r="G48" s="164" t="e">
        <f>G*(E48*Ramp)/((CoilRes+F48)*(E48+Ramp)+(E48*Ramp))</f>
        <v>#DIV/0!</v>
      </c>
      <c r="H48" s="165" t="e">
        <f>MechB</f>
        <v>#DIV/0!</v>
      </c>
      <c r="I48" s="16" t="e">
        <f>((2*mass*2*3.1415/NatlFreePer)^-1)*((G)^2)/(CoilRes+F48+E48*(Ramp/(E48+Ramp)))</f>
        <v>#DIV/0!</v>
      </c>
      <c r="J48" s="17" t="e">
        <f>H48+I48</f>
        <v>#DIV/0!</v>
      </c>
      <c r="O48" s="18"/>
    </row>
    <row r="50" spans="2:14" ht="15.6" x14ac:dyDescent="0.25">
      <c r="B50" s="9"/>
      <c r="C50" s="38"/>
      <c r="D50" s="38"/>
      <c r="E50" s="11"/>
      <c r="F50" s="11"/>
      <c r="G50" s="38"/>
      <c r="H50" s="166"/>
      <c r="I50" s="13"/>
      <c r="J50" s="14"/>
      <c r="K50" s="38"/>
      <c r="L50" s="167"/>
      <c r="M50" s="16"/>
      <c r="N50" s="17"/>
    </row>
  </sheetData>
  <mergeCells count="8">
    <mergeCell ref="B16:F16"/>
    <mergeCell ref="B17:F17"/>
    <mergeCell ref="B10:F10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EAB8-A144-4360-9A15-928037EC10A9}">
  <dimension ref="A3:K69"/>
  <sheetViews>
    <sheetView tabSelected="1" topLeftCell="A22" workbookViewId="0">
      <selection activeCell="B29" sqref="B29"/>
    </sheetView>
  </sheetViews>
  <sheetFormatPr defaultRowHeight="13.2" x14ac:dyDescent="0.25"/>
  <cols>
    <col min="1" max="1" width="56.77734375" style="72" customWidth="1"/>
    <col min="2" max="2" width="12" style="73" customWidth="1"/>
    <col min="3" max="3" width="12" style="73" hidden="1" customWidth="1"/>
    <col min="4" max="4" width="8.6640625" style="71" customWidth="1"/>
    <col min="5" max="5" width="10" style="72" customWidth="1"/>
    <col min="6" max="6" width="9.88671875" style="72" customWidth="1"/>
    <col min="7" max="7" width="10" style="72" customWidth="1"/>
    <col min="8" max="16384" width="8.88671875" style="72"/>
  </cols>
  <sheetData>
    <row r="3" spans="1:5" x14ac:dyDescent="0.25">
      <c r="A3" s="70" t="s">
        <v>196</v>
      </c>
      <c r="B3" s="71" t="s">
        <v>197</v>
      </c>
      <c r="C3" s="71" t="s">
        <v>198</v>
      </c>
    </row>
    <row r="5" spans="1:5" x14ac:dyDescent="0.25">
      <c r="A5" s="72" t="s">
        <v>199</v>
      </c>
      <c r="B5" s="73">
        <v>1</v>
      </c>
      <c r="C5" s="73">
        <v>1</v>
      </c>
      <c r="D5" s="71">
        <v>1</v>
      </c>
      <c r="E5" s="72" t="s">
        <v>200</v>
      </c>
    </row>
    <row r="7" spans="1:5" x14ac:dyDescent="0.25">
      <c r="A7" s="72" t="s">
        <v>201</v>
      </c>
      <c r="B7" s="73">
        <v>2</v>
      </c>
      <c r="C7" s="73">
        <v>2</v>
      </c>
      <c r="D7" s="71">
        <v>2</v>
      </c>
      <c r="E7" s="72" t="s">
        <v>202</v>
      </c>
    </row>
    <row r="9" spans="1:5" x14ac:dyDescent="0.25">
      <c r="A9" s="72" t="s">
        <v>203</v>
      </c>
      <c r="B9" s="73">
        <v>1</v>
      </c>
      <c r="C9" s="73">
        <v>1</v>
      </c>
      <c r="D9" s="71">
        <v>1</v>
      </c>
      <c r="E9" s="72" t="s">
        <v>204</v>
      </c>
    </row>
    <row r="10" spans="1:5" x14ac:dyDescent="0.25">
      <c r="D10" s="71">
        <v>0.5</v>
      </c>
      <c r="E10" s="72" t="s">
        <v>205</v>
      </c>
    </row>
    <row r="12" spans="1:5" x14ac:dyDescent="0.25">
      <c r="A12" s="72" t="s">
        <v>206</v>
      </c>
      <c r="B12" s="73">
        <v>0.8</v>
      </c>
      <c r="C12" s="73">
        <v>0.8</v>
      </c>
      <c r="D12" s="71">
        <v>0.8</v>
      </c>
    </row>
    <row r="14" spans="1:5" x14ac:dyDescent="0.25">
      <c r="A14" s="72" t="s">
        <v>207</v>
      </c>
      <c r="B14" s="73">
        <v>100</v>
      </c>
      <c r="C14" s="73">
        <v>100</v>
      </c>
      <c r="D14" s="71" t="s">
        <v>208</v>
      </c>
      <c r="E14" s="72" t="s">
        <v>204</v>
      </c>
    </row>
    <row r="15" spans="1:5" x14ac:dyDescent="0.25">
      <c r="D15" s="71" t="s">
        <v>209</v>
      </c>
      <c r="E15" s="72" t="s">
        <v>205</v>
      </c>
    </row>
    <row r="16" spans="1:5" x14ac:dyDescent="0.25">
      <c r="D16" s="71" t="s">
        <v>210</v>
      </c>
      <c r="E16" s="72" t="s">
        <v>211</v>
      </c>
    </row>
    <row r="18" spans="1:11" x14ac:dyDescent="0.25">
      <c r="A18" s="72" t="s">
        <v>212</v>
      </c>
      <c r="D18" s="71">
        <v>819.6</v>
      </c>
      <c r="E18" s="72" t="s">
        <v>213</v>
      </c>
    </row>
    <row r="19" spans="1:11" x14ac:dyDescent="0.25">
      <c r="B19" s="71">
        <v>6553.6</v>
      </c>
      <c r="C19" s="71"/>
      <c r="D19" s="71">
        <v>6553.6</v>
      </c>
      <c r="E19" s="72" t="s">
        <v>214</v>
      </c>
    </row>
    <row r="20" spans="1:11" x14ac:dyDescent="0.25">
      <c r="D20" s="71">
        <v>3276.8</v>
      </c>
      <c r="E20" s="72" t="s">
        <v>215</v>
      </c>
    </row>
    <row r="22" spans="1:11" x14ac:dyDescent="0.25">
      <c r="E22" s="72" t="s">
        <v>216</v>
      </c>
    </row>
    <row r="23" spans="1:11" x14ac:dyDescent="0.25">
      <c r="E23" s="71" t="s">
        <v>217</v>
      </c>
      <c r="F23" s="71" t="s">
        <v>218</v>
      </c>
      <c r="G23" s="71" t="s">
        <v>219</v>
      </c>
      <c r="H23" s="71" t="s">
        <v>220</v>
      </c>
    </row>
    <row r="24" spans="1:11" x14ac:dyDescent="0.25">
      <c r="A24" s="74" t="s">
        <v>221</v>
      </c>
      <c r="C24" s="73">
        <v>7.7999999999999996E-3</v>
      </c>
      <c r="E24" s="73">
        <v>0.25</v>
      </c>
      <c r="F24" s="73">
        <v>1.5599999999999999E-2</v>
      </c>
      <c r="G24" s="75">
        <v>7.7999999999999996E-3</v>
      </c>
      <c r="H24" s="73">
        <v>3.8999999999999998E-3</v>
      </c>
    </row>
    <row r="25" spans="1:11" x14ac:dyDescent="0.25">
      <c r="E25" s="73"/>
      <c r="F25" s="73"/>
      <c r="G25" s="73"/>
      <c r="H25" s="73"/>
    </row>
    <row r="26" spans="1:11" x14ac:dyDescent="0.25">
      <c r="E26" s="73"/>
      <c r="F26" s="73"/>
      <c r="G26" s="73"/>
      <c r="H26" s="73"/>
    </row>
    <row r="28" spans="1:11" x14ac:dyDescent="0.25">
      <c r="A28" s="72" t="s">
        <v>222</v>
      </c>
      <c r="D28" s="71">
        <v>55</v>
      </c>
      <c r="E28" s="72" t="s">
        <v>223</v>
      </c>
      <c r="K28" s="72" t="s">
        <v>56</v>
      </c>
    </row>
    <row r="29" spans="1:11" x14ac:dyDescent="0.25">
      <c r="A29" s="72" t="s">
        <v>224</v>
      </c>
      <c r="B29" s="73">
        <v>61</v>
      </c>
      <c r="C29" s="73">
        <v>67</v>
      </c>
      <c r="D29" s="71">
        <v>61</v>
      </c>
      <c r="E29" s="72" t="s">
        <v>225</v>
      </c>
    </row>
    <row r="30" spans="1:11" x14ac:dyDescent="0.25">
      <c r="A30" s="72" t="s">
        <v>226</v>
      </c>
      <c r="D30" s="71">
        <v>67</v>
      </c>
      <c r="E30" s="72" t="s">
        <v>227</v>
      </c>
      <c r="K30" s="72" t="s">
        <v>228</v>
      </c>
    </row>
    <row r="31" spans="1:11" x14ac:dyDescent="0.25">
      <c r="A31" s="72" t="s">
        <v>229</v>
      </c>
    </row>
    <row r="32" spans="1:11" x14ac:dyDescent="0.25">
      <c r="A32" s="72" t="s">
        <v>230</v>
      </c>
    </row>
    <row r="33" spans="1:6" x14ac:dyDescent="0.25">
      <c r="A33" s="72" t="s">
        <v>231</v>
      </c>
    </row>
    <row r="34" spans="1:6" x14ac:dyDescent="0.25">
      <c r="A34" s="72" t="s">
        <v>232</v>
      </c>
    </row>
    <row r="35" spans="1:6" x14ac:dyDescent="0.25">
      <c r="A35" s="76" t="s">
        <v>233</v>
      </c>
      <c r="D35" s="71">
        <v>1.1000000000000001</v>
      </c>
      <c r="E35" s="72" t="s">
        <v>234</v>
      </c>
      <c r="F35" s="72" t="s">
        <v>235</v>
      </c>
    </row>
    <row r="36" spans="1:6" x14ac:dyDescent="0.25">
      <c r="A36" s="72" t="s">
        <v>236</v>
      </c>
      <c r="D36" s="71">
        <v>-4.9000000000000004</v>
      </c>
      <c r="E36" s="72" t="s">
        <v>237</v>
      </c>
      <c r="F36" s="72" t="s">
        <v>238</v>
      </c>
    </row>
    <row r="37" spans="1:6" x14ac:dyDescent="0.25">
      <c r="A37" s="72" t="s">
        <v>239</v>
      </c>
    </row>
    <row r="38" spans="1:6" x14ac:dyDescent="0.25">
      <c r="C38" s="73">
        <v>31</v>
      </c>
      <c r="E38" s="72" t="s">
        <v>240</v>
      </c>
    </row>
    <row r="40" spans="1:6" x14ac:dyDescent="0.25">
      <c r="A40" s="72" t="s">
        <v>241</v>
      </c>
      <c r="B40" s="71">
        <v>2</v>
      </c>
      <c r="C40" s="73">
        <v>3</v>
      </c>
      <c r="D40" s="71">
        <v>2</v>
      </c>
      <c r="E40" s="72" t="s">
        <v>242</v>
      </c>
    </row>
    <row r="41" spans="1:6" x14ac:dyDescent="0.25">
      <c r="A41" s="72" t="s">
        <v>243</v>
      </c>
      <c r="B41" s="71" t="s">
        <v>244</v>
      </c>
      <c r="C41" s="73" t="s">
        <v>244</v>
      </c>
      <c r="D41" s="71" t="s">
        <v>244</v>
      </c>
      <c r="E41" s="72" t="s">
        <v>245</v>
      </c>
    </row>
    <row r="42" spans="1:6" x14ac:dyDescent="0.25">
      <c r="B42" s="71" t="s">
        <v>246</v>
      </c>
      <c r="D42" s="71" t="s">
        <v>246</v>
      </c>
      <c r="E42" s="72" t="s">
        <v>247</v>
      </c>
    </row>
    <row r="43" spans="1:6" x14ac:dyDescent="0.25">
      <c r="B43" s="71"/>
      <c r="C43" s="73" t="s">
        <v>248</v>
      </c>
      <c r="E43" s="72" t="s">
        <v>249</v>
      </c>
    </row>
    <row r="44" spans="1:6" x14ac:dyDescent="0.25">
      <c r="B44" s="71"/>
      <c r="C44" s="73" t="s">
        <v>250</v>
      </c>
      <c r="D44" s="71" t="s">
        <v>250</v>
      </c>
      <c r="E44" s="72" t="s">
        <v>251</v>
      </c>
    </row>
    <row r="45" spans="1:6" x14ac:dyDescent="0.25">
      <c r="B45" s="71"/>
    </row>
    <row r="46" spans="1:6" x14ac:dyDescent="0.25">
      <c r="B46" s="71"/>
    </row>
    <row r="48" spans="1:6" x14ac:dyDescent="0.25">
      <c r="A48" s="72" t="s">
        <v>252</v>
      </c>
      <c r="D48" s="71">
        <v>1</v>
      </c>
      <c r="E48" s="72" t="s">
        <v>253</v>
      </c>
    </row>
    <row r="50" spans="1:5" x14ac:dyDescent="0.25">
      <c r="A50" s="72" t="s">
        <v>254</v>
      </c>
      <c r="D50" s="71" t="s">
        <v>255</v>
      </c>
    </row>
    <row r="52" spans="1:5" x14ac:dyDescent="0.25">
      <c r="A52" s="72" t="s">
        <v>256</v>
      </c>
      <c r="D52" s="71" t="s">
        <v>255</v>
      </c>
    </row>
    <row r="54" spans="1:5" x14ac:dyDescent="0.25">
      <c r="A54" s="72" t="s">
        <v>257</v>
      </c>
      <c r="D54" s="71" t="s">
        <v>255</v>
      </c>
    </row>
    <row r="56" spans="1:5" x14ac:dyDescent="0.25">
      <c r="A56" s="72" t="s">
        <v>258</v>
      </c>
    </row>
    <row r="58" spans="1:5" x14ac:dyDescent="0.25">
      <c r="A58" s="72" t="s">
        <v>259</v>
      </c>
      <c r="D58" s="71" t="s">
        <v>260</v>
      </c>
    </row>
    <row r="60" spans="1:5" x14ac:dyDescent="0.25">
      <c r="A60" s="72" t="s">
        <v>261</v>
      </c>
      <c r="E60" s="72" t="s">
        <v>262</v>
      </c>
    </row>
    <row r="62" spans="1:5" x14ac:dyDescent="0.25">
      <c r="A62" s="72" t="s">
        <v>263</v>
      </c>
      <c r="D62" s="71" t="s">
        <v>264</v>
      </c>
      <c r="E62" s="72" t="s">
        <v>265</v>
      </c>
    </row>
    <row r="64" spans="1:5" x14ac:dyDescent="0.25">
      <c r="A64" s="72" t="s">
        <v>266</v>
      </c>
    </row>
    <row r="66" spans="1:4" x14ac:dyDescent="0.25">
      <c r="A66" s="72" t="s">
        <v>267</v>
      </c>
      <c r="D66" s="71" t="s">
        <v>255</v>
      </c>
    </row>
    <row r="67" spans="1:4" x14ac:dyDescent="0.25">
      <c r="A67" s="72" t="s">
        <v>268</v>
      </c>
    </row>
    <row r="68" spans="1:4" x14ac:dyDescent="0.25">
      <c r="A68" s="72" t="s">
        <v>269</v>
      </c>
    </row>
    <row r="69" spans="1:4" x14ac:dyDescent="0.25">
      <c r="A69" s="72" t="s">
        <v>270</v>
      </c>
      <c r="D69" s="77" t="s">
        <v>271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1600-9491-44F1-9F0E-271FFE176BEB}">
  <dimension ref="A6:AB97"/>
  <sheetViews>
    <sheetView topLeftCell="A19" workbookViewId="0">
      <selection activeCell="D19" sqref="D19"/>
    </sheetView>
  </sheetViews>
  <sheetFormatPr defaultRowHeight="13.2" x14ac:dyDescent="0.25"/>
  <cols>
    <col min="1" max="1" width="8.88671875" style="4"/>
    <col min="2" max="2" width="10" style="4" customWidth="1"/>
    <col min="3" max="3" width="8.88671875" style="4"/>
    <col min="4" max="4" width="13" style="4" customWidth="1"/>
    <col min="5" max="5" width="8.88671875" style="4"/>
    <col min="6" max="6" width="11.44140625" style="4" bestFit="1" customWidth="1"/>
    <col min="7" max="7" width="14.21875" style="4" customWidth="1"/>
    <col min="8" max="8" width="13" style="4" customWidth="1"/>
    <col min="9" max="9" width="11" style="4" customWidth="1"/>
    <col min="10" max="11" width="8.88671875" style="4"/>
    <col min="12" max="12" width="10.21875" style="4" customWidth="1"/>
    <col min="13" max="13" width="12.109375" style="4" bestFit="1" customWidth="1"/>
    <col min="14" max="17" width="8.88671875" style="4"/>
    <col min="18" max="18" width="14.6640625" style="4" customWidth="1"/>
    <col min="19" max="19" width="22.5546875" style="4" customWidth="1"/>
    <col min="20" max="20" width="16.44140625" style="4" customWidth="1"/>
    <col min="21" max="21" width="24.109375" style="4" customWidth="1"/>
    <col min="22" max="22" width="12.88671875" style="4" customWidth="1"/>
    <col min="23" max="16384" width="8.88671875" style="4"/>
  </cols>
  <sheetData>
    <row r="6" spans="1:21" x14ac:dyDescent="0.25">
      <c r="S6" s="4" t="s">
        <v>344</v>
      </c>
    </row>
    <row r="7" spans="1:21" x14ac:dyDescent="0.25">
      <c r="D7" s="4" t="s">
        <v>32</v>
      </c>
      <c r="E7" s="4" t="s">
        <v>33</v>
      </c>
    </row>
    <row r="8" spans="1:21" ht="14.4" x14ac:dyDescent="0.3">
      <c r="D8" s="4" t="s">
        <v>34</v>
      </c>
      <c r="E8" s="4" t="s">
        <v>35</v>
      </c>
      <c r="S8" t="s">
        <v>399</v>
      </c>
    </row>
    <row r="9" spans="1:21" x14ac:dyDescent="0.25">
      <c r="D9" s="4" t="s">
        <v>6</v>
      </c>
      <c r="E9" s="4" t="s">
        <v>36</v>
      </c>
      <c r="K9" s="4" t="s">
        <v>37</v>
      </c>
    </row>
    <row r="10" spans="1:21" ht="12" customHeight="1" x14ac:dyDescent="0.25">
      <c r="D10" s="4" t="s">
        <v>38</v>
      </c>
      <c r="E10" s="4" t="s">
        <v>39</v>
      </c>
      <c r="K10" s="4" t="s">
        <v>40</v>
      </c>
      <c r="L10" s="4" t="s">
        <v>41</v>
      </c>
    </row>
    <row r="11" spans="1:21" x14ac:dyDescent="0.25">
      <c r="D11" s="4" t="s">
        <v>42</v>
      </c>
      <c r="E11" s="4" t="s">
        <v>43</v>
      </c>
      <c r="K11" s="4" t="s">
        <v>44</v>
      </c>
      <c r="L11" s="4" t="s">
        <v>45</v>
      </c>
      <c r="R11" s="176" t="s">
        <v>193</v>
      </c>
      <c r="S11" s="176"/>
      <c r="T11" s="176"/>
      <c r="U11" s="176"/>
    </row>
    <row r="12" spans="1:21" x14ac:dyDescent="0.25">
      <c r="R12" s="172" t="s">
        <v>194</v>
      </c>
      <c r="S12" s="181"/>
      <c r="T12" s="172" t="s">
        <v>195</v>
      </c>
      <c r="U12" s="172"/>
    </row>
    <row r="13" spans="1:21" x14ac:dyDescent="0.25">
      <c r="B13" s="4" t="s">
        <v>46</v>
      </c>
      <c r="R13" s="180" t="s">
        <v>386</v>
      </c>
      <c r="S13" s="181"/>
      <c r="T13" s="180" t="s">
        <v>387</v>
      </c>
      <c r="U13" s="172"/>
    </row>
    <row r="14" spans="1:21" s="8" customFormat="1" ht="26.4" x14ac:dyDescent="0.25">
      <c r="A14" s="5" t="s">
        <v>47</v>
      </c>
      <c r="B14" s="6" t="s">
        <v>48</v>
      </c>
      <c r="C14" s="6" t="s">
        <v>49</v>
      </c>
      <c r="D14" s="6" t="s">
        <v>34</v>
      </c>
      <c r="E14" s="6" t="s">
        <v>50</v>
      </c>
      <c r="F14" s="6" t="s">
        <v>38</v>
      </c>
      <c r="G14" s="6" t="s">
        <v>42</v>
      </c>
      <c r="H14" s="7" t="s">
        <v>51</v>
      </c>
      <c r="I14" s="6" t="s">
        <v>52</v>
      </c>
      <c r="J14" s="6" t="s">
        <v>40</v>
      </c>
      <c r="K14" s="6" t="s">
        <v>53</v>
      </c>
      <c r="L14" s="6" t="s">
        <v>44</v>
      </c>
      <c r="M14" s="6" t="s">
        <v>54</v>
      </c>
      <c r="N14" s="6" t="s">
        <v>55</v>
      </c>
      <c r="O14" s="6" t="s">
        <v>397</v>
      </c>
      <c r="P14" s="6" t="s">
        <v>397</v>
      </c>
      <c r="Q14" s="6" t="s">
        <v>400</v>
      </c>
      <c r="R14" s="6" t="s">
        <v>383</v>
      </c>
      <c r="S14" s="6" t="s">
        <v>384</v>
      </c>
      <c r="T14" s="6" t="s">
        <v>383</v>
      </c>
      <c r="U14" s="6" t="s">
        <v>385</v>
      </c>
    </row>
    <row r="15" spans="1:21" s="8" customFormat="1" x14ac:dyDescent="0.25">
      <c r="A15" s="5"/>
      <c r="B15" s="6"/>
      <c r="C15" s="6"/>
      <c r="D15" s="6"/>
      <c r="E15" s="6"/>
      <c r="F15" s="6"/>
      <c r="G15" s="6"/>
      <c r="H15" s="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s="8" customFormat="1" ht="15.6" x14ac:dyDescent="0.25">
      <c r="A16" s="9" t="s">
        <v>420</v>
      </c>
      <c r="B16" s="10">
        <v>7.5</v>
      </c>
      <c r="C16" s="10">
        <v>8.3000000000000001E-3</v>
      </c>
      <c r="D16" s="11">
        <v>2000</v>
      </c>
      <c r="E16" s="11">
        <v>0</v>
      </c>
      <c r="F16" s="168">
        <v>100000</v>
      </c>
      <c r="G16" s="12">
        <v>10000</v>
      </c>
      <c r="H16" s="13">
        <f t="shared" ref="H16" si="0">D16*G16/(D16+G16)</f>
        <v>1666.6666666666667</v>
      </c>
      <c r="I16" s="14">
        <f t="shared" ref="I16" si="1">B16*(D16*G16)/((F16+E16)*(D16+G16)+(D16*G16))</f>
        <v>0.12295081967213115</v>
      </c>
      <c r="J16" s="10">
        <v>0.28000000000000003</v>
      </c>
      <c r="K16" s="15">
        <v>1</v>
      </c>
      <c r="L16" s="16">
        <f t="shared" ref="L16" si="2">((2*K16*2*3.1415*C16)^-1)*((100*B16)^2)/(F16+E16+D16*(G16/(D16+G16)))</f>
        <v>53.047973066027289</v>
      </c>
      <c r="M16" s="17">
        <f t="shared" ref="M16" si="3">J16+L16</f>
        <v>53.32797306602729</v>
      </c>
      <c r="N16" s="18">
        <f t="shared" ref="N16" si="4">J16+(1.1*F16/(F16+H16))</f>
        <v>1.3619672131147542</v>
      </c>
      <c r="O16" s="18">
        <f>((1^2)/((((C16^2-1^2)^2)+4*(M16^2)*(C16^2*1^2))^0.5)*I16*100)</f>
        <v>9.2064555818060914</v>
      </c>
      <c r="P16" s="18">
        <f>((1^2)/(((C16^2-1^2)+2*(M16)*(C16*1)))*I16*100)</f>
        <v>-107.20576880615261</v>
      </c>
      <c r="Q16" s="64">
        <f>(((2*3.14*1)^2)/(((((2*3.14)*C16)^2-(2*3.14*1)^2)+2*(M16)*((2*3.14)*C16*(2*3.14)*1))))</f>
        <v>-8.7194025295670716</v>
      </c>
      <c r="R16" s="69">
        <f>(-2*3.1415*C16*M16)</f>
        <v>-2.7809951346229509</v>
      </c>
      <c r="S16" s="69" t="e">
        <f>(2*3.1415*C16*SQRT(1-M16^2))</f>
        <v>#NUM!</v>
      </c>
      <c r="T16" s="69">
        <f>(-2*3.1415*C16*M16)</f>
        <v>-2.7809951346229509</v>
      </c>
      <c r="U16" s="69" t="e">
        <f>-(2*3.1415*C16*SQRT(1-M16^2))</f>
        <v>#NUM!</v>
      </c>
    </row>
    <row r="17" spans="1:22" s="8" customFormat="1" x14ac:dyDescent="0.25">
      <c r="A17" s="5"/>
      <c r="B17" s="6"/>
      <c r="C17" s="6"/>
      <c r="D17" s="6"/>
      <c r="E17" s="6"/>
      <c r="F17" s="6"/>
      <c r="G17" s="6"/>
      <c r="H17" s="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2" ht="15.6" x14ac:dyDescent="0.25">
      <c r="A18" s="9" t="s">
        <v>56</v>
      </c>
      <c r="B18" s="10">
        <v>2.8</v>
      </c>
      <c r="C18" s="10">
        <v>1</v>
      </c>
      <c r="D18" s="11">
        <v>8890</v>
      </c>
      <c r="E18" s="11">
        <v>0</v>
      </c>
      <c r="F18" s="10">
        <v>5500</v>
      </c>
      <c r="G18" s="12">
        <v>100000000</v>
      </c>
      <c r="H18" s="13">
        <f t="shared" ref="H18:H27" si="5">D18*G18/(D18+G18)</f>
        <v>8889.2097492532921</v>
      </c>
      <c r="I18" s="14">
        <f t="shared" ref="I18:I27" si="6">B18*(D18*G18)/((F18+E18)*(D18+G18)+(D18*G18))</f>
        <v>1.7297535953425682</v>
      </c>
      <c r="J18" s="10">
        <v>0.28000000000000003</v>
      </c>
      <c r="K18" s="15">
        <v>1</v>
      </c>
      <c r="L18" s="16">
        <f t="shared" ref="L18:L27" si="7">((2*K18*2*3.1415*C18)^-1)*((100*B18)^2)/(F18+E18+D18*(G18/(D18+G18)))</f>
        <v>0.4335928020836613</v>
      </c>
      <c r="M18" s="169">
        <f t="shared" ref="M18:M27" si="8">J18+L18</f>
        <v>0.71359280208366127</v>
      </c>
      <c r="N18" s="170">
        <f t="shared" ref="N18:N27" si="9">J18+(1.1*F18/(F18+H18))</f>
        <v>0.7004539446868483</v>
      </c>
      <c r="O18" s="18">
        <f>((1^2)/((((C18^2-1^2)^2)+4*(M18^2)*(C18^2*1^2))^0.5)*I18*100)</f>
        <v>121.20032533202128</v>
      </c>
      <c r="P18" s="18">
        <f>((1^2)/(((C18^2-1^2)+2*(M18)*(C18*1)))*I18*100)</f>
        <v>121.20032533202128</v>
      </c>
      <c r="Q18" s="64">
        <f>(((2*3.14*1)^2)/(((((2*3.14)*C18)^2-(2*3.14*1)^2)+2*(M18)*((2*3.14)*C18*(2*3.14)*1))))</f>
        <v>0.70067971333233858</v>
      </c>
      <c r="R18" s="69">
        <f>(-2*3.1415*C18*M18)</f>
        <v>-4.4835035754916444</v>
      </c>
      <c r="S18" s="69">
        <f>(2*3.1415*C18*SQRT(1-M18^2))</f>
        <v>4.4016229607445529</v>
      </c>
      <c r="T18" s="69">
        <f>(-2*3.1415*C18*M18)</f>
        <v>-4.4835035754916444</v>
      </c>
      <c r="U18" s="69">
        <f>-(2*3.1415*C18*SQRT(1-M18^2))</f>
        <v>-4.4016229607445529</v>
      </c>
      <c r="V18" s="4" t="s">
        <v>57</v>
      </c>
    </row>
    <row r="19" spans="1:22" ht="15.6" x14ac:dyDescent="0.25">
      <c r="A19" s="9"/>
      <c r="B19" s="10">
        <v>2.84</v>
      </c>
      <c r="C19" s="10">
        <v>1</v>
      </c>
      <c r="D19" s="11">
        <v>9189</v>
      </c>
      <c r="E19" s="11">
        <v>3196</v>
      </c>
      <c r="F19" s="10">
        <v>5600</v>
      </c>
      <c r="G19" s="12">
        <v>10000</v>
      </c>
      <c r="H19" s="13">
        <f>D19*G19/(D19+G19)</f>
        <v>4788.6810151649379</v>
      </c>
      <c r="I19" s="14">
        <f>B19*(D19*G19)/((F19+E19)*(D19+G19)+(D19*G19))</f>
        <v>1.001116924857238</v>
      </c>
      <c r="J19" s="10">
        <v>0.28000000000000003</v>
      </c>
      <c r="K19" s="15">
        <v>0.96099999999999997</v>
      </c>
      <c r="L19" s="16">
        <f>((2*K19*2*3.1415*C19)^-1)*((100*B19)^2)/(F19+E19+D19*(G19/(D19+G19)))</f>
        <v>0.49166216808972818</v>
      </c>
      <c r="M19" s="17">
        <f>J19+L19</f>
        <v>0.77166216808972821</v>
      </c>
      <c r="N19" s="18">
        <f>J19+(1.1*F19/(F19+H19))</f>
        <v>0.87295304100760296</v>
      </c>
      <c r="O19" s="18"/>
      <c r="P19" s="18"/>
      <c r="Q19" s="18"/>
      <c r="R19" s="69">
        <f t="shared" ref="R19:R39" si="10">(-2*3.1415*C19*M19)</f>
        <v>-4.8483534021077626</v>
      </c>
      <c r="S19" s="69">
        <f t="shared" ref="S19:S39" si="11">(2*3.1415*C19*SQRT(1-M19^2))</f>
        <v>3.9961929743532267</v>
      </c>
      <c r="T19" s="69">
        <f t="shared" ref="T19:T41" si="12">(-2*3.1415*C19*M19)</f>
        <v>-4.8483534021077626</v>
      </c>
      <c r="U19" s="69">
        <f t="shared" ref="U19:U41" si="13">-(2*3.1415*C19*SQRT(1-M19^2))</f>
        <v>-3.9961929743532267</v>
      </c>
      <c r="V19" s="4" t="s">
        <v>190</v>
      </c>
    </row>
    <row r="20" spans="1:22" ht="15.6" x14ac:dyDescent="0.25">
      <c r="B20" s="10">
        <v>2.8</v>
      </c>
      <c r="C20" s="10">
        <v>1</v>
      </c>
      <c r="D20" s="11">
        <v>6200</v>
      </c>
      <c r="E20" s="11">
        <v>2300</v>
      </c>
      <c r="F20" s="10">
        <v>5500</v>
      </c>
      <c r="G20" s="12">
        <v>100000</v>
      </c>
      <c r="H20" s="13">
        <f t="shared" si="5"/>
        <v>5838.0414312617704</v>
      </c>
      <c r="I20" s="14">
        <f t="shared" si="6"/>
        <v>1.1985970338866028</v>
      </c>
      <c r="J20" s="10">
        <v>0.28000000000000003</v>
      </c>
      <c r="K20" s="15">
        <v>1</v>
      </c>
      <c r="L20" s="16">
        <f t="shared" si="7"/>
        <v>0.45747461660050448</v>
      </c>
      <c r="M20" s="17">
        <f t="shared" si="8"/>
        <v>0.73747461660050451</v>
      </c>
      <c r="N20" s="18">
        <f t="shared" si="9"/>
        <v>0.81360186031060555</v>
      </c>
      <c r="O20" s="18"/>
      <c r="P20" s="18"/>
      <c r="Q20" s="18"/>
      <c r="R20" s="69">
        <f t="shared" si="10"/>
        <v>-4.6335530161009704</v>
      </c>
      <c r="S20" s="69">
        <f t="shared" si="11"/>
        <v>4.2433801911897557</v>
      </c>
      <c r="T20" s="69">
        <f t="shared" si="12"/>
        <v>-4.6335530161009704</v>
      </c>
      <c r="U20" s="69">
        <f t="shared" si="13"/>
        <v>-4.2433801911897557</v>
      </c>
      <c r="V20" s="4" t="s">
        <v>58</v>
      </c>
    </row>
    <row r="21" spans="1:22" ht="15.6" x14ac:dyDescent="0.25">
      <c r="B21" s="10">
        <v>2.8</v>
      </c>
      <c r="C21" s="10">
        <v>1</v>
      </c>
      <c r="D21" s="11">
        <v>13000</v>
      </c>
      <c r="E21" s="11">
        <v>0</v>
      </c>
      <c r="F21" s="10">
        <v>5500</v>
      </c>
      <c r="G21" s="12">
        <v>100000</v>
      </c>
      <c r="H21" s="13">
        <f t="shared" si="5"/>
        <v>11504.424778761062</v>
      </c>
      <c r="I21" s="14">
        <f t="shared" si="6"/>
        <v>1.8943533697632058</v>
      </c>
      <c r="J21" s="10">
        <v>0.28000000000000003</v>
      </c>
      <c r="K21" s="15">
        <v>1</v>
      </c>
      <c r="L21" s="16">
        <f t="shared" si="7"/>
        <v>0.36690789933341389</v>
      </c>
      <c r="M21" s="17">
        <f t="shared" si="8"/>
        <v>0.64690789933341386</v>
      </c>
      <c r="N21" s="18">
        <f t="shared" si="9"/>
        <v>0.63578974759302631</v>
      </c>
      <c r="O21" s="18"/>
      <c r="P21" s="18"/>
      <c r="Q21" s="18"/>
      <c r="R21" s="69">
        <f t="shared" si="10"/>
        <v>-4.0645223315118395</v>
      </c>
      <c r="S21" s="69">
        <f t="shared" si="11"/>
        <v>4.7912156303637143</v>
      </c>
      <c r="T21" s="69">
        <f t="shared" si="12"/>
        <v>-4.0645223315118395</v>
      </c>
      <c r="U21" s="69">
        <f t="shared" si="13"/>
        <v>-4.7912156303637143</v>
      </c>
      <c r="V21" s="4" t="s">
        <v>59</v>
      </c>
    </row>
    <row r="22" spans="1:22" ht="15.6" x14ac:dyDescent="0.25">
      <c r="B22" s="10">
        <v>2.8</v>
      </c>
      <c r="C22" s="10">
        <v>1</v>
      </c>
      <c r="D22" s="11">
        <v>7500</v>
      </c>
      <c r="E22" s="11">
        <v>2200</v>
      </c>
      <c r="F22" s="10">
        <v>5500</v>
      </c>
      <c r="G22" s="12">
        <v>100000</v>
      </c>
      <c r="H22" s="13">
        <f t="shared" si="5"/>
        <v>6976.7441860465115</v>
      </c>
      <c r="I22" s="14">
        <f t="shared" si="6"/>
        <v>1.3310093487561399</v>
      </c>
      <c r="J22" s="10">
        <v>0.28000000000000003</v>
      </c>
      <c r="K22" s="15">
        <v>1</v>
      </c>
      <c r="L22" s="16">
        <f t="shared" si="7"/>
        <v>0.42509821632510814</v>
      </c>
      <c r="M22" s="17">
        <f t="shared" si="8"/>
        <v>0.70509821632510816</v>
      </c>
      <c r="N22" s="18">
        <f t="shared" si="9"/>
        <v>0.76490214352283337</v>
      </c>
      <c r="O22" s="18"/>
      <c r="P22" s="18"/>
      <c r="Q22" s="18"/>
      <c r="R22" s="69">
        <f t="shared" si="10"/>
        <v>-4.4301320931706547</v>
      </c>
      <c r="S22" s="69">
        <f t="shared" si="11"/>
        <v>4.4553359735332405</v>
      </c>
      <c r="T22" s="69">
        <f t="shared" si="12"/>
        <v>-4.4301320931706547</v>
      </c>
      <c r="U22" s="69">
        <f t="shared" si="13"/>
        <v>-4.4553359735332405</v>
      </c>
      <c r="V22" s="4" t="s">
        <v>60</v>
      </c>
    </row>
    <row r="23" spans="1:22" ht="15.6" x14ac:dyDescent="0.25">
      <c r="B23" s="10">
        <v>2.8</v>
      </c>
      <c r="C23" s="10">
        <v>1</v>
      </c>
      <c r="D23" s="11">
        <v>1000000000</v>
      </c>
      <c r="E23" s="11">
        <v>0</v>
      </c>
      <c r="F23" s="10">
        <v>5500</v>
      </c>
      <c r="G23" s="12">
        <v>100000</v>
      </c>
      <c r="H23" s="13">
        <f t="shared" si="5"/>
        <v>99990.000999900003</v>
      </c>
      <c r="I23" s="14">
        <f t="shared" si="6"/>
        <v>2.6540145999238862</v>
      </c>
      <c r="J23" s="10">
        <v>0.28000000000000003</v>
      </c>
      <c r="K23" s="15">
        <v>1</v>
      </c>
      <c r="L23" s="16">
        <f t="shared" si="7"/>
        <v>5.9143593855442149E-2</v>
      </c>
      <c r="M23" s="17">
        <f t="shared" si="8"/>
        <v>0.33914359385544218</v>
      </c>
      <c r="N23" s="18">
        <f t="shared" si="9"/>
        <v>0.33735140717275885</v>
      </c>
      <c r="O23" s="18"/>
      <c r="P23" s="18"/>
      <c r="Q23" s="18"/>
      <c r="R23" s="69">
        <f t="shared" si="10"/>
        <v>-2.1308392001937433</v>
      </c>
      <c r="S23" s="69">
        <f t="shared" si="11"/>
        <v>5.9106356090455874</v>
      </c>
      <c r="T23" s="69">
        <f t="shared" si="12"/>
        <v>-2.1308392001937433</v>
      </c>
      <c r="U23" s="69">
        <f t="shared" si="13"/>
        <v>-5.9106356090455874</v>
      </c>
      <c r="V23" s="4" t="s">
        <v>61</v>
      </c>
    </row>
    <row r="24" spans="1:22" ht="15.6" x14ac:dyDescent="0.25">
      <c r="B24" s="10">
        <v>2.8</v>
      </c>
      <c r="C24" s="10">
        <v>1</v>
      </c>
      <c r="D24" s="11">
        <v>6134</v>
      </c>
      <c r="E24" s="11">
        <v>0</v>
      </c>
      <c r="F24" s="10">
        <v>5500</v>
      </c>
      <c r="G24" s="12">
        <v>100000</v>
      </c>
      <c r="H24" s="13">
        <f t="shared" si="5"/>
        <v>5779.4863097593607</v>
      </c>
      <c r="I24" s="14">
        <f t="shared" si="6"/>
        <v>1.4346895969300089</v>
      </c>
      <c r="J24" s="10">
        <v>0.28000000000000003</v>
      </c>
      <c r="K24" s="15">
        <v>1</v>
      </c>
      <c r="L24" s="16">
        <f t="shared" si="7"/>
        <v>0.55313314840854466</v>
      </c>
      <c r="M24" s="17">
        <f t="shared" si="8"/>
        <v>0.83313314840854469</v>
      </c>
      <c r="N24" s="18">
        <f t="shared" si="9"/>
        <v>0.8163719440632109</v>
      </c>
      <c r="O24" s="18"/>
      <c r="P24" s="18"/>
      <c r="Q24" s="18"/>
      <c r="R24" s="69">
        <f t="shared" si="10"/>
        <v>-5.2345755714508861</v>
      </c>
      <c r="S24" s="69">
        <f t="shared" si="11"/>
        <v>3.474954328731477</v>
      </c>
      <c r="T24" s="69">
        <f t="shared" si="12"/>
        <v>-5.2345755714508861</v>
      </c>
      <c r="U24" s="69">
        <f t="shared" si="13"/>
        <v>-3.474954328731477</v>
      </c>
      <c r="V24" s="4" t="s">
        <v>62</v>
      </c>
    </row>
    <row r="25" spans="1:22" ht="15.6" x14ac:dyDescent="0.25">
      <c r="B25" s="10">
        <v>2.8</v>
      </c>
      <c r="C25" s="10">
        <v>1</v>
      </c>
      <c r="D25" s="11">
        <v>20000</v>
      </c>
      <c r="E25" s="11">
        <v>0</v>
      </c>
      <c r="F25" s="10">
        <v>5500</v>
      </c>
      <c r="G25" s="12">
        <v>10000</v>
      </c>
      <c r="H25" s="13">
        <f t="shared" si="5"/>
        <v>6666.666666666667</v>
      </c>
      <c r="I25" s="14">
        <f t="shared" si="6"/>
        <v>1.5342465753424657</v>
      </c>
      <c r="J25" s="10">
        <v>0.28000000000000003</v>
      </c>
      <c r="K25" s="15">
        <v>1</v>
      </c>
      <c r="L25" s="16">
        <f t="shared" si="7"/>
        <v>0.51279926917383067</v>
      </c>
      <c r="M25" s="17">
        <f t="shared" si="8"/>
        <v>0.7927992691738307</v>
      </c>
      <c r="N25" s="18">
        <f t="shared" si="9"/>
        <v>0.77726027397260278</v>
      </c>
      <c r="O25" s="18"/>
      <c r="P25" s="18"/>
      <c r="Q25" s="18"/>
      <c r="R25" s="69">
        <f t="shared" si="10"/>
        <v>-4.9811578082191783</v>
      </c>
      <c r="S25" s="69">
        <f t="shared" si="11"/>
        <v>3.8293806143575115</v>
      </c>
      <c r="T25" s="69">
        <f t="shared" si="12"/>
        <v>-4.9811578082191783</v>
      </c>
      <c r="U25" s="69">
        <f t="shared" si="13"/>
        <v>-3.8293806143575115</v>
      </c>
    </row>
    <row r="26" spans="1:22" ht="15.6" x14ac:dyDescent="0.25">
      <c r="B26" s="10">
        <v>2.8</v>
      </c>
      <c r="C26" s="10">
        <v>1</v>
      </c>
      <c r="D26" s="11">
        <v>6200</v>
      </c>
      <c r="E26" s="11">
        <v>5000</v>
      </c>
      <c r="F26" s="10">
        <v>5500</v>
      </c>
      <c r="G26" s="12">
        <v>100000</v>
      </c>
      <c r="H26" s="13">
        <f t="shared" si="5"/>
        <v>5838.0414312617704</v>
      </c>
      <c r="I26" s="14">
        <f t="shared" si="6"/>
        <v>1.0005187020920985</v>
      </c>
      <c r="J26" s="10">
        <v>0.28000000000000003</v>
      </c>
      <c r="K26" s="15">
        <v>1</v>
      </c>
      <c r="L26" s="16">
        <f t="shared" si="7"/>
        <v>0.38187305382946612</v>
      </c>
      <c r="M26" s="17">
        <f t="shared" si="8"/>
        <v>0.66187305382946615</v>
      </c>
      <c r="N26" s="18">
        <f t="shared" si="9"/>
        <v>0.81360186031060555</v>
      </c>
      <c r="O26" s="18"/>
      <c r="P26" s="18"/>
      <c r="Q26" s="18"/>
      <c r="R26" s="69">
        <f t="shared" si="10"/>
        <v>-4.1585483972105362</v>
      </c>
      <c r="S26" s="69">
        <f t="shared" si="11"/>
        <v>4.7098369640633733</v>
      </c>
      <c r="T26" s="69">
        <f t="shared" si="12"/>
        <v>-4.1585483972105362</v>
      </c>
      <c r="U26" s="69">
        <f t="shared" si="13"/>
        <v>-4.7098369640633733</v>
      </c>
      <c r="V26" s="4" t="s">
        <v>63</v>
      </c>
    </row>
    <row r="27" spans="1:22" ht="15.6" x14ac:dyDescent="0.25">
      <c r="B27" s="10">
        <v>2.8</v>
      </c>
      <c r="C27" s="10">
        <v>1</v>
      </c>
      <c r="D27" s="11">
        <v>6200</v>
      </c>
      <c r="E27" s="11">
        <v>4900</v>
      </c>
      <c r="F27" s="10">
        <v>5500</v>
      </c>
      <c r="G27" s="12">
        <v>100000</v>
      </c>
      <c r="H27" s="13">
        <f t="shared" si="5"/>
        <v>5838.0414312617704</v>
      </c>
      <c r="I27" s="14">
        <f t="shared" si="6"/>
        <v>1.0066802746335126</v>
      </c>
      <c r="J27" s="10">
        <v>0.28000000000000003</v>
      </c>
      <c r="K27" s="15">
        <v>1</v>
      </c>
      <c r="L27" s="16">
        <f t="shared" si="7"/>
        <v>0.38422477251084769</v>
      </c>
      <c r="M27" s="17">
        <f t="shared" si="8"/>
        <v>0.66422477251084766</v>
      </c>
      <c r="N27" s="18">
        <f t="shared" si="9"/>
        <v>0.81360186031060555</v>
      </c>
      <c r="O27" s="18"/>
      <c r="P27" s="18"/>
      <c r="Q27" s="18"/>
      <c r="R27" s="69">
        <f t="shared" si="10"/>
        <v>-4.1733242456856559</v>
      </c>
      <c r="S27" s="69">
        <f t="shared" si="11"/>
        <v>4.6967492737394716</v>
      </c>
      <c r="T27" s="69">
        <f t="shared" si="12"/>
        <v>-4.1733242456856559</v>
      </c>
      <c r="U27" s="69">
        <f t="shared" si="13"/>
        <v>-4.6967492737394716</v>
      </c>
      <c r="V27" s="4" t="s">
        <v>63</v>
      </c>
    </row>
    <row r="28" spans="1:22" ht="15.6" x14ac:dyDescent="0.25">
      <c r="B28" s="10"/>
      <c r="C28" s="10"/>
      <c r="D28" s="11"/>
      <c r="E28" s="11"/>
      <c r="F28" s="10"/>
      <c r="G28" s="12"/>
      <c r="H28" s="13"/>
      <c r="I28" s="14"/>
      <c r="J28" s="10"/>
      <c r="K28" s="10"/>
      <c r="L28" s="16"/>
      <c r="M28" s="17"/>
      <c r="N28" s="18"/>
      <c r="O28" s="18"/>
      <c r="P28" s="18"/>
      <c r="Q28" s="18"/>
      <c r="R28" s="69">
        <f t="shared" si="10"/>
        <v>0</v>
      </c>
      <c r="S28" s="69">
        <f t="shared" si="11"/>
        <v>0</v>
      </c>
      <c r="T28" s="69">
        <f t="shared" si="12"/>
        <v>0</v>
      </c>
      <c r="U28" s="69">
        <f t="shared" si="13"/>
        <v>0</v>
      </c>
    </row>
    <row r="29" spans="1:22" ht="15.6" x14ac:dyDescent="0.25">
      <c r="A29" s="9" t="s">
        <v>64</v>
      </c>
      <c r="B29" s="19">
        <f>0.39*0.038*SQRT(F29)</f>
        <v>1.0960790245233234</v>
      </c>
      <c r="C29" s="10">
        <v>2</v>
      </c>
      <c r="D29" s="11">
        <v>7875</v>
      </c>
      <c r="E29" s="11">
        <v>9869</v>
      </c>
      <c r="F29" s="10">
        <v>5470</v>
      </c>
      <c r="G29" s="12">
        <v>10000</v>
      </c>
      <c r="H29" s="13">
        <f t="shared" ref="H29:H41" si="14">D29*G29/(D29+G29)</f>
        <v>4405.5944055944055</v>
      </c>
      <c r="I29" s="14">
        <f t="shared" ref="I29:I41" si="15">B29*(D29*G29)/((F29+E29)*(D29+G29)+(D29*G29))</f>
        <v>0.24456717212489912</v>
      </c>
      <c r="J29" s="10">
        <v>0.46</v>
      </c>
      <c r="K29" s="10">
        <v>7.2800000000000004E-2</v>
      </c>
      <c r="L29" s="16">
        <f t="shared" ref="L29:L41" si="16">((2*K29*2*3.1415*C29)^-1)*((100*B29)^2)/(F29+E29+D29*(G29/(D29+G29)))</f>
        <v>0.33256541763163494</v>
      </c>
      <c r="M29" s="17">
        <f t="shared" ref="M29:M41" si="17">J29+L29</f>
        <v>0.79256541763163502</v>
      </c>
      <c r="N29" s="18">
        <f t="shared" ref="N29:N41" si="18">J29+(1.23*F29/(F29+H29+ E29))</f>
        <v>0.8007565565435808</v>
      </c>
      <c r="O29" s="18"/>
      <c r="P29" s="18"/>
      <c r="Q29" s="18"/>
      <c r="R29" s="69">
        <f t="shared" si="10"/>
        <v>-9.9593770379591255</v>
      </c>
      <c r="S29" s="69">
        <f t="shared" si="11"/>
        <v>7.6625821376199621</v>
      </c>
      <c r="T29" s="69">
        <f t="shared" si="12"/>
        <v>-9.9593770379591255</v>
      </c>
      <c r="U29" s="69">
        <f t="shared" si="13"/>
        <v>-7.6625821376199621</v>
      </c>
      <c r="V29" s="4" t="s">
        <v>65</v>
      </c>
    </row>
    <row r="30" spans="1:22" ht="15.6" x14ac:dyDescent="0.25">
      <c r="B30" s="19">
        <f>0.39*0.038*SQRT(F30)</f>
        <v>1.0960790245233234</v>
      </c>
      <c r="C30" s="10">
        <v>2</v>
      </c>
      <c r="D30" s="11">
        <v>12100</v>
      </c>
      <c r="E30" s="11">
        <v>8040</v>
      </c>
      <c r="F30" s="10">
        <v>5470</v>
      </c>
      <c r="G30" s="12">
        <v>10000</v>
      </c>
      <c r="H30" s="13">
        <f t="shared" si="14"/>
        <v>5475.1131221719461</v>
      </c>
      <c r="I30" s="14">
        <f t="shared" si="15"/>
        <v>0.31609801908931295</v>
      </c>
      <c r="J30" s="10">
        <v>0.46</v>
      </c>
      <c r="K30" s="10">
        <v>7.2800000000000004E-2</v>
      </c>
      <c r="L30" s="16">
        <f t="shared" si="16"/>
        <v>0.34586937892906988</v>
      </c>
      <c r="M30" s="17">
        <f t="shared" si="17"/>
        <v>0.80586937892906985</v>
      </c>
      <c r="N30" s="18">
        <f t="shared" si="18"/>
        <v>0.81438819651501171</v>
      </c>
      <c r="O30" s="18"/>
      <c r="P30" s="18"/>
      <c r="Q30" s="18"/>
      <c r="R30" s="69">
        <f t="shared" si="10"/>
        <v>-10.126554615622693</v>
      </c>
      <c r="S30" s="69">
        <f t="shared" si="11"/>
        <v>7.4402451315000873</v>
      </c>
      <c r="T30" s="69">
        <f t="shared" si="12"/>
        <v>-10.126554615622693</v>
      </c>
      <c r="U30" s="69">
        <f t="shared" si="13"/>
        <v>-7.4402451315000873</v>
      </c>
      <c r="V30" s="4" t="s">
        <v>66</v>
      </c>
    </row>
    <row r="31" spans="1:22" ht="15.6" x14ac:dyDescent="0.25">
      <c r="B31" s="19">
        <f>0.39*0.038*SQRT(F31)</f>
        <v>0.33468272139445737</v>
      </c>
      <c r="C31" s="10">
        <v>2</v>
      </c>
      <c r="D31" s="11">
        <v>12100</v>
      </c>
      <c r="E31" s="11">
        <v>8040</v>
      </c>
      <c r="F31" s="10">
        <v>510</v>
      </c>
      <c r="G31" s="12">
        <v>10000</v>
      </c>
      <c r="H31" s="13">
        <f>D31*G31/(D31+G31)</f>
        <v>5475.1131221719461</v>
      </c>
      <c r="I31" s="14">
        <f>B31*(D31*G31)/((F31+E31)*(D31+G31)+(D31*G31))</f>
        <v>0.13065318929757333</v>
      </c>
      <c r="J31" s="10">
        <v>0.46</v>
      </c>
      <c r="K31" s="10">
        <v>7.2800000000000004E-2</v>
      </c>
      <c r="L31" s="16">
        <f>((2*K31*2*3.1415*C31)^-1)*((100*B31)^2)/(F31+E31+D31*(G31/(D31+G31)))</f>
        <v>4.3651762155124924E-2</v>
      </c>
      <c r="M31" s="17">
        <f>J31+L31</f>
        <v>0.50365176215512497</v>
      </c>
      <c r="N31" s="18">
        <f>J31+(1.23*F31/(F31+H31+ E31))</f>
        <v>0.50472691197109265</v>
      </c>
      <c r="O31" s="18"/>
      <c r="P31" s="18"/>
      <c r="Q31" s="18"/>
      <c r="R31" s="69">
        <f t="shared" si="10"/>
        <v>-6.3288880432413004</v>
      </c>
      <c r="S31" s="69">
        <f t="shared" si="11"/>
        <v>10.855852437101259</v>
      </c>
      <c r="T31" s="69">
        <f t="shared" si="12"/>
        <v>-6.3288880432413004</v>
      </c>
      <c r="U31" s="69">
        <f t="shared" si="13"/>
        <v>-10.855852437101259</v>
      </c>
      <c r="V31" s="20" t="s">
        <v>67</v>
      </c>
    </row>
    <row r="32" spans="1:22" ht="15.6" x14ac:dyDescent="0.25">
      <c r="B32" s="19">
        <f>0.39*0.038*SQRT(F32)</f>
        <v>1.0960790245233234</v>
      </c>
      <c r="C32" s="10">
        <v>2</v>
      </c>
      <c r="D32" s="11">
        <v>1000000</v>
      </c>
      <c r="E32" s="11">
        <v>7000</v>
      </c>
      <c r="F32" s="10">
        <v>5470</v>
      </c>
      <c r="G32" s="12">
        <v>10000</v>
      </c>
      <c r="H32" s="13">
        <f t="shared" si="14"/>
        <v>9900.9900990099013</v>
      </c>
      <c r="I32" s="14">
        <f t="shared" si="15"/>
        <v>0.48510448225615893</v>
      </c>
      <c r="J32" s="10">
        <v>0.46</v>
      </c>
      <c r="K32" s="10">
        <v>7.2800000000000004E-2</v>
      </c>
      <c r="L32" s="16">
        <f t="shared" si="16"/>
        <v>0.29352162132307064</v>
      </c>
      <c r="M32" s="17">
        <f t="shared" si="17"/>
        <v>0.75352162132307066</v>
      </c>
      <c r="N32" s="18">
        <f t="shared" si="18"/>
        <v>0.76075110534771428</v>
      </c>
      <c r="O32" s="18"/>
      <c r="P32" s="18"/>
      <c r="Q32" s="18"/>
      <c r="R32" s="69">
        <f t="shared" si="10"/>
        <v>-9.4687526935457065</v>
      </c>
      <c r="S32" s="69">
        <f t="shared" si="11"/>
        <v>8.2611789974840111</v>
      </c>
      <c r="T32" s="69">
        <f t="shared" si="12"/>
        <v>-9.4687526935457065</v>
      </c>
      <c r="U32" s="69">
        <f t="shared" si="13"/>
        <v>-8.2611789974840111</v>
      </c>
    </row>
    <row r="33" spans="1:28" ht="15.6" x14ac:dyDescent="0.25">
      <c r="B33" s="19">
        <f>0.39*0.038*SQRT(F33)</f>
        <v>0.33599263920508737</v>
      </c>
      <c r="C33" s="10">
        <v>2</v>
      </c>
      <c r="D33" s="11">
        <v>10000000</v>
      </c>
      <c r="E33" s="11">
        <v>45000</v>
      </c>
      <c r="F33" s="10">
        <v>514</v>
      </c>
      <c r="G33" s="12">
        <v>10000</v>
      </c>
      <c r="H33" s="13">
        <f t="shared" si="14"/>
        <v>9990.0099900099904</v>
      </c>
      <c r="I33" s="14">
        <f t="shared" si="15"/>
        <v>6.0474366137379706E-2</v>
      </c>
      <c r="J33" s="10">
        <v>0.72</v>
      </c>
      <c r="K33" s="10">
        <v>7.2800000000000004E-2</v>
      </c>
      <c r="L33" s="16">
        <f t="shared" si="16"/>
        <v>1.1116721744702109E-2</v>
      </c>
      <c r="M33" s="17">
        <f t="shared" si="17"/>
        <v>0.7311167217447021</v>
      </c>
      <c r="N33" s="18">
        <f t="shared" si="18"/>
        <v>0.73139052836207308</v>
      </c>
      <c r="O33" s="18"/>
      <c r="P33" s="18"/>
      <c r="Q33" s="18"/>
      <c r="R33" s="69">
        <f t="shared" si="10"/>
        <v>-9.1872127254439278</v>
      </c>
      <c r="S33" s="69">
        <f t="shared" si="11"/>
        <v>8.5731836757088793</v>
      </c>
      <c r="T33" s="69">
        <f t="shared" si="12"/>
        <v>-9.1872127254439278</v>
      </c>
      <c r="U33" s="69">
        <f t="shared" si="13"/>
        <v>-8.5731836757088793</v>
      </c>
    </row>
    <row r="34" spans="1:28" ht="15.6" x14ac:dyDescent="0.25">
      <c r="A34" s="9" t="s">
        <v>68</v>
      </c>
      <c r="B34" s="19">
        <f t="shared" ref="B34:B41" si="19">0.39*0.047*SQRT(F34)</f>
        <v>0.41758620559113296</v>
      </c>
      <c r="C34" s="10">
        <v>2</v>
      </c>
      <c r="D34" s="21">
        <v>67000</v>
      </c>
      <c r="E34" s="21">
        <v>8000</v>
      </c>
      <c r="F34" s="10">
        <v>519</v>
      </c>
      <c r="G34" s="12">
        <v>2000000000</v>
      </c>
      <c r="H34" s="13">
        <f t="shared" si="14"/>
        <v>66997.755575188232</v>
      </c>
      <c r="I34" s="14">
        <f t="shared" si="15"/>
        <v>0.37047855566185445</v>
      </c>
      <c r="J34" s="10">
        <v>0.72</v>
      </c>
      <c r="K34" s="10">
        <v>7.2800000000000004E-2</v>
      </c>
      <c r="L34" s="16">
        <f t="shared" si="16"/>
        <v>1.2620906063036256E-2</v>
      </c>
      <c r="M34" s="17">
        <f t="shared" si="17"/>
        <v>0.7326209060630362</v>
      </c>
      <c r="N34" s="18">
        <f t="shared" si="18"/>
        <v>0.72845335575049175</v>
      </c>
      <c r="O34" s="18"/>
      <c r="P34" s="18"/>
      <c r="Q34" s="18"/>
      <c r="R34" s="69">
        <f t="shared" si="10"/>
        <v>-9.2061143055881143</v>
      </c>
      <c r="S34" s="69">
        <f t="shared" si="11"/>
        <v>8.5528834548616359</v>
      </c>
      <c r="T34" s="69">
        <f t="shared" si="12"/>
        <v>-9.2061143055881143</v>
      </c>
      <c r="U34" s="69">
        <f t="shared" si="13"/>
        <v>-8.5528834548616359</v>
      </c>
      <c r="V34" s="4" t="s">
        <v>69</v>
      </c>
    </row>
    <row r="35" spans="1:28" ht="15.6" x14ac:dyDescent="0.25">
      <c r="A35" s="9" t="s">
        <v>68</v>
      </c>
      <c r="B35" s="19">
        <f>0.39*0.047*SQRT(F35)</f>
        <v>0.41758620559113296</v>
      </c>
      <c r="C35" s="10">
        <v>2</v>
      </c>
      <c r="D35" s="21">
        <v>100000000</v>
      </c>
      <c r="E35" s="21">
        <v>0</v>
      </c>
      <c r="F35" s="10">
        <v>519</v>
      </c>
      <c r="G35" s="12">
        <v>10000</v>
      </c>
      <c r="H35" s="13">
        <f>D35*G35/(D35+G35)</f>
        <v>9999.0000999900003</v>
      </c>
      <c r="I35" s="14">
        <f>B35*(D35*G35)/((F35+E35)*(D35+G35)+(D35*G35))</f>
        <v>0.39698083968112463</v>
      </c>
      <c r="J35" s="10">
        <v>0.72</v>
      </c>
      <c r="K35" s="10">
        <v>7.2800000000000004E-2</v>
      </c>
      <c r="L35" s="16">
        <f>((2*K35*2*3.1415*C35)^-1)*((100*B35)^2)/(F35+E35+D35*(G35/(D35+G35)))</f>
        <v>9.0615123525300795E-2</v>
      </c>
      <c r="M35" s="17">
        <f>J35+L35</f>
        <v>0.81061512352530074</v>
      </c>
      <c r="N35" s="18">
        <f>J35+(1.23*F35/(F35+H35+ E35))</f>
        <v>0.7806930969700796</v>
      </c>
      <c r="O35" s="18"/>
      <c r="P35" s="18"/>
      <c r="Q35" s="18"/>
      <c r="R35" s="69">
        <f t="shared" si="10"/>
        <v>-10.186189642218929</v>
      </c>
      <c r="S35" s="69">
        <f t="shared" si="11"/>
        <v>7.3583895366276852</v>
      </c>
      <c r="T35" s="69">
        <f t="shared" si="12"/>
        <v>-10.186189642218929</v>
      </c>
      <c r="U35" s="69">
        <f t="shared" si="13"/>
        <v>-7.3583895366276852</v>
      </c>
      <c r="V35" s="4" t="s">
        <v>69</v>
      </c>
    </row>
    <row r="36" spans="1:28" ht="15.6" x14ac:dyDescent="0.25">
      <c r="A36" s="9"/>
      <c r="B36" s="19">
        <f t="shared" si="19"/>
        <v>0.41758620559113296</v>
      </c>
      <c r="C36" s="10">
        <v>2</v>
      </c>
      <c r="D36" s="21">
        <v>12100</v>
      </c>
      <c r="E36" s="21">
        <v>8040</v>
      </c>
      <c r="F36" s="10">
        <v>519</v>
      </c>
      <c r="G36" s="12">
        <v>10000</v>
      </c>
      <c r="H36" s="13">
        <f>D36*G36/(D36+G36)</f>
        <v>5475.1131221719461</v>
      </c>
      <c r="I36" s="14">
        <f>B36*(D36*G36)/((F36+E36)*(D36+G36)+(D36*G36))</f>
        <v>0.16291244726094717</v>
      </c>
      <c r="J36" s="10">
        <v>0.72</v>
      </c>
      <c r="K36" s="10">
        <v>7.2800000000000004E-2</v>
      </c>
      <c r="L36" s="16">
        <f>((2*K36*2*3.1415*C36)^-1)*((100*B36)^2)/(F36+E36+D36*(G36/(D36+G36)))</f>
        <v>6.7912369666877678E-2</v>
      </c>
      <c r="M36" s="17">
        <f>J36+L36</f>
        <v>0.78791236966687761</v>
      </c>
      <c r="N36" s="18">
        <f>J36+(1.23*F36/(F36+H36+ E36))</f>
        <v>0.7654870211208048</v>
      </c>
      <c r="O36" s="18"/>
      <c r="P36" s="18"/>
      <c r="Q36" s="18"/>
      <c r="R36" s="69">
        <f t="shared" si="10"/>
        <v>-9.9009068372339843</v>
      </c>
      <c r="S36" s="69">
        <f t="shared" si="11"/>
        <v>7.7379842207394907</v>
      </c>
      <c r="T36" s="69">
        <f t="shared" si="12"/>
        <v>-9.9009068372339843</v>
      </c>
      <c r="U36" s="69">
        <f t="shared" si="13"/>
        <v>-7.7379842207394907</v>
      </c>
      <c r="V36" s="20" t="s">
        <v>70</v>
      </c>
    </row>
    <row r="37" spans="1:28" ht="15.6" x14ac:dyDescent="0.25">
      <c r="A37" s="4" t="s">
        <v>71</v>
      </c>
      <c r="B37" s="19">
        <f t="shared" si="19"/>
        <v>0.41435531600306513</v>
      </c>
      <c r="C37" s="10">
        <v>2</v>
      </c>
      <c r="D37" s="21">
        <v>67000</v>
      </c>
      <c r="E37" s="21">
        <v>8000</v>
      </c>
      <c r="F37" s="10">
        <v>511</v>
      </c>
      <c r="G37" s="12">
        <v>2000000000</v>
      </c>
      <c r="H37" s="13">
        <f t="shared" si="14"/>
        <v>66997.755575188232</v>
      </c>
      <c r="I37" s="14">
        <f t="shared" si="15"/>
        <v>0.36765108855767331</v>
      </c>
      <c r="J37" s="10">
        <v>0.72</v>
      </c>
      <c r="K37" s="10">
        <v>7.2800000000000004E-2</v>
      </c>
      <c r="L37" s="16">
        <f t="shared" si="16"/>
        <v>1.2427680706564383E-2</v>
      </c>
      <c r="M37" s="17">
        <f t="shared" si="17"/>
        <v>0.73242768070656439</v>
      </c>
      <c r="N37" s="18">
        <f t="shared" si="18"/>
        <v>0.72832393535308815</v>
      </c>
      <c r="O37" s="18"/>
      <c r="P37" s="18"/>
      <c r="Q37" s="18"/>
      <c r="R37" s="69">
        <f t="shared" si="10"/>
        <v>-9.2036862357586884</v>
      </c>
      <c r="S37" s="69">
        <f t="shared" si="11"/>
        <v>8.555496226035407</v>
      </c>
      <c r="T37" s="69">
        <f t="shared" si="12"/>
        <v>-9.2036862357586884</v>
      </c>
      <c r="U37" s="69">
        <f t="shared" si="13"/>
        <v>-8.555496226035407</v>
      </c>
      <c r="V37" s="4" t="s">
        <v>69</v>
      </c>
    </row>
    <row r="38" spans="1:28" ht="15.6" x14ac:dyDescent="0.25">
      <c r="A38" s="4" t="s">
        <v>72</v>
      </c>
      <c r="B38" s="19">
        <f t="shared" si="19"/>
        <v>0.41678083125306997</v>
      </c>
      <c r="C38" s="10">
        <v>2</v>
      </c>
      <c r="D38" s="21">
        <v>67000</v>
      </c>
      <c r="E38" s="21">
        <v>8000</v>
      </c>
      <c r="F38" s="10">
        <v>517</v>
      </c>
      <c r="G38" s="12">
        <v>2000000000</v>
      </c>
      <c r="H38" s="13">
        <f t="shared" si="14"/>
        <v>66997.755575188232</v>
      </c>
      <c r="I38" s="14">
        <f t="shared" si="15"/>
        <v>0.36977382828067706</v>
      </c>
      <c r="J38" s="10">
        <v>0.72</v>
      </c>
      <c r="K38" s="10">
        <v>7.2800000000000004E-2</v>
      </c>
      <c r="L38" s="16">
        <f t="shared" si="16"/>
        <v>1.2572603562082531E-2</v>
      </c>
      <c r="M38" s="17">
        <f t="shared" si="17"/>
        <v>0.73257260356208254</v>
      </c>
      <c r="N38" s="18">
        <f t="shared" si="18"/>
        <v>0.72842100322190462</v>
      </c>
      <c r="O38" s="18"/>
      <c r="P38" s="18"/>
      <c r="Q38" s="18"/>
      <c r="R38" s="69">
        <f t="shared" si="10"/>
        <v>-9.2055073363611299</v>
      </c>
      <c r="S38" s="69">
        <f t="shared" si="11"/>
        <v>8.553536735187464</v>
      </c>
      <c r="T38" s="69">
        <f t="shared" si="12"/>
        <v>-9.2055073363611299</v>
      </c>
      <c r="U38" s="69">
        <f t="shared" si="13"/>
        <v>-8.553536735187464</v>
      </c>
      <c r="V38" s="4" t="s">
        <v>69</v>
      </c>
    </row>
    <row r="39" spans="1:28" ht="15.6" x14ac:dyDescent="0.25">
      <c r="A39" s="4" t="s">
        <v>73</v>
      </c>
      <c r="B39" s="19">
        <f t="shared" si="19"/>
        <v>0.41637755991407605</v>
      </c>
      <c r="C39" s="10">
        <v>2</v>
      </c>
      <c r="D39" s="21">
        <v>67000</v>
      </c>
      <c r="E39" s="21">
        <v>8000</v>
      </c>
      <c r="F39" s="10">
        <v>516</v>
      </c>
      <c r="G39" s="12">
        <v>2000000000</v>
      </c>
      <c r="H39" s="13">
        <f t="shared" si="14"/>
        <v>66997.755575188232</v>
      </c>
      <c r="I39" s="14">
        <f t="shared" si="15"/>
        <v>0.36942093230074424</v>
      </c>
      <c r="J39" s="10">
        <v>0.72</v>
      </c>
      <c r="K39" s="10">
        <v>7.2800000000000004E-2</v>
      </c>
      <c r="L39" s="16">
        <f t="shared" si="16"/>
        <v>1.2548451352128141E-2</v>
      </c>
      <c r="M39" s="17">
        <f t="shared" si="17"/>
        <v>0.73254845135212809</v>
      </c>
      <c r="N39" s="18">
        <f t="shared" si="18"/>
        <v>0.72840482631496262</v>
      </c>
      <c r="O39" s="18"/>
      <c r="P39" s="18"/>
      <c r="Q39" s="18"/>
      <c r="R39" s="69">
        <f t="shared" si="10"/>
        <v>-9.2052038396908422</v>
      </c>
      <c r="S39" s="69">
        <f t="shared" si="11"/>
        <v>8.5538633534643864</v>
      </c>
      <c r="T39" s="69">
        <f t="shared" si="12"/>
        <v>-9.2052038396908422</v>
      </c>
      <c r="U39" s="69">
        <f t="shared" si="13"/>
        <v>-8.5538633534643864</v>
      </c>
      <c r="V39" s="4" t="s">
        <v>69</v>
      </c>
    </row>
    <row r="40" spans="1:28" ht="15.6" x14ac:dyDescent="0.25">
      <c r="A40" s="4" t="s">
        <v>74</v>
      </c>
      <c r="B40" s="19">
        <f t="shared" si="19"/>
        <v>0.4151653955955385</v>
      </c>
      <c r="C40" s="10">
        <v>2</v>
      </c>
      <c r="D40" s="21">
        <v>67000</v>
      </c>
      <c r="E40" s="21">
        <v>8000</v>
      </c>
      <c r="F40" s="10">
        <v>513</v>
      </c>
      <c r="G40" s="12">
        <v>2000000000</v>
      </c>
      <c r="H40" s="13">
        <f t="shared" si="14"/>
        <v>66997.755575188232</v>
      </c>
      <c r="I40" s="14">
        <f t="shared" si="15"/>
        <v>0.36836010294837895</v>
      </c>
      <c r="J40" s="10">
        <v>0.72</v>
      </c>
      <c r="K40" s="10">
        <v>7.2800000000000004E-2</v>
      </c>
      <c r="L40" s="16">
        <f t="shared" si="16"/>
        <v>1.2475990884049912E-2</v>
      </c>
      <c r="M40" s="17">
        <f t="shared" si="17"/>
        <v>0.73247599088404991</v>
      </c>
      <c r="N40" s="18">
        <f t="shared" si="18"/>
        <v>0.72835629302333893</v>
      </c>
      <c r="O40" s="18"/>
      <c r="P40" s="18"/>
      <c r="Q40" s="18"/>
      <c r="R40" s="69">
        <f t="shared" ref="R40:R41" si="20">(-2*3.1415*C40*M40)</f>
        <v>-9.2042933014489723</v>
      </c>
      <c r="S40" s="69">
        <f t="shared" ref="S40:S41" si="21">(2*3.1415*C40*SQRT(1-M40^2))</f>
        <v>8.5548431207650797</v>
      </c>
      <c r="T40" s="69">
        <f t="shared" si="12"/>
        <v>-9.2042933014489723</v>
      </c>
      <c r="U40" s="69">
        <f t="shared" si="13"/>
        <v>-8.5548431207650797</v>
      </c>
      <c r="V40" s="4" t="s">
        <v>69</v>
      </c>
    </row>
    <row r="41" spans="1:28" ht="15.6" x14ac:dyDescent="0.25">
      <c r="A41" s="4" t="s">
        <v>75</v>
      </c>
      <c r="B41" s="19">
        <f t="shared" si="19"/>
        <v>0.4147605535727813</v>
      </c>
      <c r="C41" s="10">
        <v>2</v>
      </c>
      <c r="D41" s="21">
        <v>67000</v>
      </c>
      <c r="E41" s="21">
        <v>8000</v>
      </c>
      <c r="F41" s="10">
        <v>512</v>
      </c>
      <c r="G41" s="12">
        <v>2000000000</v>
      </c>
      <c r="H41" s="13">
        <f t="shared" si="14"/>
        <v>66997.755575188232</v>
      </c>
      <c r="I41" s="14">
        <f t="shared" si="15"/>
        <v>0.36800577592691663</v>
      </c>
      <c r="J41" s="10">
        <v>0.72</v>
      </c>
      <c r="K41" s="10">
        <v>7.2800000000000004E-2</v>
      </c>
      <c r="L41" s="16">
        <f t="shared" si="16"/>
        <v>1.2451836115200765E-2</v>
      </c>
      <c r="M41" s="17">
        <f t="shared" si="17"/>
        <v>0.73245183611520071</v>
      </c>
      <c r="N41" s="18">
        <f t="shared" si="18"/>
        <v>0.72834011440247504</v>
      </c>
      <c r="O41" s="18"/>
      <c r="P41" s="18"/>
      <c r="Q41" s="18"/>
      <c r="R41" s="69">
        <f t="shared" si="20"/>
        <v>-9.2039897726236131</v>
      </c>
      <c r="S41" s="69">
        <f t="shared" si="21"/>
        <v>8.5551696806924848</v>
      </c>
      <c r="T41" s="69">
        <f t="shared" si="12"/>
        <v>-9.2039897726236131</v>
      </c>
      <c r="U41" s="69">
        <f t="shared" si="13"/>
        <v>-8.5551696806924848</v>
      </c>
      <c r="V41" s="4" t="s">
        <v>69</v>
      </c>
    </row>
    <row r="42" spans="1:28" ht="15.6" x14ac:dyDescent="0.25">
      <c r="B42" s="10"/>
      <c r="C42" s="10"/>
      <c r="D42" s="11" t="s">
        <v>76</v>
      </c>
      <c r="E42" s="11"/>
      <c r="F42" s="10"/>
      <c r="G42" s="10"/>
      <c r="H42" s="13"/>
      <c r="I42" s="14"/>
      <c r="J42" s="10"/>
      <c r="K42" s="10"/>
      <c r="L42" s="16"/>
      <c r="M42" s="17"/>
      <c r="N42" s="18"/>
      <c r="O42" s="18"/>
      <c r="P42" s="18"/>
      <c r="Q42" s="18"/>
      <c r="R42" s="18"/>
      <c r="S42" s="69"/>
      <c r="T42" s="69"/>
      <c r="U42" s="69"/>
    </row>
    <row r="43" spans="1:28" ht="15.6" x14ac:dyDescent="0.25">
      <c r="B43" s="10" t="s">
        <v>77</v>
      </c>
      <c r="C43" s="10"/>
      <c r="D43" s="11"/>
      <c r="E43" s="11"/>
      <c r="F43" s="10"/>
      <c r="G43" s="10"/>
      <c r="H43" s="13"/>
      <c r="I43" s="14"/>
      <c r="J43" s="10"/>
      <c r="K43" s="10"/>
      <c r="L43" s="16"/>
      <c r="M43" s="17"/>
      <c r="N43" s="18"/>
      <c r="O43" s="18"/>
      <c r="P43" s="18"/>
      <c r="Q43" s="18"/>
      <c r="R43" s="18"/>
      <c r="S43" s="69"/>
      <c r="T43" s="69"/>
      <c r="U43" s="69"/>
    </row>
    <row r="44" spans="1:28" ht="15.6" x14ac:dyDescent="0.25">
      <c r="A44" s="9" t="s">
        <v>78</v>
      </c>
      <c r="B44" s="10">
        <v>0.28000000000000003</v>
      </c>
      <c r="C44" s="10">
        <v>10</v>
      </c>
      <c r="D44" s="11">
        <v>7500</v>
      </c>
      <c r="E44" s="11">
        <v>2200</v>
      </c>
      <c r="F44" s="10">
        <v>400</v>
      </c>
      <c r="G44" s="10">
        <v>10000</v>
      </c>
      <c r="H44" s="13">
        <f>D44*G44/(D44+G44)</f>
        <v>4285.7142857142853</v>
      </c>
      <c r="I44" s="14">
        <f>B44*(D44*G44)/((F44+E44)*(D44+G44)+(D44*G44))</f>
        <v>0.17427385892116184</v>
      </c>
      <c r="J44" s="10">
        <v>0.3</v>
      </c>
      <c r="K44" s="10">
        <v>1.0999999999999999E-2</v>
      </c>
      <c r="L44" s="16">
        <f>((2*K44*2*3.1415*C44)^-1)*((100*B44)^2)/(F44+E44+D44*(G44/(D44+G44)))</f>
        <v>8.2371566247902553E-2</v>
      </c>
      <c r="M44" s="17">
        <f>J44+L44</f>
        <v>0.38237156624790253</v>
      </c>
      <c r="N44" s="18">
        <f>J44+(1.1*F44/(F44+H44))</f>
        <v>0.39390243902439026</v>
      </c>
      <c r="O44" s="18"/>
      <c r="P44" s="18"/>
      <c r="Q44" s="18"/>
      <c r="R44" s="69">
        <f t="shared" ref="R44:R48" si="22">(-2*3.1415*C44*M44)</f>
        <v>-24.024405507355716</v>
      </c>
      <c r="S44" s="69">
        <f t="shared" ref="S44:S48" si="23">(2*3.1415*C44*SQRT(1-M44^2))</f>
        <v>58.055463481210253</v>
      </c>
      <c r="T44" s="69">
        <f t="shared" ref="T44:T48" si="24">(-2*3.1415*C44*M44)</f>
        <v>-24.024405507355716</v>
      </c>
      <c r="U44" s="69">
        <f t="shared" ref="U44:U48" si="25">-(2*3.1415*C44*SQRT(1-M44^2))</f>
        <v>-58.055463481210253</v>
      </c>
      <c r="V44" s="4" t="s">
        <v>79</v>
      </c>
    </row>
    <row r="45" spans="1:28" ht="15.6" x14ac:dyDescent="0.25">
      <c r="B45" s="10">
        <v>0.28000000000000003</v>
      </c>
      <c r="C45" s="10">
        <v>10</v>
      </c>
      <c r="D45" s="11">
        <v>10000000</v>
      </c>
      <c r="E45" s="11">
        <v>1000</v>
      </c>
      <c r="F45" s="10">
        <v>400</v>
      </c>
      <c r="G45" s="10">
        <v>10000</v>
      </c>
      <c r="H45" s="13">
        <f>D45*G45/(D45+G45)</f>
        <v>9990.0099900099904</v>
      </c>
      <c r="I45" s="14">
        <f>B45*(D45*G45)/((F45+E45)*(D45+G45)+(D45*G45))</f>
        <v>0.24558387566439213</v>
      </c>
      <c r="J45" s="10">
        <v>0.3</v>
      </c>
      <c r="K45" s="10">
        <v>1.0999999999999999E-2</v>
      </c>
      <c r="L45" s="16">
        <f>((2*K45*2*3.1415*C45)^-1)*((100*B45)^2)/(F45+E45+D45*(G45/(D45+G45)))</f>
        <v>4.9796889638140329E-2</v>
      </c>
      <c r="M45" s="17">
        <f>J45+L45</f>
        <v>0.34979688963814032</v>
      </c>
      <c r="N45" s="18">
        <f>J45+(1.1*F45/(F45+H45))</f>
        <v>0.34234837121649164</v>
      </c>
      <c r="O45" s="18"/>
      <c r="P45" s="18"/>
      <c r="Q45" s="18"/>
      <c r="R45" s="69">
        <f t="shared" si="22"/>
        <v>-21.977738575964359</v>
      </c>
      <c r="S45" s="69">
        <f t="shared" si="23"/>
        <v>58.860750140365766</v>
      </c>
      <c r="T45" s="69">
        <f t="shared" si="24"/>
        <v>-21.977738575964359</v>
      </c>
      <c r="U45" s="69">
        <f t="shared" si="25"/>
        <v>-58.860750140365766</v>
      </c>
      <c r="V45" s="4" t="s">
        <v>80</v>
      </c>
    </row>
    <row r="46" spans="1:28" ht="15.6" x14ac:dyDescent="0.25">
      <c r="B46" s="22">
        <v>0.28000000000000003</v>
      </c>
      <c r="C46" s="22">
        <v>10</v>
      </c>
      <c r="D46" s="23">
        <v>10000000</v>
      </c>
      <c r="E46" s="23">
        <v>0</v>
      </c>
      <c r="F46" s="22">
        <v>400</v>
      </c>
      <c r="G46" s="22">
        <v>10000</v>
      </c>
      <c r="H46" s="24">
        <f>D46*G46/(D46+G46)</f>
        <v>9990.0099900099904</v>
      </c>
      <c r="I46" s="25">
        <f>B46*(D46*G46)/((F46+E46)*(D46+G46)+(D46*G46))</f>
        <v>0.26922041459943852</v>
      </c>
      <c r="J46" s="22">
        <v>0.3</v>
      </c>
      <c r="K46" s="22">
        <v>1.0999999999999999E-2</v>
      </c>
      <c r="L46" s="26">
        <f>((2*K46*2*3.1415*C46)^-1)*((100*B46)^2)/(F46+E46+D46*(G46/(D46+G46)))</f>
        <v>5.4589655928646313E-2</v>
      </c>
      <c r="M46" s="27">
        <f>J46+L46</f>
        <v>0.35458965592864633</v>
      </c>
      <c r="N46" s="28">
        <f>J46+(1.1*F46/(F46+H46))</f>
        <v>0.34234837121649164</v>
      </c>
      <c r="O46" s="28"/>
      <c r="P46" s="28"/>
      <c r="Q46" s="28"/>
      <c r="R46" s="69">
        <f t="shared" si="22"/>
        <v>-22.278868081996851</v>
      </c>
      <c r="S46" s="69">
        <f t="shared" si="23"/>
        <v>58.747433450194087</v>
      </c>
      <c r="T46" s="69">
        <f t="shared" si="24"/>
        <v>-22.278868081996851</v>
      </c>
      <c r="U46" s="69">
        <f t="shared" si="25"/>
        <v>-58.747433450194087</v>
      </c>
      <c r="V46" s="29" t="s">
        <v>81</v>
      </c>
      <c r="W46" s="29"/>
      <c r="X46" s="29"/>
      <c r="Y46" s="29"/>
      <c r="Z46" s="29"/>
    </row>
    <row r="47" spans="1:28" ht="15.6" x14ac:dyDescent="0.25">
      <c r="B47" s="10">
        <v>0.28000000000000003</v>
      </c>
      <c r="C47" s="10">
        <v>10</v>
      </c>
      <c r="D47" s="11">
        <v>500</v>
      </c>
      <c r="E47" s="11">
        <v>0</v>
      </c>
      <c r="F47" s="10">
        <v>400</v>
      </c>
      <c r="G47" s="10">
        <v>10000</v>
      </c>
      <c r="H47" s="13">
        <f>D47*G47/(D47+G47)</f>
        <v>476.1904761904762</v>
      </c>
      <c r="I47" s="14">
        <f>B47*(D47*G47)/((F47+E47)*(D47+G47)+(D47*G47))</f>
        <v>0.1521739130434783</v>
      </c>
      <c r="J47" s="10">
        <v>0.3</v>
      </c>
      <c r="K47" s="10">
        <v>1.0999999999999999E-2</v>
      </c>
      <c r="L47" s="16">
        <f>((2*K47*2*3.1415*C47)^-1)*((100*B47)^2)/(F47+E47+D47*(G47/(D47+G47)))</f>
        <v>0.64733306953514724</v>
      </c>
      <c r="M47" s="17">
        <f>J47+L47</f>
        <v>0.94733306953514718</v>
      </c>
      <c r="N47" s="18">
        <f>J47+(1.1*F47/(F47+H47))</f>
        <v>0.8021739130434784</v>
      </c>
      <c r="O47" s="18"/>
      <c r="P47" s="18"/>
      <c r="Q47" s="18"/>
      <c r="R47" s="69">
        <f t="shared" si="22"/>
        <v>-59.520936758893299</v>
      </c>
      <c r="S47" s="69">
        <f t="shared" si="23"/>
        <v>20.121306800101848</v>
      </c>
      <c r="T47" s="69">
        <f t="shared" si="24"/>
        <v>-59.520936758893299</v>
      </c>
      <c r="U47" s="69">
        <f t="shared" si="25"/>
        <v>-20.121306800101848</v>
      </c>
      <c r="V47" s="4" t="s">
        <v>80</v>
      </c>
    </row>
    <row r="48" spans="1:28" ht="15.6" x14ac:dyDescent="0.25">
      <c r="B48" s="30">
        <v>0.28000000000000003</v>
      </c>
      <c r="C48" s="30">
        <v>10</v>
      </c>
      <c r="D48" s="31">
        <v>1000</v>
      </c>
      <c r="E48" s="31">
        <v>0</v>
      </c>
      <c r="F48" s="30">
        <v>400</v>
      </c>
      <c r="G48" s="30">
        <v>10000</v>
      </c>
      <c r="H48" s="32">
        <f>D48*G48/(D48+G48)</f>
        <v>909.09090909090912</v>
      </c>
      <c r="I48" s="33">
        <f>B48*(D48*G48)/((F48+E48)*(D48+G48)+(D48*G48))</f>
        <v>0.19444444444444448</v>
      </c>
      <c r="J48" s="30">
        <v>0.3</v>
      </c>
      <c r="K48" s="30">
        <v>1.0999999999999999E-2</v>
      </c>
      <c r="L48" s="34">
        <f>((2*K48*2*3.1415*C48)^-1)*((100*B48)^2)/(F48+E48+D48*(G48/(D48+G48)))</f>
        <v>0.43326790103807478</v>
      </c>
      <c r="M48" s="35">
        <f>J48+L48</f>
        <v>0.73326790103807471</v>
      </c>
      <c r="N48" s="36">
        <f>J48+(1.1*F48/(F48+H48))</f>
        <v>0.63611111111111118</v>
      </c>
      <c r="O48" s="36"/>
      <c r="P48" s="36"/>
      <c r="Q48" s="36"/>
      <c r="R48" s="69">
        <f t="shared" si="22"/>
        <v>-46.071222222222239</v>
      </c>
      <c r="S48" s="69">
        <f t="shared" si="23"/>
        <v>42.720620114303308</v>
      </c>
      <c r="T48" s="69">
        <f t="shared" si="24"/>
        <v>-46.071222222222239</v>
      </c>
      <c r="U48" s="69">
        <f t="shared" si="25"/>
        <v>-42.720620114303308</v>
      </c>
      <c r="V48" s="37" t="s">
        <v>82</v>
      </c>
      <c r="W48" s="37"/>
      <c r="X48" s="37"/>
      <c r="Y48" s="37"/>
      <c r="Z48" s="37"/>
      <c r="AA48" s="37"/>
      <c r="AB48" s="37"/>
    </row>
    <row r="49" spans="1:21" ht="15.6" x14ac:dyDescent="0.25">
      <c r="B49" s="10"/>
      <c r="C49" s="10"/>
      <c r="D49" s="11"/>
      <c r="E49" s="11"/>
      <c r="F49" s="10"/>
      <c r="G49" s="10"/>
      <c r="H49" s="13"/>
      <c r="I49" s="14"/>
      <c r="J49" s="10"/>
      <c r="K49" s="10"/>
      <c r="L49" s="16"/>
      <c r="M49" s="17"/>
      <c r="N49" s="18"/>
      <c r="O49" s="18"/>
      <c r="P49" s="18"/>
      <c r="Q49" s="18"/>
      <c r="R49" s="18"/>
      <c r="S49" s="18"/>
      <c r="T49" s="18"/>
      <c r="U49" s="18"/>
    </row>
    <row r="50" spans="1:21" ht="15.6" x14ac:dyDescent="0.25">
      <c r="A50" s="9" t="s">
        <v>83</v>
      </c>
      <c r="B50" s="10">
        <v>0.31</v>
      </c>
      <c r="C50" s="10">
        <v>10</v>
      </c>
      <c r="D50" s="11">
        <v>1000000000</v>
      </c>
      <c r="E50" s="11">
        <v>0</v>
      </c>
      <c r="F50" s="10">
        <v>374</v>
      </c>
      <c r="G50" s="10">
        <v>1000000000</v>
      </c>
      <c r="H50" s="13">
        <f>D50*G50/(D50+G50)</f>
        <v>500000000</v>
      </c>
      <c r="I50" s="14">
        <f>B50*(D50*G50)/((F50+E50)*(D50+G50)+(D50*G50))</f>
        <v>0.30999976812017344</v>
      </c>
      <c r="J50" s="10">
        <v>0.3</v>
      </c>
      <c r="K50" s="10">
        <v>1.2200000000000001E-2</v>
      </c>
      <c r="L50" s="16">
        <f>((2*K50*2*3.1415*C50)^-1)*((100*B50)^2)/(F50+E50+D50*(G50/(D50+G50)))</f>
        <v>1.2537073513129855E-6</v>
      </c>
      <c r="M50" s="17">
        <f>J50+L50</f>
        <v>0.30000125370735131</v>
      </c>
      <c r="N50" s="18">
        <f>J50+(1.1*F50/(F50+H50))</f>
        <v>0.30000082279938456</v>
      </c>
      <c r="O50" s="18"/>
      <c r="P50" s="18"/>
      <c r="Q50" s="18"/>
      <c r="R50" s="18"/>
      <c r="S50" s="18"/>
      <c r="T50" s="18"/>
      <c r="U50" s="18"/>
    </row>
    <row r="51" spans="1:21" ht="13.8" thickBot="1" x14ac:dyDescent="0.3">
      <c r="B51" s="11"/>
      <c r="C51" s="11"/>
      <c r="D51" s="38"/>
      <c r="E51" s="38"/>
      <c r="F51" s="11"/>
      <c r="G51" s="11"/>
      <c r="H51" s="13"/>
      <c r="I51" s="39"/>
      <c r="J51" s="11"/>
      <c r="K51" s="11"/>
      <c r="L51" s="16"/>
      <c r="M51" s="16"/>
      <c r="N51" s="18"/>
      <c r="O51" s="18"/>
      <c r="P51" s="18"/>
      <c r="Q51" s="18"/>
      <c r="R51" s="18"/>
      <c r="S51" s="18"/>
      <c r="T51" s="18"/>
      <c r="U51" s="18"/>
    </row>
    <row r="52" spans="1:21" x14ac:dyDescent="0.25">
      <c r="B52" s="78"/>
      <c r="C52" s="79"/>
      <c r="D52" s="80"/>
      <c r="E52" s="80"/>
      <c r="F52" s="79"/>
      <c r="G52" s="79"/>
      <c r="H52" s="81" t="s">
        <v>8</v>
      </c>
      <c r="I52" s="82" t="s">
        <v>84</v>
      </c>
      <c r="J52" s="79" t="s">
        <v>85</v>
      </c>
      <c r="K52" s="83" t="s">
        <v>86</v>
      </c>
      <c r="L52" s="84" t="s">
        <v>87</v>
      </c>
      <c r="M52" s="16"/>
      <c r="N52" s="18"/>
      <c r="O52" s="18"/>
      <c r="P52" s="18"/>
      <c r="Q52" s="18"/>
      <c r="R52" s="18"/>
      <c r="S52" s="18"/>
      <c r="T52" s="18"/>
      <c r="U52" s="18"/>
    </row>
    <row r="53" spans="1:21" x14ac:dyDescent="0.25">
      <c r="B53" s="85"/>
      <c r="C53" s="86"/>
      <c r="D53" s="87"/>
      <c r="E53" s="87"/>
      <c r="F53" s="86"/>
      <c r="G53" s="86"/>
      <c r="H53" s="88"/>
      <c r="I53" s="89"/>
      <c r="J53" s="86"/>
      <c r="K53" s="90"/>
      <c r="L53" s="91"/>
      <c r="M53" s="16"/>
      <c r="N53" s="18"/>
      <c r="O53" s="18"/>
      <c r="P53" s="18"/>
      <c r="Q53" s="18"/>
      <c r="R53" s="18"/>
      <c r="S53" s="18"/>
      <c r="T53" s="18"/>
      <c r="U53" s="18"/>
    </row>
    <row r="54" spans="1:21" x14ac:dyDescent="0.25">
      <c r="B54" s="92" t="s">
        <v>88</v>
      </c>
      <c r="C54" s="93"/>
      <c r="D54" s="94"/>
      <c r="E54" s="94"/>
      <c r="F54" s="95"/>
      <c r="G54" s="95"/>
      <c r="H54" s="96"/>
      <c r="I54" s="97"/>
      <c r="J54" s="98">
        <v>7</v>
      </c>
      <c r="K54" s="98">
        <f>J54*39</f>
        <v>273</v>
      </c>
      <c r="L54" s="99">
        <f>2.8</f>
        <v>2.8</v>
      </c>
      <c r="M54" s="16"/>
      <c r="N54" s="18"/>
      <c r="O54" s="18"/>
      <c r="P54" s="18"/>
      <c r="Q54" s="18"/>
      <c r="R54" s="18"/>
      <c r="S54" s="18"/>
      <c r="T54" s="18"/>
      <c r="U54" s="18"/>
    </row>
    <row r="55" spans="1:21" x14ac:dyDescent="0.25">
      <c r="B55" s="92" t="s">
        <v>89</v>
      </c>
      <c r="C55" s="93"/>
      <c r="D55" s="94"/>
      <c r="E55" s="94"/>
      <c r="F55" s="95"/>
      <c r="G55" s="98">
        <v>3.7999999999999999E-2</v>
      </c>
      <c r="H55" s="96">
        <v>510</v>
      </c>
      <c r="I55" s="97">
        <f>SQRT(H55)</f>
        <v>22.583179581272429</v>
      </c>
      <c r="J55" s="98">
        <f>I55*G55</f>
        <v>0.85816082408835226</v>
      </c>
      <c r="K55" s="98">
        <f>J55*39</f>
        <v>33.468272139445737</v>
      </c>
      <c r="L55" s="100">
        <f>K55/100</f>
        <v>0.33468272139445737</v>
      </c>
      <c r="M55" s="16"/>
      <c r="N55" s="18"/>
      <c r="O55" s="18"/>
      <c r="P55" s="18"/>
      <c r="Q55" s="18"/>
      <c r="R55" s="18"/>
      <c r="S55" s="18"/>
      <c r="T55" s="18"/>
      <c r="U55" s="18"/>
    </row>
    <row r="56" spans="1:21" x14ac:dyDescent="0.25">
      <c r="B56" s="92" t="s">
        <v>90</v>
      </c>
      <c r="C56" s="93"/>
      <c r="D56" s="94"/>
      <c r="E56" s="94"/>
      <c r="F56" s="95"/>
      <c r="G56" s="98">
        <v>4.7E-2</v>
      </c>
      <c r="H56" s="96">
        <v>510</v>
      </c>
      <c r="I56" s="97">
        <f>SQRT(H56)</f>
        <v>22.583179581272429</v>
      </c>
      <c r="J56" s="98">
        <f>I56*G56</f>
        <v>1.0614094403198042</v>
      </c>
      <c r="K56" s="98">
        <f>J56*39</f>
        <v>41.394968172472367</v>
      </c>
      <c r="L56" s="100">
        <f>K56/100</f>
        <v>0.41394968172472368</v>
      </c>
      <c r="M56" s="16"/>
      <c r="N56" s="18"/>
      <c r="O56" s="18"/>
      <c r="P56" s="18"/>
      <c r="Q56" s="18"/>
      <c r="R56" s="18"/>
      <c r="S56" s="18"/>
      <c r="T56" s="18"/>
      <c r="U56" s="18"/>
    </row>
    <row r="57" spans="1:21" x14ac:dyDescent="0.25">
      <c r="B57" s="101" t="s">
        <v>91</v>
      </c>
      <c r="C57" s="95"/>
      <c r="D57" s="94"/>
      <c r="E57" s="94"/>
      <c r="F57" s="95"/>
      <c r="G57" s="98"/>
      <c r="H57" s="96"/>
      <c r="I57" s="97"/>
      <c r="J57" s="98">
        <v>0.7</v>
      </c>
      <c r="K57" s="98">
        <f>J57*39</f>
        <v>27.299999999999997</v>
      </c>
      <c r="L57" s="100">
        <f>K57/100</f>
        <v>0.27299999999999996</v>
      </c>
      <c r="M57" s="16"/>
      <c r="N57" s="18"/>
      <c r="O57" s="18"/>
      <c r="P57" s="18"/>
      <c r="Q57" s="18"/>
      <c r="R57" s="18"/>
      <c r="S57" s="18"/>
      <c r="T57" s="18"/>
      <c r="U57" s="18"/>
    </row>
    <row r="58" spans="1:21" ht="13.8" thickBot="1" x14ac:dyDescent="0.3">
      <c r="B58" s="102" t="s">
        <v>92</v>
      </c>
      <c r="C58" s="103"/>
      <c r="D58" s="104"/>
      <c r="E58" s="104"/>
      <c r="F58" s="103"/>
      <c r="G58" s="105">
        <v>4.1000000000000002E-2</v>
      </c>
      <c r="H58" s="106">
        <v>374</v>
      </c>
      <c r="I58" s="107">
        <f>SQRT(H58)</f>
        <v>19.339079605813716</v>
      </c>
      <c r="J58" s="105">
        <f>I58*G58</f>
        <v>0.79290226383836238</v>
      </c>
      <c r="K58" s="105">
        <f>J58*39</f>
        <v>30.923188289696132</v>
      </c>
      <c r="L58" s="108">
        <f>K58/100</f>
        <v>0.3092318828969613</v>
      </c>
      <c r="M58" s="16"/>
      <c r="N58" s="18"/>
      <c r="O58" s="18"/>
      <c r="P58" s="18"/>
      <c r="Q58" s="18"/>
      <c r="R58" s="18"/>
      <c r="S58" s="18"/>
      <c r="T58" s="18"/>
      <c r="U58" s="18"/>
    </row>
    <row r="59" spans="1:21" x14ac:dyDescent="0.25">
      <c r="B59" s="93"/>
      <c r="C59" s="95"/>
      <c r="D59" s="94"/>
      <c r="E59" s="94"/>
      <c r="F59" s="95"/>
      <c r="G59" s="98"/>
      <c r="H59" s="96"/>
      <c r="I59" s="97"/>
      <c r="J59" s="98"/>
      <c r="K59" s="98"/>
      <c r="L59" s="109"/>
      <c r="M59" s="16"/>
      <c r="N59" s="18"/>
      <c r="O59" s="18"/>
      <c r="P59" s="18"/>
      <c r="Q59" s="18"/>
      <c r="R59" s="18"/>
      <c r="S59" s="18"/>
      <c r="T59" s="18"/>
      <c r="U59" s="18"/>
    </row>
    <row r="60" spans="1:21" x14ac:dyDescent="0.25">
      <c r="B60" s="93"/>
      <c r="C60" s="95"/>
      <c r="D60" s="94"/>
      <c r="E60" s="94"/>
      <c r="F60" s="95"/>
      <c r="G60" s="98"/>
      <c r="H60" s="96"/>
      <c r="I60" s="97"/>
      <c r="J60" s="98"/>
      <c r="K60" s="98"/>
      <c r="L60" s="109"/>
      <c r="M60" s="16"/>
      <c r="N60" s="18"/>
      <c r="O60" s="18"/>
      <c r="P60" s="18"/>
      <c r="Q60" s="18"/>
      <c r="R60" s="18"/>
      <c r="S60" s="18"/>
      <c r="T60" s="18"/>
      <c r="U60" s="18"/>
    </row>
    <row r="61" spans="1:21" x14ac:dyDescent="0.25">
      <c r="B61" s="93"/>
      <c r="C61" s="95"/>
      <c r="D61" s="94"/>
      <c r="E61" s="94"/>
      <c r="F61" s="95"/>
      <c r="G61" s="98"/>
      <c r="H61" s="96"/>
      <c r="I61" s="97"/>
      <c r="J61" s="98"/>
      <c r="K61" s="98"/>
      <c r="L61" s="109"/>
      <c r="M61" s="16"/>
      <c r="N61" s="18"/>
      <c r="O61" s="18"/>
      <c r="P61" s="18"/>
      <c r="Q61" s="18"/>
      <c r="R61" s="18"/>
      <c r="S61" s="18"/>
      <c r="T61" s="18"/>
      <c r="U61" s="18"/>
    </row>
    <row r="62" spans="1:21" ht="12.6" customHeight="1" thickBot="1" x14ac:dyDescent="0.3">
      <c r="B62" s="11"/>
      <c r="C62" s="11"/>
      <c r="D62" s="38"/>
      <c r="E62" s="38"/>
      <c r="F62" s="11"/>
      <c r="G62" s="11"/>
      <c r="H62" s="13"/>
      <c r="I62" s="39"/>
      <c r="J62" s="11"/>
      <c r="K62" s="11"/>
      <c r="L62" s="40"/>
      <c r="M62" s="16"/>
      <c r="N62" s="18"/>
      <c r="O62" s="18"/>
      <c r="P62" s="18"/>
      <c r="Q62" s="18"/>
      <c r="R62" s="18"/>
      <c r="S62" s="18"/>
      <c r="T62" s="18"/>
      <c r="U62" s="18"/>
    </row>
    <row r="63" spans="1:21" x14ac:dyDescent="0.25">
      <c r="B63" s="118" t="s">
        <v>93</v>
      </c>
      <c r="C63" s="110"/>
      <c r="D63" s="111"/>
      <c r="E63" s="111" t="s">
        <v>94</v>
      </c>
      <c r="F63" s="110"/>
      <c r="G63" s="79" t="s">
        <v>95</v>
      </c>
      <c r="H63" s="112" t="s">
        <v>96</v>
      </c>
      <c r="I63" s="113" t="s">
        <v>97</v>
      </c>
      <c r="J63" s="11"/>
      <c r="K63" s="11"/>
      <c r="L63" s="40"/>
      <c r="M63" s="16"/>
      <c r="N63" s="18"/>
      <c r="O63" s="18"/>
      <c r="P63" s="18"/>
      <c r="Q63" s="18"/>
      <c r="R63" s="18"/>
      <c r="S63" s="18"/>
      <c r="T63" s="18"/>
      <c r="U63" s="18"/>
    </row>
    <row r="64" spans="1:21" x14ac:dyDescent="0.25">
      <c r="B64" s="101"/>
      <c r="C64" s="95"/>
      <c r="D64" s="94"/>
      <c r="E64" s="94"/>
      <c r="F64" s="95"/>
      <c r="G64" s="95">
        <v>1</v>
      </c>
      <c r="H64" s="114">
        <v>2</v>
      </c>
      <c r="I64" s="115">
        <f>1/((1/G64)+(1/H64))</f>
        <v>0.66666666666666663</v>
      </c>
      <c r="J64" s="11"/>
      <c r="K64" s="11"/>
      <c r="L64" s="40"/>
      <c r="M64" s="16"/>
      <c r="N64" s="18"/>
      <c r="O64" s="18"/>
      <c r="P64" s="18"/>
      <c r="Q64" s="18"/>
      <c r="R64" s="18"/>
      <c r="S64" s="18"/>
      <c r="T64" s="18"/>
      <c r="U64" s="18"/>
    </row>
    <row r="65" spans="1:21" x14ac:dyDescent="0.25">
      <c r="B65" s="101"/>
      <c r="C65" s="95"/>
      <c r="D65" s="94"/>
      <c r="E65" s="94"/>
      <c r="F65" s="95"/>
      <c r="G65" s="95">
        <v>1000</v>
      </c>
      <c r="H65" s="96">
        <v>400</v>
      </c>
      <c r="I65" s="115">
        <f>1/((1/G65)+(1/H65))</f>
        <v>285.71428571428572</v>
      </c>
      <c r="J65" s="11"/>
      <c r="K65" s="11"/>
      <c r="L65" s="40"/>
      <c r="M65" s="16"/>
      <c r="N65" s="18"/>
      <c r="O65" s="18"/>
      <c r="P65" s="18"/>
      <c r="Q65" s="18"/>
      <c r="R65" s="18"/>
      <c r="S65" s="18"/>
      <c r="T65" s="18"/>
      <c r="U65" s="18"/>
    </row>
    <row r="66" spans="1:21" ht="13.8" thickBot="1" x14ac:dyDescent="0.3">
      <c r="B66" s="116"/>
      <c r="C66" s="103"/>
      <c r="D66" s="104"/>
      <c r="E66" s="104"/>
      <c r="F66" s="103"/>
      <c r="G66" s="103">
        <v>280</v>
      </c>
      <c r="H66" s="106">
        <v>10000</v>
      </c>
      <c r="I66" s="117">
        <f>1/((1/G66)+(1/H66))</f>
        <v>272.37354085603113</v>
      </c>
      <c r="J66" s="11"/>
      <c r="K66" s="11"/>
      <c r="L66" s="40"/>
      <c r="M66" s="16"/>
      <c r="N66" s="18"/>
      <c r="O66" s="18"/>
      <c r="P66" s="18"/>
      <c r="Q66" s="18"/>
      <c r="R66" s="18"/>
      <c r="S66" s="18"/>
      <c r="T66" s="18"/>
      <c r="U66" s="18"/>
    </row>
    <row r="67" spans="1:21" ht="13.8" thickBot="1" x14ac:dyDescent="0.3">
      <c r="B67" s="11"/>
      <c r="C67" s="11"/>
      <c r="D67" s="38"/>
      <c r="E67" s="38"/>
      <c r="F67" s="11"/>
      <c r="G67" s="11"/>
      <c r="H67" s="13"/>
      <c r="I67" s="39"/>
      <c r="J67" s="11"/>
      <c r="K67" s="11"/>
      <c r="L67" s="40"/>
      <c r="M67" s="16"/>
      <c r="N67" s="18"/>
      <c r="O67" s="18"/>
      <c r="P67" s="18"/>
      <c r="Q67" s="18"/>
      <c r="R67" s="18"/>
      <c r="S67" s="18"/>
      <c r="T67" s="18"/>
      <c r="U67" s="18"/>
    </row>
    <row r="68" spans="1:21" x14ac:dyDescent="0.25">
      <c r="B68" s="11"/>
      <c r="C68" s="177" t="s">
        <v>274</v>
      </c>
      <c r="D68" s="178"/>
      <c r="E68" s="178"/>
      <c r="F68" s="178"/>
      <c r="G68" s="179"/>
      <c r="H68" s="13"/>
      <c r="I68" s="39"/>
      <c r="J68" s="11"/>
      <c r="K68" s="11"/>
      <c r="L68" s="40"/>
      <c r="M68" s="16"/>
      <c r="N68" s="18"/>
      <c r="O68" s="18"/>
      <c r="P68" s="18"/>
      <c r="Q68" s="18"/>
      <c r="R68" s="18"/>
      <c r="S68" s="18"/>
      <c r="T68" s="18"/>
      <c r="U68" s="18"/>
    </row>
    <row r="69" spans="1:21" x14ac:dyDescent="0.25">
      <c r="C69" s="101" t="s">
        <v>279</v>
      </c>
      <c r="D69" s="95" t="s">
        <v>276</v>
      </c>
      <c r="E69" s="95" t="s">
        <v>275</v>
      </c>
      <c r="F69" s="95" t="s">
        <v>277</v>
      </c>
      <c r="G69" s="119" t="s">
        <v>278</v>
      </c>
      <c r="H69" s="13"/>
      <c r="I69" s="39"/>
      <c r="J69" s="11"/>
      <c r="K69" s="11"/>
      <c r="L69" s="40"/>
      <c r="M69" s="16"/>
      <c r="N69" s="18"/>
      <c r="O69" s="18"/>
      <c r="P69" s="18"/>
      <c r="Q69" s="18"/>
      <c r="R69" s="18"/>
      <c r="S69" s="18"/>
      <c r="T69" s="18"/>
      <c r="U69" s="18"/>
    </row>
    <row r="70" spans="1:21" x14ac:dyDescent="0.25">
      <c r="B70" s="11"/>
      <c r="C70" s="101" t="s">
        <v>280</v>
      </c>
      <c r="D70" s="95">
        <v>10</v>
      </c>
      <c r="E70" s="95">
        <v>16</v>
      </c>
      <c r="F70" s="120">
        <f>2^E70</f>
        <v>65536</v>
      </c>
      <c r="G70" s="121">
        <f>F70/D70</f>
        <v>6553.6</v>
      </c>
      <c r="H70" s="13"/>
      <c r="I70" s="39"/>
      <c r="J70" s="11"/>
      <c r="K70" s="11"/>
      <c r="L70" s="40"/>
      <c r="M70" s="16"/>
      <c r="N70" s="18"/>
      <c r="O70" s="18"/>
      <c r="P70" s="18"/>
      <c r="Q70" s="18"/>
      <c r="R70" s="18"/>
      <c r="S70" s="18"/>
      <c r="T70" s="18"/>
      <c r="U70" s="18"/>
    </row>
    <row r="71" spans="1:21" ht="13.8" thickBot="1" x14ac:dyDescent="0.3">
      <c r="B71" s="11"/>
      <c r="C71" s="116" t="s">
        <v>281</v>
      </c>
      <c r="D71" s="104">
        <v>20</v>
      </c>
      <c r="E71" s="104">
        <v>16</v>
      </c>
      <c r="F71" s="120">
        <f>2^E71</f>
        <v>65536</v>
      </c>
      <c r="G71" s="121">
        <f>F71/D71</f>
        <v>3276.8</v>
      </c>
      <c r="H71" s="13"/>
      <c r="I71" s="39"/>
      <c r="J71" s="11"/>
      <c r="K71" s="11"/>
      <c r="L71" s="40"/>
      <c r="M71" s="16"/>
      <c r="N71" s="18"/>
      <c r="O71" s="18"/>
      <c r="P71" s="18"/>
      <c r="Q71" s="18"/>
      <c r="R71" s="18"/>
      <c r="S71" s="18"/>
      <c r="T71" s="18"/>
      <c r="U71" s="18"/>
    </row>
    <row r="72" spans="1:21" x14ac:dyDescent="0.25">
      <c r="B72" s="11"/>
      <c r="C72" s="11"/>
      <c r="D72" s="38"/>
      <c r="E72" s="38"/>
      <c r="F72" s="11"/>
      <c r="G72" s="11"/>
      <c r="H72" s="13"/>
      <c r="I72" s="39"/>
      <c r="J72" s="11"/>
      <c r="K72" s="11"/>
      <c r="L72" s="40"/>
      <c r="M72" s="16"/>
      <c r="N72" s="18"/>
      <c r="O72" s="18"/>
      <c r="P72" s="18"/>
      <c r="Q72" s="18"/>
      <c r="R72" s="18"/>
      <c r="S72" s="18"/>
      <c r="T72" s="18"/>
      <c r="U72" s="18"/>
    </row>
    <row r="73" spans="1:21" x14ac:dyDescent="0.25">
      <c r="B73" s="11"/>
      <c r="C73" s="11"/>
      <c r="D73" s="38"/>
      <c r="E73" s="38"/>
      <c r="F73" s="11"/>
      <c r="G73" s="11"/>
      <c r="H73" s="13"/>
      <c r="I73" s="39"/>
      <c r="J73" s="11"/>
      <c r="K73" s="11"/>
      <c r="L73" s="40"/>
      <c r="M73" s="16"/>
      <c r="N73" s="18"/>
      <c r="O73" s="18"/>
      <c r="P73" s="18"/>
      <c r="Q73" s="18"/>
      <c r="R73" s="18"/>
      <c r="S73" s="18"/>
      <c r="T73" s="18"/>
      <c r="U73" s="18"/>
    </row>
    <row r="74" spans="1:21" x14ac:dyDescent="0.25">
      <c r="B74" s="11"/>
      <c r="C74" s="11"/>
      <c r="D74" s="38"/>
      <c r="E74" s="38"/>
      <c r="F74" s="11"/>
      <c r="G74" s="11"/>
      <c r="H74" s="13"/>
      <c r="I74" s="39"/>
      <c r="J74" s="11"/>
      <c r="K74" s="11"/>
      <c r="L74" s="40"/>
      <c r="M74" s="16"/>
      <c r="N74" s="18"/>
      <c r="O74" s="18"/>
      <c r="P74" s="18"/>
      <c r="Q74" s="18"/>
      <c r="R74" s="18"/>
      <c r="S74" s="18"/>
      <c r="T74" s="18"/>
      <c r="U74" s="18"/>
    </row>
    <row r="75" spans="1:21" x14ac:dyDescent="0.25">
      <c r="B75" s="11"/>
      <c r="C75" s="11"/>
      <c r="D75" s="38"/>
      <c r="E75" s="38"/>
      <c r="F75" s="11"/>
      <c r="G75" s="11"/>
      <c r="H75" s="13"/>
      <c r="I75" s="39"/>
      <c r="J75" s="11"/>
      <c r="K75" s="11"/>
      <c r="L75" s="40"/>
      <c r="M75" s="16"/>
      <c r="N75" s="18"/>
      <c r="O75" s="18"/>
      <c r="P75" s="18"/>
      <c r="Q75" s="18"/>
      <c r="R75" s="18"/>
      <c r="S75" s="18"/>
      <c r="T75" s="18"/>
      <c r="U75" s="18"/>
    </row>
    <row r="76" spans="1:21" x14ac:dyDescent="0.25">
      <c r="B76" s="11"/>
      <c r="C76" s="11"/>
      <c r="D76" s="38"/>
      <c r="E76" s="38"/>
      <c r="F76" s="11"/>
      <c r="G76" s="11"/>
      <c r="H76" s="13"/>
      <c r="I76" s="39"/>
      <c r="J76" s="11"/>
      <c r="K76" s="11"/>
      <c r="L76" s="40"/>
      <c r="M76" s="16"/>
      <c r="N76" s="18"/>
      <c r="O76" s="18"/>
      <c r="P76" s="18"/>
      <c r="Q76" s="18"/>
      <c r="R76" s="18"/>
      <c r="S76" s="18"/>
      <c r="T76" s="18"/>
      <c r="U76" s="18"/>
    </row>
    <row r="77" spans="1:21" x14ac:dyDescent="0.25">
      <c r="B77" s="11"/>
      <c r="C77" s="11"/>
      <c r="D77" s="38"/>
      <c r="E77" s="38"/>
      <c r="F77" s="11"/>
      <c r="G77" s="11"/>
      <c r="H77" s="13"/>
      <c r="I77" s="39"/>
      <c r="J77" s="11"/>
      <c r="K77" s="11"/>
      <c r="L77" s="40"/>
      <c r="M77" s="16"/>
      <c r="N77" s="18"/>
      <c r="O77" s="18"/>
      <c r="P77" s="18"/>
      <c r="Q77" s="18"/>
      <c r="R77" s="18"/>
      <c r="S77" s="18"/>
      <c r="T77" s="18"/>
      <c r="U77" s="18"/>
    </row>
    <row r="78" spans="1:21" x14ac:dyDescent="0.25">
      <c r="B78" s="11"/>
      <c r="C78" s="11"/>
      <c r="D78" s="38"/>
      <c r="E78" s="38"/>
      <c r="F78" s="11"/>
      <c r="G78" s="11"/>
      <c r="H78" s="13"/>
      <c r="I78" s="39"/>
      <c r="J78" s="11"/>
      <c r="K78" s="11"/>
      <c r="L78" s="40"/>
      <c r="M78" s="16"/>
      <c r="N78" s="18"/>
      <c r="O78" s="18"/>
      <c r="P78" s="18"/>
      <c r="Q78" s="18"/>
      <c r="R78" s="18"/>
      <c r="S78" s="18"/>
      <c r="T78" s="18"/>
      <c r="U78" s="18"/>
    </row>
    <row r="80" spans="1:21" x14ac:dyDescent="0.25">
      <c r="A80" s="4" t="s">
        <v>98</v>
      </c>
      <c r="B80" s="4" t="s">
        <v>99</v>
      </c>
    </row>
    <row r="81" spans="1:2" x14ac:dyDescent="0.25">
      <c r="B81" s="4" t="s">
        <v>100</v>
      </c>
    </row>
    <row r="82" spans="1:2" x14ac:dyDescent="0.25">
      <c r="B82" s="4" t="s">
        <v>101</v>
      </c>
    </row>
    <row r="83" spans="1:2" x14ac:dyDescent="0.25">
      <c r="B83" s="4" t="s">
        <v>102</v>
      </c>
    </row>
    <row r="84" spans="1:2" x14ac:dyDescent="0.25">
      <c r="A84" s="4" t="s">
        <v>103</v>
      </c>
      <c r="B84" s="4" t="s">
        <v>104</v>
      </c>
    </row>
    <row r="85" spans="1:2" x14ac:dyDescent="0.25">
      <c r="B85" s="4" t="s">
        <v>105</v>
      </c>
    </row>
    <row r="86" spans="1:2" x14ac:dyDescent="0.25">
      <c r="B86" s="4" t="s">
        <v>106</v>
      </c>
    </row>
    <row r="87" spans="1:2" x14ac:dyDescent="0.25">
      <c r="B87" s="4" t="s">
        <v>107</v>
      </c>
    </row>
    <row r="88" spans="1:2" x14ac:dyDescent="0.25">
      <c r="A88" s="4" t="s">
        <v>108</v>
      </c>
      <c r="B88" s="4" t="s">
        <v>109</v>
      </c>
    </row>
    <row r="89" spans="1:2" x14ac:dyDescent="0.25">
      <c r="B89" s="4" t="s">
        <v>110</v>
      </c>
    </row>
    <row r="90" spans="1:2" x14ac:dyDescent="0.25">
      <c r="B90" s="4" t="s">
        <v>111</v>
      </c>
    </row>
    <row r="92" spans="1:2" x14ac:dyDescent="0.25">
      <c r="B92" s="4" t="s">
        <v>112</v>
      </c>
    </row>
    <row r="93" spans="1:2" x14ac:dyDescent="0.25">
      <c r="B93" s="4" t="s">
        <v>113</v>
      </c>
    </row>
    <row r="94" spans="1:2" x14ac:dyDescent="0.25">
      <c r="B94" s="4" t="s">
        <v>114</v>
      </c>
    </row>
    <row r="96" spans="1:2" x14ac:dyDescent="0.25">
      <c r="B96" s="4" t="s">
        <v>115</v>
      </c>
    </row>
    <row r="97" spans="2:2" x14ac:dyDescent="0.25">
      <c r="B97" s="4" t="s">
        <v>116</v>
      </c>
    </row>
  </sheetData>
  <mergeCells count="6">
    <mergeCell ref="R11:U11"/>
    <mergeCell ref="C68:G68"/>
    <mergeCell ref="R13:S13"/>
    <mergeCell ref="R12:S12"/>
    <mergeCell ref="T12:U12"/>
    <mergeCell ref="T13:U13"/>
  </mergeCell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3</xdr:col>
                <xdr:colOff>30480</xdr:colOff>
                <xdr:row>2</xdr:row>
                <xdr:rowOff>22860</xdr:rowOff>
              </from>
              <to>
                <xdr:col>6</xdr:col>
                <xdr:colOff>868680</xdr:colOff>
                <xdr:row>4</xdr:row>
                <xdr:rowOff>160020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9</xdr:col>
                <xdr:colOff>350520</xdr:colOff>
                <xdr:row>4</xdr:row>
                <xdr:rowOff>22860</xdr:rowOff>
              </from>
              <to>
                <xdr:col>17</xdr:col>
                <xdr:colOff>304800</xdr:colOff>
                <xdr:row>7</xdr:row>
                <xdr:rowOff>137160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E28B-A96F-48DE-8723-439AF8BD3C5F}">
  <dimension ref="B2:Q104"/>
  <sheetViews>
    <sheetView topLeftCell="A61" workbookViewId="0">
      <selection activeCell="D16" sqref="D16"/>
    </sheetView>
  </sheetViews>
  <sheetFormatPr defaultRowHeight="14.4" x14ac:dyDescent="0.3"/>
  <cols>
    <col min="2" max="2" width="11" bestFit="1" customWidth="1"/>
    <col min="3" max="3" width="14" customWidth="1"/>
    <col min="8" max="8" width="12" bestFit="1" customWidth="1"/>
    <col min="12" max="12" width="13.6640625" customWidth="1"/>
  </cols>
  <sheetData>
    <row r="2" spans="2:17" x14ac:dyDescent="0.3">
      <c r="B2" t="s">
        <v>325</v>
      </c>
    </row>
    <row r="4" spans="2:17" x14ac:dyDescent="0.3">
      <c r="D4" s="185" t="s">
        <v>333</v>
      </c>
      <c r="E4" s="185"/>
      <c r="F4" s="185"/>
      <c r="H4" s="185" t="s">
        <v>328</v>
      </c>
      <c r="I4" s="185"/>
      <c r="J4" s="185"/>
      <c r="K4" s="185"/>
      <c r="M4" s="185" t="s">
        <v>329</v>
      </c>
      <c r="N4" s="185"/>
      <c r="O4" s="185"/>
      <c r="Q4" s="146" t="s">
        <v>324</v>
      </c>
    </row>
    <row r="5" spans="2:17" x14ac:dyDescent="0.3">
      <c r="B5" t="s">
        <v>326</v>
      </c>
      <c r="D5" s="186" t="s">
        <v>332</v>
      </c>
      <c r="E5" s="186"/>
      <c r="F5" s="186" t="s">
        <v>327</v>
      </c>
      <c r="H5" s="186" t="s">
        <v>331</v>
      </c>
      <c r="I5" s="186"/>
      <c r="J5" s="186" t="s">
        <v>330</v>
      </c>
      <c r="K5" s="186" t="s">
        <v>349</v>
      </c>
      <c r="M5" s="186" t="s">
        <v>334</v>
      </c>
      <c r="N5" s="186"/>
      <c r="O5" s="187" t="s">
        <v>350</v>
      </c>
      <c r="Q5" s="186" t="s">
        <v>351</v>
      </c>
    </row>
    <row r="6" spans="2:17" x14ac:dyDescent="0.3">
      <c r="D6" s="186"/>
      <c r="E6" s="186"/>
      <c r="F6" s="186"/>
      <c r="H6" s="186"/>
      <c r="I6" s="186"/>
      <c r="J6" s="186"/>
      <c r="K6" s="186"/>
      <c r="M6" s="186"/>
      <c r="N6" s="186"/>
      <c r="O6" s="187"/>
      <c r="Q6" s="186"/>
    </row>
    <row r="10" spans="2:17" x14ac:dyDescent="0.3">
      <c r="B10" s="123" t="s">
        <v>335</v>
      </c>
      <c r="C10" s="123"/>
      <c r="D10" s="123"/>
      <c r="E10" s="123" t="s">
        <v>343</v>
      </c>
    </row>
    <row r="11" spans="2:17" x14ac:dyDescent="0.3">
      <c r="B11" t="s">
        <v>336</v>
      </c>
      <c r="C11" t="s">
        <v>322</v>
      </c>
      <c r="D11" s="151">
        <v>1</v>
      </c>
      <c r="E11" s="151" t="s">
        <v>291</v>
      </c>
      <c r="F11" t="s">
        <v>337</v>
      </c>
    </row>
    <row r="12" spans="2:17" x14ac:dyDescent="0.3">
      <c r="C12" t="s">
        <v>323</v>
      </c>
      <c r="D12" s="151">
        <v>1</v>
      </c>
      <c r="E12" s="151" t="s">
        <v>291</v>
      </c>
      <c r="F12" t="s">
        <v>341</v>
      </c>
    </row>
    <row r="13" spans="2:17" x14ac:dyDescent="0.3">
      <c r="C13" t="s">
        <v>342</v>
      </c>
      <c r="D13" s="151">
        <v>0.8</v>
      </c>
      <c r="E13" s="151" t="s">
        <v>346</v>
      </c>
      <c r="F13" t="s">
        <v>338</v>
      </c>
    </row>
    <row r="14" spans="2:17" x14ac:dyDescent="0.3">
      <c r="C14" t="s">
        <v>339</v>
      </c>
      <c r="D14" s="151">
        <v>100</v>
      </c>
      <c r="E14" s="151" t="s">
        <v>86</v>
      </c>
      <c r="F14" t="s">
        <v>340</v>
      </c>
    </row>
    <row r="15" spans="2:17" x14ac:dyDescent="0.3">
      <c r="C15" t="s">
        <v>353</v>
      </c>
      <c r="D15" s="151">
        <v>72</v>
      </c>
      <c r="E15" s="151" t="s">
        <v>311</v>
      </c>
      <c r="F15" t="s">
        <v>431</v>
      </c>
    </row>
    <row r="16" spans="2:17" x14ac:dyDescent="0.3">
      <c r="C16" t="s">
        <v>352</v>
      </c>
      <c r="D16" s="151">
        <v>30</v>
      </c>
      <c r="E16" s="151" t="s">
        <v>291</v>
      </c>
      <c r="F16" t="s">
        <v>358</v>
      </c>
    </row>
    <row r="17" spans="2:9" ht="15.6" customHeight="1" x14ac:dyDescent="0.3">
      <c r="C17" t="s">
        <v>354</v>
      </c>
      <c r="D17" s="151">
        <f>115/4.05</f>
        <v>28.395061728395063</v>
      </c>
      <c r="E17" s="151" t="s">
        <v>320</v>
      </c>
      <c r="F17" t="s">
        <v>230</v>
      </c>
    </row>
    <row r="18" spans="2:9" ht="15.6" customHeight="1" x14ac:dyDescent="0.3">
      <c r="C18" t="s">
        <v>355</v>
      </c>
      <c r="D18" s="151">
        <f>2.5/125</f>
        <v>0.02</v>
      </c>
      <c r="E18" s="151" t="s">
        <v>356</v>
      </c>
      <c r="F18" t="s">
        <v>282</v>
      </c>
    </row>
    <row r="19" spans="2:9" ht="15.6" customHeight="1" x14ac:dyDescent="0.3">
      <c r="C19" t="s">
        <v>357</v>
      </c>
      <c r="D19" s="151">
        <v>20</v>
      </c>
      <c r="E19" s="151" t="s">
        <v>320</v>
      </c>
      <c r="F19" t="s">
        <v>359</v>
      </c>
    </row>
    <row r="20" spans="2:9" ht="15.6" customHeight="1" x14ac:dyDescent="0.3">
      <c r="C20" t="s">
        <v>360</v>
      </c>
      <c r="D20" s="151">
        <v>0.1</v>
      </c>
      <c r="E20" s="151" t="s">
        <v>320</v>
      </c>
      <c r="F20" t="s">
        <v>361</v>
      </c>
    </row>
    <row r="21" spans="2:9" ht="15.6" customHeight="1" x14ac:dyDescent="0.3">
      <c r="C21" t="s">
        <v>324</v>
      </c>
      <c r="D21" s="151">
        <v>3276.8</v>
      </c>
      <c r="E21" s="151" t="s">
        <v>321</v>
      </c>
      <c r="F21" t="s">
        <v>390</v>
      </c>
    </row>
    <row r="22" spans="2:9" x14ac:dyDescent="0.3">
      <c r="C22" s="3"/>
    </row>
    <row r="25" spans="2:9" x14ac:dyDescent="0.3">
      <c r="B25" s="123" t="s">
        <v>347</v>
      </c>
    </row>
    <row r="27" spans="2:9" x14ac:dyDescent="0.3">
      <c r="B27" s="124">
        <f>(f^2)/((((f0^2-f^2)^2)+4*Damping^2*(f0^2*f^2))^0.5)*MotorConst</f>
        <v>62.5</v>
      </c>
      <c r="C27" t="s">
        <v>345</v>
      </c>
      <c r="H27" t="s">
        <v>344</v>
      </c>
    </row>
    <row r="28" spans="2:9" x14ac:dyDescent="0.3">
      <c r="B28" s="154">
        <f>(f^2)/((((f0^2-f^2)^2)+4*Damping^2*(f0^2*f^2))^0.5)</f>
        <v>0.625</v>
      </c>
      <c r="H28" t="s">
        <v>398</v>
      </c>
    </row>
    <row r="29" spans="2:9" x14ac:dyDescent="0.3">
      <c r="B29" s="154">
        <f>(f^2)/((f0^2-f^2)+2*Damping*f0*f)</f>
        <v>0.625</v>
      </c>
      <c r="H29" t="s">
        <v>399</v>
      </c>
    </row>
    <row r="30" spans="2:9" x14ac:dyDescent="0.3">
      <c r="B30" s="154"/>
    </row>
    <row r="32" spans="2:9" x14ac:dyDescent="0.3">
      <c r="C32" t="s">
        <v>386</v>
      </c>
      <c r="I32" t="s">
        <v>387</v>
      </c>
    </row>
    <row r="34" spans="2:11" x14ac:dyDescent="0.3">
      <c r="B34" t="s">
        <v>364</v>
      </c>
      <c r="C34" t="s">
        <v>383</v>
      </c>
      <c r="E34" t="s">
        <v>384</v>
      </c>
      <c r="I34" t="s">
        <v>383</v>
      </c>
      <c r="K34" t="s">
        <v>385</v>
      </c>
    </row>
    <row r="35" spans="2:11" x14ac:dyDescent="0.3">
      <c r="C35" s="3">
        <f>-2*(3.14159*f0*Damping)</f>
        <v>-5.0265440000000003</v>
      </c>
      <c r="D35" s="3"/>
      <c r="E35" s="3">
        <f>2*3.14159*f0*SQRT(1-Damping^2)</f>
        <v>3.7699079999999991</v>
      </c>
      <c r="F35" s="3"/>
      <c r="G35" s="3"/>
      <c r="H35" s="3"/>
      <c r="I35" s="3">
        <f>-2*(3.14159*f0*Damping)</f>
        <v>-5.0265440000000003</v>
      </c>
      <c r="J35" s="3"/>
      <c r="K35" s="3">
        <f>-2*3.14159*f0*SQRT(1-Damping^2)</f>
        <v>-3.7699079999999991</v>
      </c>
    </row>
    <row r="36" spans="2:11" x14ac:dyDescent="0.3">
      <c r="C36" s="3"/>
      <c r="D36" s="3"/>
      <c r="E36" s="3"/>
      <c r="F36" s="3"/>
      <c r="G36" s="3"/>
      <c r="H36" s="3"/>
      <c r="I36" s="3"/>
      <c r="J36" s="3"/>
      <c r="K36" s="3"/>
    </row>
    <row r="37" spans="2:11" x14ac:dyDescent="0.3">
      <c r="B37" t="s">
        <v>365</v>
      </c>
      <c r="C37" s="3">
        <v>0</v>
      </c>
      <c r="D37" s="3"/>
      <c r="E37" s="3">
        <v>0</v>
      </c>
      <c r="F37" s="3"/>
      <c r="G37" s="3"/>
      <c r="H37" s="3"/>
      <c r="I37" s="3">
        <v>0</v>
      </c>
      <c r="J37" s="3"/>
      <c r="K37" s="3">
        <v>0</v>
      </c>
    </row>
    <row r="38" spans="2:11" x14ac:dyDescent="0.3">
      <c r="B38" t="s">
        <v>366</v>
      </c>
    </row>
    <row r="42" spans="2:11" x14ac:dyDescent="0.3">
      <c r="B42" s="123" t="s">
        <v>348</v>
      </c>
    </row>
    <row r="44" spans="2:11" x14ac:dyDescent="0.3">
      <c r="B44" s="123">
        <f>10^(McVCOgain_dB/20)</f>
        <v>3981.0717055349769</v>
      </c>
      <c r="C44" t="s">
        <v>363</v>
      </c>
      <c r="H44">
        <v>3981</v>
      </c>
      <c r="I44" t="s">
        <v>429</v>
      </c>
    </row>
    <row r="46" spans="2:11" x14ac:dyDescent="0.3">
      <c r="B46" s="158">
        <f>(1/((1+(f/McVCOloPass)^8)^0.5))</f>
        <v>0.99999999999923794</v>
      </c>
      <c r="C46" t="s">
        <v>362</v>
      </c>
      <c r="H46" s="144" t="s">
        <v>401</v>
      </c>
    </row>
    <row r="50" spans="2:14" x14ac:dyDescent="0.3">
      <c r="B50" s="147">
        <f>(2*3.1415*McVCOloPass)^4</f>
        <v>1262272898.2160962</v>
      </c>
      <c r="C50" t="s">
        <v>369</v>
      </c>
      <c r="I50" s="183" t="s">
        <v>283</v>
      </c>
      <c r="J50" s="183"/>
      <c r="K50" s="183"/>
    </row>
    <row r="51" spans="2:14" x14ac:dyDescent="0.3">
      <c r="G51" s="124" t="s">
        <v>367</v>
      </c>
      <c r="H51" s="124" t="s">
        <v>368</v>
      </c>
      <c r="I51" s="124" t="s">
        <v>286</v>
      </c>
      <c r="J51" s="124" t="s">
        <v>287</v>
      </c>
      <c r="K51" s="124" t="s">
        <v>288</v>
      </c>
      <c r="L51" s="124" t="s">
        <v>25</v>
      </c>
      <c r="M51" s="124" t="s">
        <v>27</v>
      </c>
      <c r="N51" s="124"/>
    </row>
    <row r="52" spans="2:14" ht="15.6" x14ac:dyDescent="0.35">
      <c r="D52" t="s">
        <v>284</v>
      </c>
      <c r="G52" s="3">
        <v>30</v>
      </c>
      <c r="H52" s="3">
        <f>2*3.14159*(G52)</f>
        <v>188.49539999999999</v>
      </c>
      <c r="I52" s="3">
        <v>1</v>
      </c>
      <c r="J52" s="3">
        <f xml:space="preserve"> 0.765367*H52</f>
        <v>144.26815881179999</v>
      </c>
      <c r="K52" s="3">
        <f>H52^2</f>
        <v>35530.515821159999</v>
      </c>
      <c r="L52">
        <f>-J52/2</f>
        <v>-72.134079405899996</v>
      </c>
      <c r="M52">
        <f>((-((J52^2)-4*I52*K52))^0.5)/2</f>
        <v>174.14703675177282</v>
      </c>
      <c r="N52" s="125"/>
    </row>
    <row r="53" spans="2:14" x14ac:dyDescent="0.3">
      <c r="G53" s="3"/>
      <c r="H53" s="3"/>
      <c r="I53" s="3"/>
      <c r="J53" s="3"/>
      <c r="K53" s="3"/>
      <c r="L53">
        <f>L52</f>
        <v>-72.134079405899996</v>
      </c>
      <c r="M53">
        <f>-M52</f>
        <v>-174.14703675177282</v>
      </c>
      <c r="N53" s="125"/>
    </row>
    <row r="54" spans="2:14" ht="15.6" x14ac:dyDescent="0.35">
      <c r="D54" t="s">
        <v>285</v>
      </c>
      <c r="G54" s="3">
        <v>30</v>
      </c>
      <c r="H54" s="3">
        <f>2*3.14159*(G54)</f>
        <v>188.49539999999999</v>
      </c>
      <c r="I54" s="3">
        <v>1</v>
      </c>
      <c r="J54" s="3">
        <f>1.8477759*H54</f>
        <v>348.29725738086</v>
      </c>
      <c r="K54" s="3">
        <f>H54^2</f>
        <v>35530.515821159999</v>
      </c>
      <c r="L54">
        <f>-J54/2</f>
        <v>-174.14862869043</v>
      </c>
      <c r="M54">
        <f>((-((J54^2)-4*I54*K54))^0.5)/2</f>
        <v>72.130236006842097</v>
      </c>
      <c r="N54" s="125"/>
    </row>
    <row r="55" spans="2:14" x14ac:dyDescent="0.3">
      <c r="L55">
        <f>L54</f>
        <v>-174.14862869043</v>
      </c>
      <c r="M55">
        <f>-M54</f>
        <v>-72.130236006842097</v>
      </c>
    </row>
    <row r="57" spans="2:14" x14ac:dyDescent="0.3">
      <c r="B57" s="123">
        <f>McVCO_V_Hz</f>
        <v>28.395061728395063</v>
      </c>
      <c r="C57" t="s">
        <v>230</v>
      </c>
    </row>
    <row r="60" spans="2:14" x14ac:dyDescent="0.3">
      <c r="B60" s="123" t="s">
        <v>370</v>
      </c>
    </row>
    <row r="62" spans="2:14" x14ac:dyDescent="0.3">
      <c r="B62" s="154">
        <f>2.5/125</f>
        <v>0.02</v>
      </c>
      <c r="C62" t="s">
        <v>282</v>
      </c>
    </row>
    <row r="63" spans="2:14" ht="14.4" customHeight="1" x14ac:dyDescent="0.3">
      <c r="C63" s="184" t="s">
        <v>371</v>
      </c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</row>
    <row r="64" spans="2:14" x14ac:dyDescent="0.3"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</row>
    <row r="65" spans="2:14" x14ac:dyDescent="0.3"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</row>
    <row r="66" spans="2:14" x14ac:dyDescent="0.3"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</row>
    <row r="67" spans="2:14" ht="19.2" customHeight="1" x14ac:dyDescent="0.3">
      <c r="B67" s="157">
        <f>(1/((1+(f/DiscLoPass)^8)^0.5))</f>
        <v>0.99999999998046873</v>
      </c>
      <c r="C67" s="150" t="s">
        <v>376</v>
      </c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</row>
    <row r="68" spans="2:14" x14ac:dyDescent="0.3"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</row>
    <row r="69" spans="2:14" x14ac:dyDescent="0.3">
      <c r="I69" s="183" t="s">
        <v>283</v>
      </c>
      <c r="J69" s="183"/>
      <c r="K69" s="183"/>
    </row>
    <row r="70" spans="2:14" x14ac:dyDescent="0.3">
      <c r="B70" s="147">
        <f>(2*3.1415*DiscLoPass)^4</f>
        <v>249337856.43774745</v>
      </c>
      <c r="C70" t="s">
        <v>369</v>
      </c>
      <c r="G70" s="124" t="s">
        <v>289</v>
      </c>
      <c r="H70" s="124" t="s">
        <v>290</v>
      </c>
      <c r="I70" s="124" t="s">
        <v>286</v>
      </c>
      <c r="J70" s="124" t="s">
        <v>287</v>
      </c>
      <c r="K70" s="124" t="s">
        <v>288</v>
      </c>
      <c r="L70" s="124" t="s">
        <v>25</v>
      </c>
      <c r="M70" s="124" t="s">
        <v>27</v>
      </c>
      <c r="N70" s="124"/>
    </row>
    <row r="71" spans="2:14" ht="15.6" x14ac:dyDescent="0.35">
      <c r="D71" t="s">
        <v>284</v>
      </c>
      <c r="G71" s="3">
        <v>20</v>
      </c>
      <c r="H71" s="3">
        <f>2*3.14159*(G71)</f>
        <v>125.6636</v>
      </c>
      <c r="I71" s="3">
        <v>1</v>
      </c>
      <c r="J71" s="3">
        <f xml:space="preserve"> 0.765367*H71</f>
        <v>96.178772541200004</v>
      </c>
      <c r="K71" s="3">
        <f>H71^2</f>
        <v>15791.34036496</v>
      </c>
      <c r="L71">
        <f>-J71/2</f>
        <v>-48.089386270600002</v>
      </c>
      <c r="M71">
        <f>((-((J71^2)-4*I71*K71))^0.5)/2</f>
        <v>116.09802450118188</v>
      </c>
      <c r="N71" s="125"/>
    </row>
    <row r="72" spans="2:14" x14ac:dyDescent="0.3">
      <c r="G72" s="3"/>
      <c r="H72" s="3"/>
      <c r="I72" s="3"/>
      <c r="J72" s="3"/>
      <c r="K72" s="3"/>
      <c r="L72">
        <f>L71</f>
        <v>-48.089386270600002</v>
      </c>
      <c r="M72">
        <f>-M71</f>
        <v>-116.09802450118188</v>
      </c>
      <c r="N72" s="125"/>
    </row>
    <row r="73" spans="2:14" ht="15.6" x14ac:dyDescent="0.35">
      <c r="D73" t="s">
        <v>285</v>
      </c>
      <c r="G73" s="3">
        <v>20</v>
      </c>
      <c r="H73" s="3">
        <f>2*3.14159*(G73)</f>
        <v>125.6636</v>
      </c>
      <c r="I73" s="3">
        <v>1</v>
      </c>
      <c r="J73" s="3">
        <f>1.8477759*H73</f>
        <v>232.19817158724001</v>
      </c>
      <c r="K73" s="3">
        <f>H73^2</f>
        <v>15791.34036496</v>
      </c>
      <c r="L73">
        <f>-J73/2</f>
        <v>-116.09908579362001</v>
      </c>
      <c r="M73">
        <f>((-((J73^2)-4*I73*K73))^0.5)/2</f>
        <v>48.0868240045614</v>
      </c>
      <c r="N73" s="125"/>
    </row>
    <row r="74" spans="2:14" x14ac:dyDescent="0.3">
      <c r="G74" s="3"/>
      <c r="H74" s="3"/>
      <c r="I74" s="3"/>
      <c r="J74" s="3"/>
      <c r="K74" s="3"/>
      <c r="L74">
        <f>L73</f>
        <v>-116.09908579362001</v>
      </c>
      <c r="M74">
        <f>-M73</f>
        <v>-48.0868240045614</v>
      </c>
      <c r="N74" s="125"/>
    </row>
    <row r="77" spans="2:14" x14ac:dyDescent="0.3">
      <c r="B77" t="s">
        <v>324</v>
      </c>
    </row>
    <row r="78" spans="2:14" x14ac:dyDescent="0.3">
      <c r="B78" s="123">
        <f>ADC</f>
        <v>3276.8</v>
      </c>
    </row>
    <row r="80" spans="2:14" x14ac:dyDescent="0.3">
      <c r="C80" t="s">
        <v>393</v>
      </c>
      <c r="H80" t="s">
        <v>273</v>
      </c>
    </row>
    <row r="82" spans="2:9" x14ac:dyDescent="0.3">
      <c r="B82">
        <f>10^(McVCOgain_dB/20)</f>
        <v>3981.0717055349769</v>
      </c>
      <c r="C82" t="s">
        <v>353</v>
      </c>
      <c r="H82">
        <v>1</v>
      </c>
      <c r="I82" t="s">
        <v>375</v>
      </c>
    </row>
    <row r="83" spans="2:9" x14ac:dyDescent="0.3">
      <c r="B83">
        <f>B46</f>
        <v>0.99999999999923794</v>
      </c>
      <c r="C83" t="s">
        <v>391</v>
      </c>
    </row>
    <row r="84" spans="2:9" x14ac:dyDescent="0.3">
      <c r="B84">
        <f>McVCO_V_Hz</f>
        <v>28.395061728395063</v>
      </c>
      <c r="C84" t="s">
        <v>354</v>
      </c>
      <c r="D84" s="182">
        <f>-B84*B85</f>
        <v>-0.56790123456790131</v>
      </c>
      <c r="H84" s="125">
        <v>1262000000</v>
      </c>
      <c r="I84" t="s">
        <v>372</v>
      </c>
    </row>
    <row r="85" spans="2:9" x14ac:dyDescent="0.3">
      <c r="B85">
        <f>Disc_Hz_V</f>
        <v>0.02</v>
      </c>
      <c r="C85" t="s">
        <v>355</v>
      </c>
      <c r="D85" s="182"/>
      <c r="H85" s="125">
        <v>249400000</v>
      </c>
      <c r="I85" t="s">
        <v>373</v>
      </c>
    </row>
    <row r="86" spans="2:9" x14ac:dyDescent="0.3">
      <c r="B86">
        <f>B67</f>
        <v>0.99999999998046873</v>
      </c>
      <c r="C86" t="s">
        <v>392</v>
      </c>
      <c r="H86">
        <f>H84*H85</f>
        <v>3.147428E+17</v>
      </c>
      <c r="I86" t="s">
        <v>374</v>
      </c>
    </row>
    <row r="87" spans="2:9" x14ac:dyDescent="0.3">
      <c r="B87" s="153">
        <f>20*LOG(B82*B84*B85)</f>
        <v>67.085456256058492</v>
      </c>
      <c r="C87" s="153" t="s">
        <v>394</v>
      </c>
      <c r="H87" s="190" t="s">
        <v>430</v>
      </c>
    </row>
    <row r="90" spans="2:9" ht="15" thickBot="1" x14ac:dyDescent="0.35">
      <c r="B90" s="152">
        <f>ADC</f>
        <v>3276.8</v>
      </c>
      <c r="C90" t="s">
        <v>324</v>
      </c>
    </row>
    <row r="91" spans="2:9" ht="15" thickTop="1" x14ac:dyDescent="0.3">
      <c r="B91" s="147">
        <f>B82*B84*B85*B90*B83*B86</f>
        <v>7408371.421776359</v>
      </c>
      <c r="C91" t="s">
        <v>381</v>
      </c>
    </row>
    <row r="92" spans="2:9" x14ac:dyDescent="0.3">
      <c r="B92" s="125"/>
    </row>
    <row r="94" spans="2:9" ht="15" thickBot="1" x14ac:dyDescent="0.35">
      <c r="B94" s="152">
        <v>62.5</v>
      </c>
      <c r="C94" t="s">
        <v>380</v>
      </c>
      <c r="D94" t="s">
        <v>382</v>
      </c>
    </row>
    <row r="95" spans="2:9" ht="15" thickTop="1" x14ac:dyDescent="0.3">
      <c r="B95" s="147">
        <f>B91*B94</f>
        <v>463023213.86102241</v>
      </c>
      <c r="C95" s="147" t="s">
        <v>395</v>
      </c>
      <c r="D95" t="s">
        <v>396</v>
      </c>
    </row>
    <row r="97" spans="2:4" x14ac:dyDescent="0.3">
      <c r="B97" s="147"/>
    </row>
    <row r="99" spans="2:4" x14ac:dyDescent="0.3">
      <c r="C99" t="s">
        <v>378</v>
      </c>
    </row>
    <row r="100" spans="2:4" x14ac:dyDescent="0.3">
      <c r="C100" t="s">
        <v>377</v>
      </c>
    </row>
    <row r="103" spans="2:4" x14ac:dyDescent="0.3">
      <c r="C103">
        <f>2*3.1415*30</f>
        <v>188.49</v>
      </c>
      <c r="D103" t="s">
        <v>388</v>
      </c>
    </row>
    <row r="104" spans="2:4" x14ac:dyDescent="0.3">
      <c r="C104">
        <f>2*3.1415*20</f>
        <v>125.66000000000001</v>
      </c>
      <c r="D104" t="s">
        <v>389</v>
      </c>
    </row>
  </sheetData>
  <mergeCells count="15">
    <mergeCell ref="O5:O6"/>
    <mergeCell ref="M4:O4"/>
    <mergeCell ref="Q5:Q6"/>
    <mergeCell ref="D5:E6"/>
    <mergeCell ref="F5:F6"/>
    <mergeCell ref="H5:I6"/>
    <mergeCell ref="J5:J6"/>
    <mergeCell ref="K5:K6"/>
    <mergeCell ref="D84:D85"/>
    <mergeCell ref="I50:K50"/>
    <mergeCell ref="C63:N65"/>
    <mergeCell ref="I69:K69"/>
    <mergeCell ref="D4:F4"/>
    <mergeCell ref="H4:K4"/>
    <mergeCell ref="M5:N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5860-7D41-4145-8056-D5D47732B663}">
  <dimension ref="C2:H13"/>
  <sheetViews>
    <sheetView topLeftCell="A7" workbookViewId="0">
      <selection activeCell="C15" sqref="C15"/>
    </sheetView>
  </sheetViews>
  <sheetFormatPr defaultRowHeight="14.4" x14ac:dyDescent="0.3"/>
  <cols>
    <col min="3" max="3" width="40.88671875" bestFit="1" customWidth="1"/>
    <col min="5" max="5" width="13.109375" bestFit="1" customWidth="1"/>
  </cols>
  <sheetData>
    <row r="2" spans="3:8" x14ac:dyDescent="0.3">
      <c r="C2" t="s">
        <v>421</v>
      </c>
    </row>
    <row r="4" spans="3:8" x14ac:dyDescent="0.3">
      <c r="D4" t="s">
        <v>423</v>
      </c>
      <c r="E4" t="s">
        <v>425</v>
      </c>
    </row>
    <row r="5" spans="3:8" x14ac:dyDescent="0.3">
      <c r="C5" t="s">
        <v>422</v>
      </c>
      <c r="D5">
        <v>8284</v>
      </c>
      <c r="E5" s="125">
        <f>D5/10^9</f>
        <v>8.2840000000000006E-6</v>
      </c>
    </row>
    <row r="6" spans="3:8" x14ac:dyDescent="0.3">
      <c r="C6" t="s">
        <v>424</v>
      </c>
      <c r="D6">
        <v>6279</v>
      </c>
      <c r="E6" s="125">
        <f>D6/10^9</f>
        <v>6.2790000000000004E-6</v>
      </c>
    </row>
    <row r="7" spans="3:8" x14ac:dyDescent="0.3">
      <c r="D7">
        <f>D5-D6</f>
        <v>2005</v>
      </c>
    </row>
    <row r="8" spans="3:8" x14ac:dyDescent="0.3">
      <c r="D8">
        <f>D7/D5</f>
        <v>0.2420328343795268</v>
      </c>
    </row>
    <row r="12" spans="3:8" x14ac:dyDescent="0.3">
      <c r="C12" t="s">
        <v>426</v>
      </c>
      <c r="D12">
        <v>100</v>
      </c>
      <c r="E12" s="188">
        <v>101011101001</v>
      </c>
      <c r="F12">
        <v>1011</v>
      </c>
      <c r="G12" s="189" t="s">
        <v>427</v>
      </c>
      <c r="H12" s="189" t="s">
        <v>428</v>
      </c>
    </row>
    <row r="13" spans="3:8" x14ac:dyDescent="0.3">
      <c r="C13" t="s">
        <v>272</v>
      </c>
      <c r="D13">
        <v>66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E8-E54C-4AAD-95D5-15496F7A250F}">
  <dimension ref="A1:I48"/>
  <sheetViews>
    <sheetView topLeftCell="A19" workbookViewId="0">
      <selection activeCell="E49" sqref="E49"/>
    </sheetView>
  </sheetViews>
  <sheetFormatPr defaultRowHeight="13.2" x14ac:dyDescent="0.25"/>
  <cols>
    <col min="1" max="1" width="23.88671875" style="126" customWidth="1"/>
    <col min="2" max="2" width="21.44140625" style="126" customWidth="1"/>
    <col min="3" max="3" width="13" style="126" bestFit="1" customWidth="1"/>
    <col min="4" max="4" width="14.109375" style="126" bestFit="1" customWidth="1"/>
    <col min="5" max="5" width="15.5546875" style="126" bestFit="1" customWidth="1"/>
    <col min="6" max="16384" width="8.88671875" style="126"/>
  </cols>
  <sheetData>
    <row r="1" spans="1:8" x14ac:dyDescent="0.25">
      <c r="A1" s="143" t="s">
        <v>319</v>
      </c>
      <c r="B1" s="143" t="s">
        <v>277</v>
      </c>
      <c r="C1" s="143" t="s">
        <v>318</v>
      </c>
      <c r="D1" s="143" t="s">
        <v>317</v>
      </c>
      <c r="E1" s="143" t="s">
        <v>316</v>
      </c>
      <c r="F1" s="131"/>
      <c r="G1" s="131"/>
    </row>
    <row r="2" spans="1:8" x14ac:dyDescent="0.25">
      <c r="A2" s="133">
        <v>0</v>
      </c>
      <c r="B2" s="136">
        <f t="shared" ref="B2:B26" si="0">2^A2</f>
        <v>1</v>
      </c>
      <c r="C2" s="136">
        <f t="shared" ref="C2:C26" si="1">100*(1/B2)</f>
        <v>100</v>
      </c>
      <c r="D2" s="132">
        <f t="shared" ref="D2:D26" si="2">10*LOG10(B2)</f>
        <v>0</v>
      </c>
      <c r="E2" s="132">
        <f t="shared" ref="E2:E26" si="3">20*LOG10(B2)</f>
        <v>0</v>
      </c>
      <c r="F2" s="131"/>
      <c r="G2" s="131"/>
    </row>
    <row r="3" spans="1:8" x14ac:dyDescent="0.25">
      <c r="A3" s="133">
        <v>1</v>
      </c>
      <c r="B3" s="136">
        <f t="shared" si="0"/>
        <v>2</v>
      </c>
      <c r="C3" s="136">
        <f t="shared" si="1"/>
        <v>50</v>
      </c>
      <c r="D3" s="132">
        <f t="shared" si="2"/>
        <v>3.0102999566398121</v>
      </c>
      <c r="E3" s="132">
        <f t="shared" si="3"/>
        <v>6.0205999132796242</v>
      </c>
      <c r="F3" s="131"/>
      <c r="G3" s="131"/>
    </row>
    <row r="4" spans="1:8" x14ac:dyDescent="0.25">
      <c r="A4" s="133">
        <v>2</v>
      </c>
      <c r="B4" s="136">
        <f t="shared" si="0"/>
        <v>4</v>
      </c>
      <c r="C4" s="136">
        <f t="shared" si="1"/>
        <v>25</v>
      </c>
      <c r="D4" s="132">
        <f t="shared" si="2"/>
        <v>6.0205999132796242</v>
      </c>
      <c r="E4" s="132">
        <f t="shared" si="3"/>
        <v>12.041199826559248</v>
      </c>
      <c r="F4" s="131"/>
      <c r="G4" s="131"/>
    </row>
    <row r="5" spans="1:8" x14ac:dyDescent="0.25">
      <c r="A5" s="133">
        <v>3</v>
      </c>
      <c r="B5" s="136">
        <f t="shared" si="0"/>
        <v>8</v>
      </c>
      <c r="C5" s="142">
        <f t="shared" si="1"/>
        <v>12.5</v>
      </c>
      <c r="D5" s="132">
        <f t="shared" si="2"/>
        <v>9.0308998699194358</v>
      </c>
      <c r="E5" s="132">
        <f t="shared" si="3"/>
        <v>18.061799739838872</v>
      </c>
      <c r="F5" s="131"/>
      <c r="G5" s="131"/>
    </row>
    <row r="6" spans="1:8" x14ac:dyDescent="0.25">
      <c r="A6" s="133">
        <v>4</v>
      </c>
      <c r="B6" s="136">
        <f t="shared" si="0"/>
        <v>16</v>
      </c>
      <c r="C6" s="141">
        <f t="shared" si="1"/>
        <v>6.25</v>
      </c>
      <c r="D6" s="132">
        <f t="shared" si="2"/>
        <v>12.041199826559248</v>
      </c>
      <c r="E6" s="132">
        <f t="shared" si="3"/>
        <v>24.082399653118497</v>
      </c>
      <c r="F6" s="131"/>
      <c r="G6" s="131"/>
    </row>
    <row r="7" spans="1:8" x14ac:dyDescent="0.25">
      <c r="A7" s="133">
        <v>5</v>
      </c>
      <c r="B7" s="136">
        <f t="shared" si="0"/>
        <v>32</v>
      </c>
      <c r="C7" s="141">
        <f t="shared" si="1"/>
        <v>3.125</v>
      </c>
      <c r="D7" s="132">
        <f t="shared" si="2"/>
        <v>15.051499783199061</v>
      </c>
      <c r="E7" s="132">
        <f t="shared" si="3"/>
        <v>30.102999566398122</v>
      </c>
      <c r="F7" s="131"/>
      <c r="G7" s="131"/>
    </row>
    <row r="8" spans="1:8" x14ac:dyDescent="0.25">
      <c r="A8" s="133">
        <v>6</v>
      </c>
      <c r="B8" s="136">
        <f t="shared" si="0"/>
        <v>64</v>
      </c>
      <c r="C8" s="141">
        <f t="shared" si="1"/>
        <v>1.5625</v>
      </c>
      <c r="D8" s="132">
        <f t="shared" si="2"/>
        <v>18.061799739838872</v>
      </c>
      <c r="E8" s="132">
        <f t="shared" si="3"/>
        <v>36.123599479677743</v>
      </c>
      <c r="F8" s="131"/>
      <c r="G8" s="131"/>
    </row>
    <row r="9" spans="1:8" x14ac:dyDescent="0.25">
      <c r="A9" s="133">
        <v>7</v>
      </c>
      <c r="B9" s="136">
        <f t="shared" si="0"/>
        <v>128</v>
      </c>
      <c r="C9" s="141">
        <f t="shared" si="1"/>
        <v>0.78125</v>
      </c>
      <c r="D9" s="132">
        <f t="shared" si="2"/>
        <v>21.072099696478684</v>
      </c>
      <c r="E9" s="132">
        <f t="shared" si="3"/>
        <v>42.144199392957368</v>
      </c>
      <c r="F9" s="131"/>
      <c r="G9" s="131"/>
    </row>
    <row r="10" spans="1:8" x14ac:dyDescent="0.25">
      <c r="A10" s="133">
        <v>8</v>
      </c>
      <c r="B10" s="136">
        <f t="shared" si="0"/>
        <v>256</v>
      </c>
      <c r="C10" s="141">
        <f t="shared" si="1"/>
        <v>0.390625</v>
      </c>
      <c r="D10" s="132">
        <f t="shared" si="2"/>
        <v>24.082399653118497</v>
      </c>
      <c r="E10" s="132">
        <f t="shared" si="3"/>
        <v>48.164799306236993</v>
      </c>
      <c r="F10" s="131"/>
      <c r="G10" s="131"/>
    </row>
    <row r="11" spans="1:8" x14ac:dyDescent="0.25">
      <c r="A11" s="133">
        <v>9</v>
      </c>
      <c r="B11" s="136">
        <f t="shared" si="0"/>
        <v>512</v>
      </c>
      <c r="C11" s="140">
        <f t="shared" si="1"/>
        <v>0.1953125</v>
      </c>
      <c r="D11" s="132">
        <f t="shared" si="2"/>
        <v>27.092699609758309</v>
      </c>
      <c r="E11" s="132">
        <f t="shared" si="3"/>
        <v>54.185399219516619</v>
      </c>
      <c r="F11" s="131"/>
      <c r="G11" s="131"/>
    </row>
    <row r="12" spans="1:8" x14ac:dyDescent="0.25">
      <c r="A12" s="133">
        <v>10</v>
      </c>
      <c r="B12" s="136">
        <f t="shared" si="0"/>
        <v>1024</v>
      </c>
      <c r="C12" s="140">
        <f t="shared" si="1"/>
        <v>9.765625E-2</v>
      </c>
      <c r="D12" s="132">
        <f t="shared" si="2"/>
        <v>30.102999566398122</v>
      </c>
      <c r="E12" s="132">
        <f t="shared" si="3"/>
        <v>60.205999132796244</v>
      </c>
      <c r="F12" s="131"/>
      <c r="G12" s="131"/>
    </row>
    <row r="13" spans="1:8" x14ac:dyDescent="0.25">
      <c r="A13" s="133">
        <v>11</v>
      </c>
      <c r="B13" s="136">
        <f t="shared" si="0"/>
        <v>2048</v>
      </c>
      <c r="C13" s="140">
        <f t="shared" si="1"/>
        <v>4.8828125E-2</v>
      </c>
      <c r="D13" s="132">
        <f t="shared" si="2"/>
        <v>33.113299523037931</v>
      </c>
      <c r="E13" s="132">
        <f t="shared" si="3"/>
        <v>66.226599046075862</v>
      </c>
      <c r="F13" s="131"/>
      <c r="G13" s="131"/>
    </row>
    <row r="14" spans="1:8" x14ac:dyDescent="0.25">
      <c r="A14" s="133">
        <v>12</v>
      </c>
      <c r="B14" s="136">
        <f t="shared" si="0"/>
        <v>4096</v>
      </c>
      <c r="C14" s="140">
        <f t="shared" si="1"/>
        <v>2.44140625E-2</v>
      </c>
      <c r="D14" s="132">
        <f t="shared" si="2"/>
        <v>36.123599479677743</v>
      </c>
      <c r="E14" s="132">
        <f t="shared" si="3"/>
        <v>72.247198959355487</v>
      </c>
      <c r="F14" s="131" t="s">
        <v>315</v>
      </c>
      <c r="G14" s="131" t="s">
        <v>314</v>
      </c>
      <c r="H14" s="126" t="s">
        <v>313</v>
      </c>
    </row>
    <row r="15" spans="1:8" x14ac:dyDescent="0.25">
      <c r="A15" s="133">
        <v>13</v>
      </c>
      <c r="B15" s="136">
        <f t="shared" si="0"/>
        <v>8192</v>
      </c>
      <c r="C15" s="140">
        <f t="shared" si="1"/>
        <v>1.220703125E-2</v>
      </c>
      <c r="D15" s="132">
        <f t="shared" si="2"/>
        <v>39.133899436317556</v>
      </c>
      <c r="E15" s="132">
        <f t="shared" si="3"/>
        <v>78.267798872635112</v>
      </c>
      <c r="F15" s="131"/>
      <c r="G15" s="131"/>
    </row>
    <row r="16" spans="1:8" x14ac:dyDescent="0.25">
      <c r="A16" s="133">
        <v>14</v>
      </c>
      <c r="B16" s="136">
        <f t="shared" si="0"/>
        <v>16384</v>
      </c>
      <c r="C16" s="140">
        <f t="shared" si="1"/>
        <v>6.103515625E-3</v>
      </c>
      <c r="D16" s="132">
        <f t="shared" si="2"/>
        <v>42.144199392957368</v>
      </c>
      <c r="E16" s="132">
        <f t="shared" si="3"/>
        <v>84.288398785914737</v>
      </c>
      <c r="F16" s="131"/>
      <c r="G16" s="131"/>
    </row>
    <row r="17" spans="1:9" x14ac:dyDescent="0.25">
      <c r="A17" s="133">
        <v>15</v>
      </c>
      <c r="B17" s="136">
        <f t="shared" si="0"/>
        <v>32768</v>
      </c>
      <c r="C17" s="139">
        <f t="shared" si="1"/>
        <v>3.0517578125E-3</v>
      </c>
      <c r="D17" s="132">
        <f t="shared" si="2"/>
        <v>45.154499349597181</v>
      </c>
      <c r="E17" s="132">
        <f t="shared" si="3"/>
        <v>90.308998699194362</v>
      </c>
      <c r="F17" s="131"/>
      <c r="G17" s="131"/>
    </row>
    <row r="18" spans="1:9" x14ac:dyDescent="0.25">
      <c r="A18" s="133">
        <v>16</v>
      </c>
      <c r="B18" s="136">
        <f t="shared" si="0"/>
        <v>65536</v>
      </c>
      <c r="C18" s="139">
        <f t="shared" si="1"/>
        <v>1.52587890625E-3</v>
      </c>
      <c r="D18" s="132">
        <f t="shared" si="2"/>
        <v>48.164799306236993</v>
      </c>
      <c r="E18" s="132">
        <f t="shared" si="3"/>
        <v>96.329598612473987</v>
      </c>
      <c r="F18" s="131" t="s">
        <v>312</v>
      </c>
      <c r="G18" s="131"/>
    </row>
    <row r="19" spans="1:9" x14ac:dyDescent="0.25">
      <c r="A19" s="133">
        <v>17</v>
      </c>
      <c r="B19" s="136">
        <f t="shared" si="0"/>
        <v>131072</v>
      </c>
      <c r="C19" s="138">
        <f t="shared" si="1"/>
        <v>7.62939453125E-4</v>
      </c>
      <c r="D19" s="132">
        <f t="shared" si="2"/>
        <v>51.175099262876806</v>
      </c>
      <c r="E19" s="132">
        <f t="shared" si="3"/>
        <v>102.35019852575361</v>
      </c>
      <c r="F19" s="131"/>
      <c r="G19" s="131"/>
    </row>
    <row r="20" spans="1:9" x14ac:dyDescent="0.25">
      <c r="A20" s="133">
        <v>18</v>
      </c>
      <c r="B20" s="136">
        <f t="shared" si="0"/>
        <v>262144</v>
      </c>
      <c r="C20" s="138">
        <f t="shared" si="1"/>
        <v>3.814697265625E-4</v>
      </c>
      <c r="D20" s="132">
        <f t="shared" si="2"/>
        <v>54.185399219516619</v>
      </c>
      <c r="E20" s="132">
        <f t="shared" si="3"/>
        <v>108.37079843903324</v>
      </c>
      <c r="F20" s="131"/>
      <c r="G20" s="131"/>
    </row>
    <row r="21" spans="1:9" x14ac:dyDescent="0.25">
      <c r="A21" s="133">
        <v>19</v>
      </c>
      <c r="B21" s="136">
        <f t="shared" si="0"/>
        <v>524288</v>
      </c>
      <c r="C21" s="138">
        <f t="shared" si="1"/>
        <v>1.9073486328125E-4</v>
      </c>
      <c r="D21" s="132">
        <f t="shared" si="2"/>
        <v>57.195699176156431</v>
      </c>
      <c r="E21" s="132">
        <f t="shared" si="3"/>
        <v>114.39139835231286</v>
      </c>
      <c r="F21" s="131"/>
      <c r="G21" s="131"/>
    </row>
    <row r="22" spans="1:9" x14ac:dyDescent="0.25">
      <c r="A22" s="133">
        <v>20</v>
      </c>
      <c r="B22" s="136">
        <f t="shared" si="0"/>
        <v>1048576</v>
      </c>
      <c r="C22" s="138">
        <f t="shared" si="1"/>
        <v>9.5367431640625E-5</v>
      </c>
      <c r="D22" s="132">
        <f t="shared" si="2"/>
        <v>60.205999132796244</v>
      </c>
      <c r="E22" s="132">
        <f t="shared" si="3"/>
        <v>120.41199826559249</v>
      </c>
      <c r="F22" s="131"/>
      <c r="G22" s="131"/>
    </row>
    <row r="23" spans="1:9" x14ac:dyDescent="0.25">
      <c r="A23" s="133">
        <v>21</v>
      </c>
      <c r="B23" s="136">
        <f t="shared" si="0"/>
        <v>2097152</v>
      </c>
      <c r="C23" s="137">
        <f t="shared" si="1"/>
        <v>4.76837158203125E-5</v>
      </c>
      <c r="D23" s="132">
        <f t="shared" si="2"/>
        <v>63.216299089436056</v>
      </c>
      <c r="E23" s="132">
        <f t="shared" si="3"/>
        <v>126.43259817887211</v>
      </c>
      <c r="F23" s="131"/>
      <c r="G23" s="131"/>
    </row>
    <row r="24" spans="1:9" x14ac:dyDescent="0.25">
      <c r="A24" s="133">
        <v>22</v>
      </c>
      <c r="B24" s="136">
        <f t="shared" si="0"/>
        <v>4194304</v>
      </c>
      <c r="C24" s="137">
        <f t="shared" si="1"/>
        <v>2.384185791015625E-5</v>
      </c>
      <c r="D24" s="132">
        <f t="shared" si="2"/>
        <v>66.226599046075862</v>
      </c>
      <c r="E24" s="132">
        <f t="shared" si="3"/>
        <v>132.45319809215172</v>
      </c>
      <c r="F24" s="131"/>
      <c r="G24" s="131"/>
    </row>
    <row r="25" spans="1:9" x14ac:dyDescent="0.25">
      <c r="A25" s="133">
        <v>23</v>
      </c>
      <c r="B25" s="136">
        <f t="shared" si="0"/>
        <v>8388608</v>
      </c>
      <c r="C25" s="135">
        <f t="shared" si="1"/>
        <v>1.1920928955078125E-5</v>
      </c>
      <c r="D25" s="132">
        <f t="shared" si="2"/>
        <v>69.236899002715674</v>
      </c>
      <c r="E25" s="132">
        <f t="shared" si="3"/>
        <v>138.47379800543135</v>
      </c>
      <c r="F25" s="131"/>
      <c r="G25" s="131"/>
    </row>
    <row r="26" spans="1:9" x14ac:dyDescent="0.25">
      <c r="A26" s="133">
        <v>24</v>
      </c>
      <c r="B26" s="136">
        <f t="shared" si="0"/>
        <v>16777216</v>
      </c>
      <c r="C26" s="135">
        <f t="shared" si="1"/>
        <v>5.9604644775390625E-6</v>
      </c>
      <c r="D26" s="132">
        <f t="shared" si="2"/>
        <v>72.247198959355487</v>
      </c>
      <c r="E26" s="132">
        <f t="shared" si="3"/>
        <v>144.49439791871097</v>
      </c>
      <c r="F26" s="131"/>
      <c r="G26" s="131"/>
    </row>
    <row r="27" spans="1:9" x14ac:dyDescent="0.25">
      <c r="A27" s="131"/>
      <c r="B27" s="131"/>
      <c r="C27" s="131"/>
      <c r="D27" s="131"/>
      <c r="E27" s="131"/>
      <c r="F27" s="131"/>
      <c r="G27" s="131"/>
    </row>
    <row r="28" spans="1:9" x14ac:dyDescent="0.25">
      <c r="A28" s="131"/>
      <c r="B28" s="131"/>
      <c r="C28" s="131"/>
      <c r="D28" s="131"/>
      <c r="E28" s="134" t="s">
        <v>272</v>
      </c>
      <c r="F28" s="134" t="s">
        <v>311</v>
      </c>
      <c r="G28" s="131"/>
    </row>
    <row r="29" spans="1:9" x14ac:dyDescent="0.25">
      <c r="A29" s="131" t="s">
        <v>310</v>
      </c>
      <c r="B29" s="131"/>
      <c r="C29" s="131"/>
      <c r="D29" s="131"/>
      <c r="E29" s="133">
        <v>5500</v>
      </c>
      <c r="F29" s="132">
        <f>20*LOG(E29)</f>
        <v>74.807253789884868</v>
      </c>
      <c r="G29" s="131"/>
      <c r="H29" s="131"/>
      <c r="I29" s="131"/>
    </row>
    <row r="30" spans="1:9" x14ac:dyDescent="0.25">
      <c r="A30" s="131"/>
      <c r="B30" s="131"/>
      <c r="C30" s="131"/>
      <c r="D30" s="131"/>
      <c r="E30" s="133">
        <v>1000</v>
      </c>
      <c r="F30" s="132">
        <f>20*LOG(E30)</f>
        <v>60</v>
      </c>
      <c r="G30" s="131"/>
      <c r="H30" s="131"/>
      <c r="I30" s="131"/>
    </row>
    <row r="31" spans="1:9" x14ac:dyDescent="0.25">
      <c r="A31" s="131" t="s">
        <v>309</v>
      </c>
      <c r="B31" s="131"/>
      <c r="C31" s="131"/>
      <c r="D31" s="131"/>
      <c r="E31" s="133">
        <v>1700</v>
      </c>
      <c r="F31" s="132">
        <f>20*LOG(E31)</f>
        <v>64.608978427565489</v>
      </c>
      <c r="G31" s="131"/>
      <c r="H31" s="131"/>
      <c r="I31" s="131"/>
    </row>
    <row r="32" spans="1:9" x14ac:dyDescent="0.25">
      <c r="A32" s="131"/>
      <c r="B32" s="131" t="s">
        <v>308</v>
      </c>
      <c r="C32" s="131"/>
      <c r="D32" s="131"/>
      <c r="E32" s="133">
        <v>6000</v>
      </c>
      <c r="F32" s="132">
        <f>20*LOG(E32)</f>
        <v>75.563025007672863</v>
      </c>
      <c r="G32" s="131"/>
      <c r="H32" s="131"/>
      <c r="I32" s="131"/>
    </row>
    <row r="33" spans="1:9" x14ac:dyDescent="0.25">
      <c r="A33" s="131"/>
      <c r="B33" s="131" t="s">
        <v>307</v>
      </c>
      <c r="C33" s="131"/>
      <c r="D33" s="131" t="s">
        <v>306</v>
      </c>
      <c r="G33" s="131"/>
      <c r="H33" s="131"/>
      <c r="I33" s="131"/>
    </row>
    <row r="35" spans="1:9" x14ac:dyDescent="0.25">
      <c r="A35" s="126" t="s">
        <v>305</v>
      </c>
      <c r="B35" s="126" t="s">
        <v>304</v>
      </c>
      <c r="C35" s="126" t="s">
        <v>167</v>
      </c>
      <c r="D35" s="126" t="s">
        <v>303</v>
      </c>
      <c r="E35" s="126" t="s">
        <v>302</v>
      </c>
      <c r="H35" s="126" t="s">
        <v>301</v>
      </c>
    </row>
    <row r="36" spans="1:9" x14ac:dyDescent="0.25">
      <c r="A36" s="126" t="s">
        <v>77</v>
      </c>
      <c r="B36" s="126">
        <v>4096</v>
      </c>
      <c r="C36" s="126">
        <v>10</v>
      </c>
      <c r="D36" s="126">
        <f>C36/B36</f>
        <v>2.44140625E-3</v>
      </c>
      <c r="E36" s="126">
        <f>D36/2</f>
        <v>1.220703125E-3</v>
      </c>
      <c r="F36" s="126" t="s">
        <v>300</v>
      </c>
      <c r="H36" s="126" t="s">
        <v>299</v>
      </c>
    </row>
    <row r="38" spans="1:9" x14ac:dyDescent="0.25">
      <c r="B38" s="126">
        <v>4096</v>
      </c>
      <c r="C38" s="126">
        <v>10</v>
      </c>
      <c r="D38" s="126">
        <f>C38/B38</f>
        <v>2.44140625E-3</v>
      </c>
      <c r="E38" s="126">
        <f>D38/2</f>
        <v>1.220703125E-3</v>
      </c>
    </row>
    <row r="42" spans="1:9" x14ac:dyDescent="0.25">
      <c r="B42" s="126" t="s">
        <v>277</v>
      </c>
      <c r="C42" s="126" t="s">
        <v>167</v>
      </c>
      <c r="D42" s="126" t="s">
        <v>294</v>
      </c>
      <c r="E42" s="126" t="s">
        <v>293</v>
      </c>
      <c r="H42" s="130" t="s">
        <v>298</v>
      </c>
    </row>
    <row r="43" spans="1:9" x14ac:dyDescent="0.25">
      <c r="A43" s="126" t="s">
        <v>297</v>
      </c>
      <c r="B43" s="126">
        <v>65536</v>
      </c>
      <c r="C43" s="126">
        <v>10</v>
      </c>
      <c r="D43" s="126">
        <f>B43/C43</f>
        <v>6553.6</v>
      </c>
      <c r="E43" s="126">
        <f>C43/B43</f>
        <v>1.52587890625E-4</v>
      </c>
      <c r="H43" s="130" t="s">
        <v>296</v>
      </c>
    </row>
    <row r="46" spans="1:9" x14ac:dyDescent="0.25">
      <c r="A46" s="129" t="s">
        <v>295</v>
      </c>
      <c r="B46" s="129" t="s">
        <v>277</v>
      </c>
      <c r="C46" s="129" t="s">
        <v>167</v>
      </c>
      <c r="D46" s="129" t="s">
        <v>294</v>
      </c>
      <c r="E46" s="129" t="s">
        <v>293</v>
      </c>
      <c r="G46" s="129" t="s">
        <v>292</v>
      </c>
    </row>
    <row r="47" spans="1:9" x14ac:dyDescent="0.25">
      <c r="A47" s="129"/>
      <c r="B47" s="129">
        <v>65536</v>
      </c>
      <c r="C47" s="129">
        <v>20</v>
      </c>
      <c r="D47" s="129">
        <f>B47/C47</f>
        <v>3276.8</v>
      </c>
      <c r="E47" s="128">
        <f>C47/B47</f>
        <v>3.0517578125E-4</v>
      </c>
      <c r="G47" s="127">
        <f>D47*5</f>
        <v>16384</v>
      </c>
    </row>
    <row r="48" spans="1:9" x14ac:dyDescent="0.25">
      <c r="B48" s="129">
        <v>65536</v>
      </c>
      <c r="C48" s="126">
        <v>10</v>
      </c>
      <c r="D48" s="129">
        <f>B48/C48</f>
        <v>6553.6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size="43" baseType="lpstr">
      <vt:lpstr>explanation</vt:lpstr>
      <vt:lpstr>Qamar 2401a</vt:lpstr>
      <vt:lpstr>L4 puti yyyymmdd</vt:lpstr>
      <vt:lpstr>seisan inputs, PS-2, PSN</vt:lpstr>
      <vt:lpstr>SP damping</vt:lpstr>
      <vt:lpstr>full eq</vt:lpstr>
      <vt:lpstr>scratch sheet</vt:lpstr>
      <vt:lpstr>ct_v</vt:lpstr>
      <vt:lpstr>'full eq'!ADC</vt:lpstr>
      <vt:lpstr>'L4 puti yyyymmdd'!CoilRes</vt:lpstr>
      <vt:lpstr>'Qamar 2401a'!CoilRes</vt:lpstr>
      <vt:lpstr>'full eq'!Damping</vt:lpstr>
      <vt:lpstr>'L4 puti yyyymmdd'!desiredB</vt:lpstr>
      <vt:lpstr>'Qamar 2401a'!desiredB</vt:lpstr>
      <vt:lpstr>'full eq'!Disc_Hz_V</vt:lpstr>
      <vt:lpstr>'full eq'!DiscLoPass</vt:lpstr>
      <vt:lpstr>'full eq'!f</vt:lpstr>
      <vt:lpstr>'full eq'!f0</vt:lpstr>
      <vt:lpstr>'L4 puti yyyymmdd'!G</vt:lpstr>
      <vt:lpstr>'Qamar 2401a'!G</vt:lpstr>
      <vt:lpstr>'L4 puti yyyymmdd'!GammaAvg</vt:lpstr>
      <vt:lpstr>'Qamar 2401a'!GammaAvg</vt:lpstr>
      <vt:lpstr>'L4 puti yyyymmdd'!Ge</vt:lpstr>
      <vt:lpstr>'Qamar 2401a'!Ge</vt:lpstr>
      <vt:lpstr>'L4 puti yyyymmdd'!mass</vt:lpstr>
      <vt:lpstr>'Qamar 2401a'!mass</vt:lpstr>
      <vt:lpstr>'full eq'!Mc8HiPass</vt:lpstr>
      <vt:lpstr>'full eq'!McVCO_V_Hz</vt:lpstr>
      <vt:lpstr>'full eq'!McVCOgain_dB</vt:lpstr>
      <vt:lpstr>'full eq'!McVCOloPass</vt:lpstr>
      <vt:lpstr>'L4 puti yyyymmdd'!MechB</vt:lpstr>
      <vt:lpstr>'Qamar 2401a'!MechB</vt:lpstr>
      <vt:lpstr>'full eq'!MotorConst</vt:lpstr>
      <vt:lpstr>'L4 puti yyyymmdd'!NatlFreePer</vt:lpstr>
      <vt:lpstr>'Qamar 2401a'!NatlFreePer</vt:lpstr>
      <vt:lpstr>'L4 puti yyyymmdd'!Rab</vt:lpstr>
      <vt:lpstr>'Qamar 2401a'!Rab</vt:lpstr>
      <vt:lpstr>'L4 puti yyyymmdd'!Ramp</vt:lpstr>
      <vt:lpstr>'Qamar 2401a'!Ramp</vt:lpstr>
      <vt:lpstr>'L4 puti yyyymmdd'!Re</vt:lpstr>
      <vt:lpstr>'Qamar 2401a'!Re</vt:lpstr>
      <vt:lpstr>SerialNumber</vt:lpstr>
      <vt:lpstr>t_d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Lockhart</dc:creator>
  <cp:lastModifiedBy>Lockhart, Andrew B</cp:lastModifiedBy>
  <dcterms:created xsi:type="dcterms:W3CDTF">2020-04-16T00:24:02Z</dcterms:created>
  <dcterms:modified xsi:type="dcterms:W3CDTF">2021-09-16T23:33:42Z</dcterms:modified>
</cp:coreProperties>
</file>